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Kalundborg Spildevandsanlæg AS (S056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26" i="32" l="1"/>
  <c r="G21" i="30" l="1"/>
  <c r="E30" i="27"/>
  <c r="E31" i="27" s="1"/>
  <c r="E23" i="11" l="1"/>
  <c r="E22" i="11"/>
  <c r="E20" i="11"/>
  <c r="E19" i="11"/>
  <c r="E18" i="11"/>
  <c r="E17" i="11"/>
  <c r="E16" i="11"/>
  <c r="E15" i="11"/>
  <c r="E14" i="11"/>
  <c r="G36" i="11"/>
  <c r="F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1" i="11"/>
  <c r="E13" i="11"/>
  <c r="E12" i="11"/>
  <c r="E11" i="11"/>
  <c r="E19" i="40" l="1"/>
  <c r="E16" i="40" l="1"/>
  <c r="E12" i="40"/>
  <c r="E10" i="11" l="1"/>
  <c r="E36" i="11" s="1"/>
  <c r="G8" i="30" l="1"/>
  <c r="E23" i="27" l="1"/>
  <c r="E24" i="27" s="1"/>
  <c r="E29" i="20" l="1"/>
  <c r="E23" i="20"/>
  <c r="E17" i="20"/>
  <c r="E11" i="20"/>
  <c r="E21" i="32" l="1"/>
  <c r="E12" i="32"/>
  <c r="E28" i="32" l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l="1"/>
  <c r="E20" i="27"/>
  <c r="E36" i="27" s="1"/>
  <c r="C9" i="2"/>
  <c r="C26" i="15" l="1"/>
  <c r="C10" i="37" l="1"/>
  <c r="C13" i="37" s="1"/>
  <c r="C14" i="37" s="1"/>
  <c r="C10" i="2" s="1"/>
  <c r="E11" i="21" l="1"/>
  <c r="C11" i="21"/>
  <c r="E11" i="29"/>
  <c r="C11" i="29"/>
  <c r="C14" i="19"/>
  <c r="C15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0" i="37"/>
  <c r="E13" i="37" s="1"/>
  <c r="E14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<sst xmlns="http://schemas.openxmlformats.org/spreadsheetml/2006/main" count="732" uniqueCount="284">
  <si>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</si>
  <si>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</si>
  <si>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</si>
  <si>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</si>
  <si>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</si>
  <si>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</si>
  <si>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</si>
  <si>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</si>
  <si>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</si>
  <si>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</si>
  <si>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</si>
  <si>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</si>
  <si>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</si>
  <si>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</si>
  <si>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</si>
  <si>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</si>
  <si>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</si>
  <si>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</si>
  <si>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</si>
  <si>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</si>
  <si>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</si>
  <si>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</si>
  <si>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</si>
  <si>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</si>
  <si>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</si>
  <si>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</si>
  <si>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</si>
  <si>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</si>
  <si>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</si>
  <si>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</si>
  <si>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</si>
  <si>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</si>
  <si>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</si>
  <si>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</si>
  <si>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</si>
  <si>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</si>
  <si>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</si>
  <si>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</si>
  <si>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</si>
  <si>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</si>
  <si>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</si>
  <si>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</si>
  <si>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</si>
  <si>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</si>
  <si>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</si>
  <si>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</si>
  <si>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</si>
  <si>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</si>
  <si>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</si>
  <si>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</si>
  <si>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</si>
  <si>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</si>
  <si>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</si>
  <si>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</si>
  <si>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</si>
  <si>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</si>
  <si>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</si>
  <si>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</si>
  <si>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</si>
  <si>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</si>
  <si>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</si>
  <si>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</si>
  <si>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</si>
  <si>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</si>
  <si>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</si>
  <si>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</si>
  <si>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</si>
  <si>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</si>
  <si>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</si>
  <si>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</si>
  <si>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</si>
  <si>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</si>
  <si>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</si>
  <si>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</si>
  <si>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</si>
  <si>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</si>
  <si>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</si>
  <si>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</si>
  <si>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</si>
  <si>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</si>
  <si>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</si>
  <si>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</si>
  <si>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</si>
  <si>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</si>
  <si>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</si>
  <si>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</si>
  <si>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</si>
  <si>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</si>
  <si>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</si>
  <si>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</si>
  <si>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</si>
  <si>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</si>
  <si>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</si>
  <si>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</si>
  <si>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</si>
  <si>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</si>
  <si>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</si>
  <si>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</si>
  <si>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</si>
  <si>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</si>
  <si>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</si>
  <si>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</si>
  <si>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</si>
  <si>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</si>
  <si>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</si>
  <si>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</si>
  <si>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</si>
  <si>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</si>
  <si>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</si>
  <si>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</si>
  <si>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</si>
  <si>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</si>
  <si>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</si>
  <si>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</si>
  <si>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</si>
  <si>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</si>
  <si>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</si>
  <si>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</si>
  <si>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</si>
  <si>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</si>
  <si>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</si>
  <si>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</si>
  <si>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</si>
  <si>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</si>
  <si>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</si>
  <si>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</si>
  <si>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</si>
  <si>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</si>
  <si>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</si>
  <si>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</si>
  <si>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</si>
  <si>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</si>
  <si>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</si>
  <si>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</si>
  <si>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</si>
  <si>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</si>
  <si>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</si>
  <si>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</si>
  <si>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</si>
  <si>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</si>
  <si>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</si>
  <si>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</si>
  <si>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</si>
  <si>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</si>
  <si>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</si>
  <si>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</si>
  <si>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</si>
  <si>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</si>
  <si>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</si>
  <si>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</si>
  <si>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</si>
  <si>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</si>
  <si>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</si>
  <si>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</si>
  <si>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</si>
  <si>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</si>
  <si>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</si>
  <si>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</si>
  <si>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</si>
  <si>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</si>
  <si>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</si>
  <si>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</si>
  <si>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</si>
  <si>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</si>
  <si>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</si>
  <si>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</si>
  <si>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</si>
  <si>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</si>
  <si>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</si>
  <si>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</si>
  <si>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</si>
  <si>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</si>
  <si>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</si>
  <si>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</si>
  <si>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</si>
  <si>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</si>
  <si>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</si>
  <si>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</si>
  <si>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</si>
  <si>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</si>
  <si>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</si>
  <si>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</si>
  <si>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</si>
  <si>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</si>
  <si>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</si>
  <si>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</si>
  <si>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</si>
  <si>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</si>
  <si>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</si>
  <si>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</si>
  <si>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</si>
  <si>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</si>
  <si>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</si>
  <si>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</si>
  <si>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</si>
  <si>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</si>
  <si>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</si>
  <si>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</si>
  <si>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</si>
  <si>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</si>
  <si>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</si>
  <si>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</si>
  <si>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</si>
  <si>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</si>
  <si>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</si>
  <si>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</si>
  <si>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</si>
  <si>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</si>
  <si>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</si>
  <si>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</si>
  <si>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</si>
  <si>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</si>
  <si>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</si>
  <si>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</si>
  <si>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</si>
  <si>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</si>
  <si>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</si>
  <si>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</si>
  <si>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</si>
  <si>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</si>
  <si>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</si>
  <si>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</si>
  <si>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</si>
  <si>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</si>
  <si>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</si>
  <si>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</si>
  <si>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</si>
  <si>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</si>
  <si>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</si>
  <si>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</si>
  <si>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</si>
  <si>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</si>
  <si>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</si>
  <si>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</si>
  <si>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</si>
  <si>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</si>
  <si>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</si>
  <si>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</si>
  <si>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</si>
  <si>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</si>
  <si>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</si>
  <si>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</si>
  <si>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</si>
  <si>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</si>
  <si>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</si>
  <si>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</si>
  <si>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</si>
  <si>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</si>
  <si>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</si>
  <si>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</si>
  <si>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</si>
  <si>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</si>
  <si>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</si>
  <si>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</si>
  <si>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</si>
  <si>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</si>
  <si>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</si>
  <si>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</si>
  <si>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</si>
  <si>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Ø 1000 mm &lt; Ledningsnet ≤ Ø 1200 mm</t>
  </si>
  <si>
    <t>Brønde</t>
  </si>
  <si>
    <t>Ledningsnet ≤ Ø 200 mm</t>
  </si>
  <si>
    <t>Ø 200 mm &lt; Ledningsnet ≤ Ø 500 mm</t>
  </si>
  <si>
    <t>Strømpeforing Ø 200 mm &lt; Ledningsnet ≤ Ø 500 mm</t>
  </si>
  <si>
    <t>Ø 500 mm &lt; Ledningsnet ≤ Ø 800 mm</t>
  </si>
  <si>
    <t>Pumpestationer m. overbygning (&lt; 20 m2), Konstruktioner</t>
  </si>
  <si>
    <t>Pumpestationer m. overbygning (&lt; 20 m2), Mek/EL</t>
  </si>
  <si>
    <t>Installationer "mekaniske riste og SRO" Miljøklasse B. (20-30 m2) - SRO</t>
  </si>
  <si>
    <t>Stik</t>
  </si>
  <si>
    <t>Tryksatte minipumpestationer (husstandssystemer)</t>
  </si>
  <si>
    <t>Pumpestationer i underjordiske bygværker (&lt;50 m2), Mek/El</t>
  </si>
  <si>
    <t>Pumpestationer i underjordiske bygværker (&lt;50 m2), SRO</t>
  </si>
  <si>
    <t>Pumpeinstallation Miljøklasse A (100-300 l/s) - Mek/EL</t>
  </si>
  <si>
    <t>Anlægsprojekter igangsat senest 1. marts 2016</t>
  </si>
  <si>
    <t>Afgift til Forsyningssekretariatet</t>
  </si>
  <si>
    <t>Køb af ydelser og produkter fra andre vandselskaber reguleret af vandsektorloven</t>
  </si>
  <si>
    <t>Ejendomsskatter</t>
  </si>
  <si>
    <t>Erstatninger</t>
  </si>
  <si>
    <t>Oprensning af bassiner</t>
  </si>
  <si>
    <t>Ingen engangstillæg</t>
  </si>
  <si>
    <t xml:space="preserve">Effektiviseringskrav </t>
  </si>
  <si>
    <t xml:space="preserve">kr. </t>
  </si>
  <si>
    <t>Videreførte omkostninger fra den økonomiske ramme for 2022</t>
  </si>
  <si>
    <t>Stejlhøj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</si>
</sst>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3" t="s">
        <v>4</v>
      </c>
      <c r="E6" s="73"/>
      <c r="F6" s="73"/>
      <c r="G6" s="73"/>
      <c r="H6" s="3"/>
      <c r="I6" s="1"/>
    </row>
    <row r="7" spans="1:9" ht="15" customHeight="1" x14ac:dyDescent="0.25">
      <c r="A7" s="1"/>
      <c r="B7" s="1"/>
      <c r="C7" s="3"/>
      <c r="D7" s="73"/>
      <c r="E7" s="73"/>
      <c r="F7" s="73"/>
      <c r="G7" s="73"/>
      <c r="H7" s="3"/>
      <c r="I7" s="1"/>
    </row>
    <row r="8" spans="1:9" ht="15.75" x14ac:dyDescent="0.25">
      <c r="A8" s="1"/>
      <c r="B8" s="1"/>
      <c r="C8" s="4"/>
      <c r="D8" s="78" t="s">
        <v>172</v>
      </c>
      <c r="E8" s="78"/>
      <c r="F8" s="78"/>
      <c r="G8" s="7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7" t="s">
        <v>5</v>
      </c>
      <c r="E11" s="77"/>
      <c r="F11" s="77"/>
      <c r="G11" s="7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0" t="s">
        <v>52</v>
      </c>
      <c r="E13" s="71"/>
      <c r="F13" s="71"/>
      <c r="G13" s="72"/>
      <c r="H13" s="1"/>
      <c r="I13" s="1"/>
    </row>
    <row r="14" spans="1:9" x14ac:dyDescent="0.25">
      <c r="A14" s="1"/>
      <c r="B14" s="1"/>
      <c r="C14" s="6" t="s">
        <v>23</v>
      </c>
      <c r="D14" s="70" t="s">
        <v>54</v>
      </c>
      <c r="E14" s="71"/>
      <c r="F14" s="71"/>
      <c r="G14" s="72"/>
      <c r="H14" s="1"/>
      <c r="I14" s="1"/>
    </row>
    <row r="15" spans="1:9" x14ac:dyDescent="0.25">
      <c r="A15" s="1"/>
      <c r="B15" s="1"/>
      <c r="C15" s="6" t="s">
        <v>51</v>
      </c>
      <c r="D15" s="70" t="s">
        <v>135</v>
      </c>
      <c r="E15" s="71"/>
      <c r="F15" s="71"/>
      <c r="G15" s="72"/>
      <c r="H15" s="1"/>
      <c r="I15" s="1"/>
    </row>
    <row r="16" spans="1:9" x14ac:dyDescent="0.25">
      <c r="A16" s="1"/>
      <c r="B16" s="1"/>
      <c r="C16" s="6" t="s">
        <v>53</v>
      </c>
      <c r="D16" s="70" t="s">
        <v>136</v>
      </c>
      <c r="E16" s="71"/>
      <c r="F16" s="71"/>
      <c r="G16" s="72"/>
      <c r="H16" s="1"/>
      <c r="I16" s="1"/>
    </row>
    <row r="17" spans="1:9" x14ac:dyDescent="0.25">
      <c r="A17" s="1"/>
      <c r="B17" s="1"/>
      <c r="C17" s="6" t="s">
        <v>241</v>
      </c>
      <c r="D17" s="70" t="s">
        <v>63</v>
      </c>
      <c r="E17" s="71"/>
      <c r="F17" s="71"/>
      <c r="G17" s="72"/>
      <c r="H17" s="1"/>
      <c r="I17" s="1"/>
    </row>
    <row r="18" spans="1:9" x14ac:dyDescent="0.25">
      <c r="A18" s="1"/>
      <c r="B18" s="1"/>
      <c r="C18" s="6" t="s">
        <v>212</v>
      </c>
      <c r="D18" s="64" t="s">
        <v>180</v>
      </c>
      <c r="E18" s="65"/>
      <c r="F18" s="65"/>
      <c r="G18" s="66"/>
      <c r="H18" s="1"/>
      <c r="I18" s="1"/>
    </row>
    <row r="19" spans="1:9" x14ac:dyDescent="0.25">
      <c r="A19" s="1"/>
      <c r="B19" s="1"/>
      <c r="C19" s="6" t="s">
        <v>213</v>
      </c>
      <c r="D19" s="64" t="s">
        <v>181</v>
      </c>
      <c r="E19" s="65"/>
      <c r="F19" s="65"/>
      <c r="G19" s="66"/>
      <c r="H19" s="1"/>
      <c r="I19" s="1"/>
    </row>
    <row r="20" spans="1:9" x14ac:dyDescent="0.25">
      <c r="A20" s="1"/>
      <c r="B20" s="1"/>
      <c r="C20" s="6" t="s">
        <v>7</v>
      </c>
      <c r="D20" s="64" t="s">
        <v>10</v>
      </c>
      <c r="E20" s="65"/>
      <c r="F20" s="65"/>
      <c r="G20" s="66"/>
      <c r="H20" s="1"/>
      <c r="I20" s="1"/>
    </row>
    <row r="21" spans="1:9" x14ac:dyDescent="0.25">
      <c r="A21" s="1"/>
      <c r="B21" s="1"/>
      <c r="C21" s="6" t="s">
        <v>214</v>
      </c>
      <c r="D21" s="74" t="s">
        <v>17</v>
      </c>
      <c r="E21" s="75"/>
      <c r="F21" s="75"/>
      <c r="G21" s="76"/>
      <c r="H21" s="1"/>
      <c r="I21" s="1"/>
    </row>
    <row r="22" spans="1:9" x14ac:dyDescent="0.25">
      <c r="A22" s="1"/>
      <c r="B22" s="1"/>
      <c r="C22" s="6" t="s">
        <v>142</v>
      </c>
      <c r="D22" s="58" t="s">
        <v>176</v>
      </c>
      <c r="E22" s="59"/>
      <c r="F22" s="59"/>
      <c r="G22" s="60"/>
      <c r="H22" s="1"/>
      <c r="I22" s="1"/>
    </row>
    <row r="23" spans="1:9" x14ac:dyDescent="0.25">
      <c r="A23" s="1"/>
      <c r="B23" s="1"/>
      <c r="C23" s="6" t="s">
        <v>8</v>
      </c>
      <c r="D23" s="58" t="s">
        <v>249</v>
      </c>
      <c r="E23" s="59"/>
      <c r="F23" s="59"/>
      <c r="G23" s="60"/>
      <c r="H23" s="1"/>
      <c r="I23" s="1"/>
    </row>
    <row r="24" spans="1:9" x14ac:dyDescent="0.25">
      <c r="A24" s="1"/>
      <c r="B24" s="1"/>
      <c r="C24" s="6" t="s">
        <v>9</v>
      </c>
      <c r="D24" s="58" t="s">
        <v>55</v>
      </c>
      <c r="E24" s="59"/>
      <c r="F24" s="59"/>
      <c r="G24" s="60"/>
      <c r="H24" s="1"/>
      <c r="I24" s="1"/>
    </row>
    <row r="25" spans="1:9" x14ac:dyDescent="0.25">
      <c r="A25" s="1"/>
      <c r="B25" s="1"/>
      <c r="C25" s="6" t="s">
        <v>215</v>
      </c>
      <c r="D25" s="58" t="s">
        <v>143</v>
      </c>
      <c r="E25" s="59"/>
      <c r="F25" s="59"/>
      <c r="G25" s="60"/>
      <c r="H25" s="1"/>
      <c r="I25" s="1"/>
    </row>
    <row r="26" spans="1:9" x14ac:dyDescent="0.25">
      <c r="A26" s="1"/>
      <c r="B26" s="1"/>
      <c r="C26" s="6" t="s">
        <v>216</v>
      </c>
      <c r="D26" s="58" t="s">
        <v>144</v>
      </c>
      <c r="E26" s="59"/>
      <c r="F26" s="59"/>
      <c r="G26" s="60"/>
      <c r="H26" s="1"/>
      <c r="I26" s="1"/>
    </row>
    <row r="27" spans="1:9" x14ac:dyDescent="0.25">
      <c r="A27" s="1"/>
      <c r="B27" s="1"/>
      <c r="C27" s="6" t="s">
        <v>217</v>
      </c>
      <c r="D27" s="58" t="s">
        <v>145</v>
      </c>
      <c r="E27" s="59"/>
      <c r="F27" s="59"/>
      <c r="G27" s="60"/>
      <c r="H27" s="1"/>
      <c r="I27" s="1"/>
    </row>
    <row r="28" spans="1:9" x14ac:dyDescent="0.25">
      <c r="A28" s="1"/>
      <c r="B28" s="1"/>
      <c r="C28" s="6" t="s">
        <v>22</v>
      </c>
      <c r="D28" s="58" t="s">
        <v>56</v>
      </c>
      <c r="E28" s="59"/>
      <c r="F28" s="59"/>
      <c r="G28" s="60"/>
      <c r="H28" s="1"/>
      <c r="I28" s="1"/>
    </row>
    <row r="29" spans="1:9" x14ac:dyDescent="0.25">
      <c r="A29" s="1"/>
      <c r="B29" s="1"/>
      <c r="C29" s="6" t="s">
        <v>58</v>
      </c>
      <c r="D29" s="58" t="s">
        <v>57</v>
      </c>
      <c r="E29" s="59"/>
      <c r="F29" s="59"/>
      <c r="G29" s="60"/>
      <c r="H29" s="1"/>
      <c r="I29" s="1"/>
    </row>
    <row r="30" spans="1:9" x14ac:dyDescent="0.25">
      <c r="A30" s="1"/>
      <c r="B30" s="1"/>
      <c r="C30" s="6" t="s">
        <v>59</v>
      </c>
      <c r="D30" s="67" t="s">
        <v>11</v>
      </c>
      <c r="E30" s="68"/>
      <c r="F30" s="68"/>
      <c r="G30" s="69"/>
      <c r="H30" s="1"/>
      <c r="I30" s="1"/>
    </row>
    <row r="31" spans="1:9" x14ac:dyDescent="0.25">
      <c r="A31" s="1"/>
      <c r="B31" s="1"/>
      <c r="C31" s="6" t="s">
        <v>175</v>
      </c>
      <c r="D31" s="61" t="s">
        <v>207</v>
      </c>
      <c r="E31" s="62"/>
      <c r="F31" s="62"/>
      <c r="G31" s="63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qB4b2/w3PwkgCqXSyvNToxt/gsHQf06zOUlaUdgxugJLltV3IBueKHjv76ArKaRWuRMicvsBSPCK4lVrgHilng==" saltValue="QN4jGFKWov521cQ30EXwbQ==" spinCount="100000" sheet="1" objects="1" scenarios="1"/>
  <mergeCells count="22"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0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84" t="s">
        <v>66</v>
      </c>
      <c r="C8" s="85"/>
      <c r="D8" s="8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5" t="s">
        <v>274</v>
      </c>
      <c r="C10" s="9">
        <v>45230</v>
      </c>
      <c r="D10" s="14" t="s">
        <v>3</v>
      </c>
      <c r="E10" s="1"/>
      <c r="F10" s="1"/>
    </row>
    <row r="11" spans="1:6" ht="26.25" x14ac:dyDescent="0.25">
      <c r="A11" s="1"/>
      <c r="B11" s="35" t="s">
        <v>275</v>
      </c>
      <c r="C11" s="9">
        <v>39930</v>
      </c>
      <c r="D11" s="14" t="s">
        <v>3</v>
      </c>
      <c r="E11" s="1"/>
      <c r="F11" s="1"/>
    </row>
    <row r="12" spans="1:6" x14ac:dyDescent="0.25">
      <c r="A12" s="1"/>
      <c r="B12" s="35" t="s">
        <v>276</v>
      </c>
      <c r="C12" s="9">
        <v>567681</v>
      </c>
      <c r="D12" s="14" t="s">
        <v>3</v>
      </c>
      <c r="E12" s="1"/>
      <c r="F12" s="1"/>
    </row>
    <row r="13" spans="1:6" x14ac:dyDescent="0.25">
      <c r="A13" s="1"/>
      <c r="B13" s="55" t="s">
        <v>277</v>
      </c>
      <c r="C13" s="9">
        <v>86091</v>
      </c>
      <c r="D13" s="14" t="s">
        <v>3</v>
      </c>
      <c r="E13" s="1"/>
      <c r="F13" s="1"/>
    </row>
    <row r="14" spans="1:6" x14ac:dyDescent="0.25">
      <c r="A14" s="1"/>
      <c r="B14" s="40" t="s">
        <v>68</v>
      </c>
      <c r="C14" s="12">
        <f>SUM(C10:C13)</f>
        <v>738932</v>
      </c>
      <c r="D14" s="13" t="s">
        <v>3</v>
      </c>
      <c r="E14" s="1"/>
      <c r="F14" s="1"/>
    </row>
    <row r="15" spans="1:6" x14ac:dyDescent="0.25">
      <c r="A15" s="1"/>
      <c r="B15" s="40" t="s">
        <v>69</v>
      </c>
      <c r="C15" s="12">
        <f>C14*(1+'Fane 15. Nøgletal'!C12)^2</f>
        <v>768332.69291988004</v>
      </c>
      <c r="D15" s="13" t="s">
        <v>3</v>
      </c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16"/>
      <c r="C17" s="15"/>
      <c r="D17" s="15"/>
      <c r="E17" s="1"/>
      <c r="F17" s="1"/>
    </row>
    <row r="18" spans="1:6" x14ac:dyDescent="0.25">
      <c r="A18" s="1"/>
      <c r="B18" s="84" t="s">
        <v>236</v>
      </c>
      <c r="C18" s="85"/>
      <c r="D18" s="86"/>
      <c r="E18" s="1"/>
      <c r="F18" s="1"/>
    </row>
    <row r="19" spans="1:6" x14ac:dyDescent="0.25">
      <c r="A19" s="1"/>
      <c r="B19" s="55" t="s">
        <v>197</v>
      </c>
      <c r="C19" s="9">
        <v>0</v>
      </c>
      <c r="D19" s="14" t="s">
        <v>3</v>
      </c>
      <c r="E19" s="1"/>
      <c r="F19" s="1"/>
    </row>
    <row r="20" spans="1:6" x14ac:dyDescent="0.25">
      <c r="A20" s="1"/>
      <c r="B20" s="55" t="s">
        <v>198</v>
      </c>
      <c r="C20" s="9">
        <v>0</v>
      </c>
      <c r="D20" s="14" t="s">
        <v>3</v>
      </c>
      <c r="E20" s="1"/>
      <c r="F20" s="1"/>
    </row>
    <row r="21" spans="1:6" x14ac:dyDescent="0.25">
      <c r="A21" s="1"/>
      <c r="B21" s="55" t="s">
        <v>199</v>
      </c>
      <c r="C21" s="9">
        <v>0</v>
      </c>
      <c r="D21" s="14" t="s">
        <v>3</v>
      </c>
      <c r="E21" s="1"/>
      <c r="F21" s="1"/>
    </row>
    <row r="22" spans="1:6" x14ac:dyDescent="0.25">
      <c r="A22" s="1"/>
      <c r="B22" s="55" t="s">
        <v>200</v>
      </c>
      <c r="C22" s="9">
        <v>0</v>
      </c>
      <c r="D22" s="14" t="s">
        <v>3</v>
      </c>
      <c r="E22" s="1"/>
      <c r="F22" s="1"/>
    </row>
    <row r="23" spans="1:6" x14ac:dyDescent="0.25">
      <c r="A23" s="1"/>
      <c r="B23" s="84"/>
      <c r="C23" s="85"/>
      <c r="D23" s="86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84" t="s">
        <v>196</v>
      </c>
      <c r="C26" s="85"/>
      <c r="D26" s="86"/>
      <c r="E26" s="1"/>
      <c r="F26" s="1"/>
    </row>
    <row r="27" spans="1:6" x14ac:dyDescent="0.25">
      <c r="A27" s="1"/>
      <c r="B27" s="55" t="s">
        <v>197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5" t="s">
        <v>198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5" t="s">
        <v>199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5" t="s">
        <v>200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84"/>
      <c r="C31" s="85"/>
      <c r="D31" s="86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sheetProtection algorithmName="SHA-512" hashValue="RCK641pYaz3+RNdl8HnpFvPWMwvoD6CxR3OB794Ocz6PZWWA+euHfhT4EGY+XgwYhoBki5uCX2amW9uIqXLnrg==" saltValue="qkLv3rxLOBRRJOb/HwrtHA==" spinCount="100000" sheet="1" objects="1" scenarios="1"/>
  <mergeCells count="6">
    <mergeCell ref="B31:D31"/>
    <mergeCell ref="B3:D4"/>
    <mergeCell ref="B8:D8"/>
    <mergeCell ref="B18:D18"/>
    <mergeCell ref="B26:D26"/>
    <mergeCell ref="B23:D23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226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ht="15" customHeight="1" x14ac:dyDescent="0.25">
      <c r="A5" s="1"/>
      <c r="B5" s="48"/>
      <c r="C5" s="48"/>
      <c r="D5" s="48"/>
      <c r="E5" s="48"/>
      <c r="F5" s="48"/>
      <c r="G5" s="1"/>
    </row>
    <row r="6" spans="1:7" ht="15" customHeight="1" x14ac:dyDescent="0.25">
      <c r="A6" s="1"/>
      <c r="B6" s="48"/>
      <c r="C6" s="48"/>
      <c r="D6" s="48"/>
      <c r="E6" s="48"/>
      <c r="F6" s="48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183</v>
      </c>
      <c r="C8" s="85"/>
      <c r="D8" s="85"/>
      <c r="E8" s="85"/>
      <c r="F8" s="86"/>
      <c r="G8" s="1"/>
    </row>
    <row r="9" spans="1:7" x14ac:dyDescent="0.25">
      <c r="A9" s="1"/>
      <c r="B9" s="97" t="s">
        <v>184</v>
      </c>
      <c r="C9" s="98"/>
      <c r="D9" s="99"/>
      <c r="E9" s="9">
        <v>64774526.178892955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65744023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87" t="s">
        <v>186</v>
      </c>
      <c r="C12" s="88"/>
      <c r="D12" s="89"/>
      <c r="E12" s="10">
        <f>E9-(E10-E11)</f>
        <v>-969496.82110704482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208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84" t="s">
        <v>73</v>
      </c>
      <c r="C17" s="85"/>
      <c r="D17" s="85"/>
      <c r="E17" s="85"/>
      <c r="F17" s="86"/>
      <c r="G17" s="1"/>
    </row>
    <row r="18" spans="1:7" x14ac:dyDescent="0.25">
      <c r="A18" s="1"/>
      <c r="B18" s="97" t="s">
        <v>74</v>
      </c>
      <c r="C18" s="98"/>
      <c r="D18" s="99"/>
      <c r="E18" s="9">
        <v>67974857.298039511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65247822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7" t="s">
        <v>76</v>
      </c>
      <c r="C21" s="88"/>
      <c r="D21" s="89"/>
      <c r="E21" s="10">
        <f>E18-(E19-E20)</f>
        <v>2727035.2980395108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84" t="s">
        <v>179</v>
      </c>
      <c r="C25" s="85"/>
      <c r="D25" s="85"/>
      <c r="E25" s="85"/>
      <c r="F25" s="86"/>
      <c r="G25" s="1"/>
    </row>
    <row r="26" spans="1:7" x14ac:dyDescent="0.25">
      <c r="A26" s="1"/>
      <c r="B26" s="105" t="s">
        <v>174</v>
      </c>
      <c r="C26" s="106"/>
      <c r="D26" s="107"/>
      <c r="E26" s="9">
        <f>IF(AND(E12&lt;0,E21&gt;0),E12,IF(AND(E21&lt;0,E12+E21&lt;0),(E12+E21),IF(AND(E12&lt;0,E21&lt;0),(E12+E21),0)))</f>
        <v>-969496.82110704482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7" t="s">
        <v>251</v>
      </c>
      <c r="C28" s="88"/>
      <c r="D28" s="89"/>
      <c r="E28" s="10">
        <f>E26/E27</f>
        <v>-484748.41055352241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9LXZ3hLE0SPHbXO4oSLcU70+56c+xk3zjyvwCTRsGW2xMbyMR/bclDhHu5uQ0BkeA3om9exuJqi5x0KslJvwRQ==" saltValue="V8/Whrh5ngjzl7pb29NOgg==" spinCount="100000" sheet="1" objects="1" scenarios="1"/>
  <mergeCells count="17"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  <mergeCell ref="B25:F25"/>
    <mergeCell ref="B26:D26"/>
    <mergeCell ref="B29:F29"/>
    <mergeCell ref="B27:D27"/>
    <mergeCell ref="B28:D28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252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84" t="s">
        <v>177</v>
      </c>
      <c r="C9" s="85"/>
      <c r="D9" s="85"/>
      <c r="E9" s="85"/>
      <c r="F9" s="8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0</v>
      </c>
      <c r="F11" s="8" t="s">
        <v>3</v>
      </c>
      <c r="G11" s="1"/>
    </row>
    <row r="12" spans="1:7" x14ac:dyDescent="0.25">
      <c r="A12" s="1"/>
      <c r="B12" s="87" t="s">
        <v>203</v>
      </c>
      <c r="C12" s="88"/>
      <c r="D12" s="89"/>
      <c r="E12" s="10">
        <f>E11-E10</f>
        <v>0</v>
      </c>
      <c r="F12" s="11" t="s">
        <v>3</v>
      </c>
      <c r="G12" s="1"/>
    </row>
    <row r="13" spans="1:7" x14ac:dyDescent="0.25">
      <c r="A13" s="1"/>
      <c r="B13" s="84" t="s">
        <v>178</v>
      </c>
      <c r="C13" s="85"/>
      <c r="D13" s="85"/>
      <c r="E13" s="85"/>
      <c r="F13" s="8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0</v>
      </c>
      <c r="F15" s="8" t="s">
        <v>3</v>
      </c>
      <c r="G15" s="1"/>
    </row>
    <row r="16" spans="1:7" x14ac:dyDescent="0.25">
      <c r="A16" s="1"/>
      <c r="B16" s="87" t="s">
        <v>203</v>
      </c>
      <c r="C16" s="88"/>
      <c r="D16" s="89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84" t="s">
        <v>173</v>
      </c>
      <c r="C17" s="85"/>
      <c r="D17" s="85"/>
      <c r="E17" s="85"/>
      <c r="F17" s="8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0</v>
      </c>
      <c r="F18" s="8" t="s">
        <v>3</v>
      </c>
      <c r="G18" s="1"/>
    </row>
    <row r="19" spans="1:7" ht="29.25" customHeight="1" x14ac:dyDescent="0.25">
      <c r="A19" s="1"/>
      <c r="B19" s="90" t="s">
        <v>182</v>
      </c>
      <c r="C19" s="91"/>
      <c r="D19" s="92"/>
      <c r="E19" s="10">
        <f>IF('Fane 3. Omkostninger i ØR2019'!E33-'Fane 3. Omkostninger i ØR2019'!E33/(1+'Fane 15. Nøgletal'!C11)^2+E18&lt;0,-('Fane 3. Omkostninger i ØR2019'!E33-'Fane 3. Omkostninger i ØR2019'!E33/(1+'Fane 15. Nøgletal'!C11)^2+E18),0)</f>
        <v>0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0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oBA4SlB1ypCd3Dmo8hmIDJzQClIMui16YzgVWu0uhjqUOoVuw4Ycpw2F75nan8v5mKqjStk2UvLvDeB7PQYj3w==" saltValue="nCnF/vL1HviXc6Z4gk3uRQ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71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254</v>
      </c>
      <c r="C8" s="85"/>
      <c r="D8" s="85"/>
      <c r="E8" s="85"/>
      <c r="F8" s="85"/>
      <c r="G8" s="85"/>
      <c r="H8" s="8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ht="26.25" x14ac:dyDescent="0.25">
      <c r="A10" s="1"/>
      <c r="B10" s="57" t="s">
        <v>259</v>
      </c>
      <c r="C10" s="45">
        <v>75</v>
      </c>
      <c r="D10" s="9">
        <v>1267790.95</v>
      </c>
      <c r="E10" s="9">
        <f>IFERROR(D10/C10,0)</f>
        <v>16903.879333333334</v>
      </c>
      <c r="F10" s="9">
        <v>0</v>
      </c>
      <c r="G10" s="9">
        <v>0</v>
      </c>
      <c r="H10" s="14" t="s">
        <v>3</v>
      </c>
      <c r="I10" s="1"/>
    </row>
    <row r="11" spans="1:9" x14ac:dyDescent="0.25">
      <c r="A11" s="1"/>
      <c r="B11" s="57" t="s">
        <v>260</v>
      </c>
      <c r="C11" s="45">
        <v>75</v>
      </c>
      <c r="D11" s="9">
        <v>37926.870000000003</v>
      </c>
      <c r="E11" s="9">
        <f t="shared" ref="E11:E33" si="0">IFERROR(D11/C11,0)</f>
        <v>505.69160000000005</v>
      </c>
      <c r="F11" s="9">
        <v>0</v>
      </c>
      <c r="G11" s="9">
        <v>0</v>
      </c>
      <c r="H11" s="14" t="s">
        <v>3</v>
      </c>
      <c r="I11" s="1"/>
    </row>
    <row r="12" spans="1:9" x14ac:dyDescent="0.25">
      <c r="A12" s="1"/>
      <c r="B12" s="57" t="s">
        <v>261</v>
      </c>
      <c r="C12" s="45">
        <v>75</v>
      </c>
      <c r="D12" s="9">
        <v>87793.3</v>
      </c>
      <c r="E12" s="9">
        <f t="shared" si="0"/>
        <v>1170.5773333333334</v>
      </c>
      <c r="F12" s="9">
        <v>0</v>
      </c>
      <c r="G12" s="9">
        <v>0</v>
      </c>
      <c r="H12" s="14" t="s">
        <v>3</v>
      </c>
      <c r="I12" s="1"/>
    </row>
    <row r="13" spans="1:9" x14ac:dyDescent="0.25">
      <c r="A13" s="1"/>
      <c r="B13" s="57" t="s">
        <v>261</v>
      </c>
      <c r="C13" s="45">
        <v>75</v>
      </c>
      <c r="D13" s="9">
        <v>163568.01999999999</v>
      </c>
      <c r="E13" s="9">
        <f t="shared" si="0"/>
        <v>2180.9069333333332</v>
      </c>
      <c r="F13" s="9">
        <v>0</v>
      </c>
      <c r="G13" s="9">
        <v>0</v>
      </c>
      <c r="H13" s="14" t="s">
        <v>3</v>
      </c>
      <c r="I13" s="1"/>
    </row>
    <row r="14" spans="1:9" ht="26.25" x14ac:dyDescent="0.25">
      <c r="A14" s="1"/>
      <c r="B14" s="57" t="s">
        <v>262</v>
      </c>
      <c r="C14" s="45">
        <v>75</v>
      </c>
      <c r="D14" s="9">
        <v>241250.76</v>
      </c>
      <c r="E14" s="9">
        <f t="shared" ref="E14:E20" si="1">IFERROR(D14/C14,0)</f>
        <v>3216.6768000000002</v>
      </c>
      <c r="F14" s="9">
        <v>0</v>
      </c>
      <c r="G14" s="9">
        <v>0</v>
      </c>
      <c r="H14" s="14" t="s">
        <v>3</v>
      </c>
      <c r="I14" s="1"/>
    </row>
    <row r="15" spans="1:9" ht="26.25" x14ac:dyDescent="0.25">
      <c r="A15" s="1"/>
      <c r="B15" s="57" t="s">
        <v>263</v>
      </c>
      <c r="C15" s="45">
        <v>50</v>
      </c>
      <c r="D15" s="9">
        <v>659991.54</v>
      </c>
      <c r="E15" s="9">
        <f t="shared" si="1"/>
        <v>13199.830800000002</v>
      </c>
      <c r="F15" s="9">
        <v>0</v>
      </c>
      <c r="G15" s="9">
        <v>0</v>
      </c>
      <c r="H15" s="14" t="s">
        <v>3</v>
      </c>
      <c r="I15" s="1"/>
    </row>
    <row r="16" spans="1:9" x14ac:dyDescent="0.25">
      <c r="A16" s="1"/>
      <c r="B16" s="57" t="s">
        <v>260</v>
      </c>
      <c r="C16" s="45">
        <v>75</v>
      </c>
      <c r="D16" s="9">
        <v>129183.6</v>
      </c>
      <c r="E16" s="9">
        <f t="shared" si="1"/>
        <v>1722.4480000000001</v>
      </c>
      <c r="F16" s="9">
        <v>0</v>
      </c>
      <c r="G16" s="9">
        <v>0</v>
      </c>
      <c r="H16" s="14" t="s">
        <v>3</v>
      </c>
      <c r="I16" s="1"/>
    </row>
    <row r="17" spans="1:9" ht="26.25" x14ac:dyDescent="0.25">
      <c r="A17" s="1"/>
      <c r="B17" s="57" t="s">
        <v>264</v>
      </c>
      <c r="C17" s="45">
        <v>75</v>
      </c>
      <c r="D17" s="9">
        <v>2608749.86</v>
      </c>
      <c r="E17" s="9">
        <f t="shared" si="1"/>
        <v>34783.331466666663</v>
      </c>
      <c r="F17" s="9">
        <v>0</v>
      </c>
      <c r="G17" s="9">
        <v>0</v>
      </c>
      <c r="H17" s="14" t="s">
        <v>3</v>
      </c>
      <c r="I17" s="1"/>
    </row>
    <row r="18" spans="1:9" x14ac:dyDescent="0.25">
      <c r="A18" s="1"/>
      <c r="B18" s="57" t="s">
        <v>260</v>
      </c>
      <c r="C18" s="45">
        <v>75</v>
      </c>
      <c r="D18" s="9">
        <v>226486</v>
      </c>
      <c r="E18" s="9">
        <f t="shared" si="1"/>
        <v>3019.8133333333335</v>
      </c>
      <c r="F18" s="9">
        <v>0</v>
      </c>
      <c r="G18" s="9">
        <v>0</v>
      </c>
      <c r="H18" s="14" t="s">
        <v>3</v>
      </c>
      <c r="I18" s="1"/>
    </row>
    <row r="19" spans="1:9" ht="26.25" x14ac:dyDescent="0.25">
      <c r="A19" s="1"/>
      <c r="B19" s="57" t="s">
        <v>264</v>
      </c>
      <c r="C19" s="45">
        <v>75</v>
      </c>
      <c r="D19" s="9">
        <v>19189.57</v>
      </c>
      <c r="E19" s="9">
        <f t="shared" si="1"/>
        <v>255.86093333333332</v>
      </c>
      <c r="F19" s="9">
        <v>0</v>
      </c>
      <c r="G19" s="9">
        <v>0</v>
      </c>
      <c r="H19" s="14" t="s">
        <v>3</v>
      </c>
      <c r="I19" s="1"/>
    </row>
    <row r="20" spans="1:9" ht="26.25" x14ac:dyDescent="0.25">
      <c r="A20" s="1"/>
      <c r="B20" s="57" t="s">
        <v>262</v>
      </c>
      <c r="C20" s="45">
        <v>75</v>
      </c>
      <c r="D20" s="9">
        <v>225243.87</v>
      </c>
      <c r="E20" s="9">
        <f t="shared" si="1"/>
        <v>3003.2516000000001</v>
      </c>
      <c r="F20" s="9">
        <v>0</v>
      </c>
      <c r="G20" s="9">
        <v>0</v>
      </c>
      <c r="H20" s="14" t="s">
        <v>3</v>
      </c>
      <c r="I20" s="1"/>
    </row>
    <row r="21" spans="1:9" ht="39" x14ac:dyDescent="0.25">
      <c r="A21" s="1"/>
      <c r="B21" s="57" t="s">
        <v>267</v>
      </c>
      <c r="C21" s="45">
        <v>10</v>
      </c>
      <c r="D21" s="9">
        <v>116850.44</v>
      </c>
      <c r="E21" s="9">
        <f t="shared" si="0"/>
        <v>11685.044</v>
      </c>
      <c r="F21" s="9">
        <v>0</v>
      </c>
      <c r="G21" s="9">
        <v>0</v>
      </c>
      <c r="H21" s="14" t="s">
        <v>3</v>
      </c>
      <c r="I21" s="1"/>
    </row>
    <row r="22" spans="1:9" x14ac:dyDescent="0.25">
      <c r="A22" s="1"/>
      <c r="B22" s="57" t="s">
        <v>261</v>
      </c>
      <c r="C22" s="45">
        <v>75</v>
      </c>
      <c r="D22" s="9">
        <v>1809669.02</v>
      </c>
      <c r="E22" s="9">
        <f t="shared" ref="E22:E23" si="2">IFERROR(D22/C22,0)</f>
        <v>24128.920266666668</v>
      </c>
      <c r="F22" s="9">
        <v>0</v>
      </c>
      <c r="G22" s="9">
        <v>0</v>
      </c>
      <c r="H22" s="14" t="s">
        <v>3</v>
      </c>
      <c r="I22" s="1"/>
    </row>
    <row r="23" spans="1:9" ht="26.25" x14ac:dyDescent="0.25">
      <c r="A23" s="1"/>
      <c r="B23" s="57" t="s">
        <v>262</v>
      </c>
      <c r="C23" s="45">
        <v>75</v>
      </c>
      <c r="D23" s="9">
        <v>1387777</v>
      </c>
      <c r="E23" s="9">
        <f t="shared" si="2"/>
        <v>18503.693333333333</v>
      </c>
      <c r="F23" s="9">
        <v>0</v>
      </c>
      <c r="G23" s="9">
        <v>0</v>
      </c>
      <c r="H23" s="14" t="s">
        <v>3</v>
      </c>
      <c r="I23" s="1"/>
    </row>
    <row r="24" spans="1:9" x14ac:dyDescent="0.25">
      <c r="A24" s="1"/>
      <c r="B24" s="57" t="s">
        <v>260</v>
      </c>
      <c r="C24" s="45">
        <v>75</v>
      </c>
      <c r="D24" s="9">
        <v>501660.09</v>
      </c>
      <c r="E24" s="9">
        <f t="shared" si="0"/>
        <v>6688.8012000000008</v>
      </c>
      <c r="F24" s="9">
        <v>0</v>
      </c>
      <c r="G24" s="9">
        <v>0</v>
      </c>
      <c r="H24" s="14" t="s">
        <v>3</v>
      </c>
      <c r="I24" s="1"/>
    </row>
    <row r="25" spans="1:9" x14ac:dyDescent="0.25">
      <c r="A25" s="1"/>
      <c r="B25" s="57" t="s">
        <v>268</v>
      </c>
      <c r="C25" s="45">
        <v>75</v>
      </c>
      <c r="D25" s="9">
        <v>209003</v>
      </c>
      <c r="E25" s="9">
        <f t="shared" si="0"/>
        <v>2786.7066666666665</v>
      </c>
      <c r="F25" s="9">
        <v>0</v>
      </c>
      <c r="G25" s="9">
        <v>0</v>
      </c>
      <c r="H25" s="14" t="s">
        <v>3</v>
      </c>
      <c r="I25" s="1"/>
    </row>
    <row r="26" spans="1:9" ht="39" x14ac:dyDescent="0.25">
      <c r="A26" s="1"/>
      <c r="B26" s="57" t="s">
        <v>269</v>
      </c>
      <c r="C26" s="45">
        <v>30</v>
      </c>
      <c r="D26" s="9">
        <v>26334.3</v>
      </c>
      <c r="E26" s="9">
        <f t="shared" si="0"/>
        <v>877.81</v>
      </c>
      <c r="F26" s="9">
        <v>0</v>
      </c>
      <c r="G26" s="9">
        <v>0</v>
      </c>
      <c r="H26" s="14" t="s">
        <v>3</v>
      </c>
      <c r="I26" s="1"/>
    </row>
    <row r="27" spans="1:9" ht="39" x14ac:dyDescent="0.25">
      <c r="A27" s="1"/>
      <c r="B27" s="57" t="s">
        <v>265</v>
      </c>
      <c r="C27" s="45">
        <v>50</v>
      </c>
      <c r="D27" s="9">
        <v>240024.79</v>
      </c>
      <c r="E27" s="9">
        <f t="shared" si="0"/>
        <v>4800.4958000000006</v>
      </c>
      <c r="F27" s="9">
        <v>0</v>
      </c>
      <c r="G27" s="9">
        <v>0</v>
      </c>
      <c r="H27" s="14" t="s">
        <v>3</v>
      </c>
      <c r="I27" s="1"/>
    </row>
    <row r="28" spans="1:9" ht="39" x14ac:dyDescent="0.25">
      <c r="A28" s="1"/>
      <c r="B28" s="57" t="s">
        <v>266</v>
      </c>
      <c r="C28" s="45">
        <v>20</v>
      </c>
      <c r="D28" s="9">
        <v>210314.46</v>
      </c>
      <c r="E28" s="9">
        <f t="shared" si="0"/>
        <v>10515.723</v>
      </c>
      <c r="F28" s="9">
        <v>0</v>
      </c>
      <c r="G28" s="9">
        <v>0</v>
      </c>
      <c r="H28" s="14" t="s">
        <v>3</v>
      </c>
      <c r="I28" s="1"/>
    </row>
    <row r="29" spans="1:9" x14ac:dyDescent="0.25">
      <c r="A29" s="1"/>
      <c r="B29" s="57" t="s">
        <v>261</v>
      </c>
      <c r="C29" s="45">
        <v>75</v>
      </c>
      <c r="D29" s="9">
        <v>514079.63</v>
      </c>
      <c r="E29" s="9">
        <f t="shared" si="0"/>
        <v>6854.3950666666669</v>
      </c>
      <c r="F29" s="9">
        <v>0</v>
      </c>
      <c r="G29" s="9">
        <v>0</v>
      </c>
      <c r="H29" s="14" t="s">
        <v>3</v>
      </c>
      <c r="I29" s="1"/>
    </row>
    <row r="30" spans="1:9" ht="26.25" x14ac:dyDescent="0.25">
      <c r="A30" s="1"/>
      <c r="B30" s="57" t="s">
        <v>262</v>
      </c>
      <c r="C30" s="45">
        <v>75</v>
      </c>
      <c r="D30" s="9">
        <v>514079.64</v>
      </c>
      <c r="E30" s="9">
        <f t="shared" si="0"/>
        <v>6854.3951999999999</v>
      </c>
      <c r="F30" s="9">
        <v>0</v>
      </c>
      <c r="G30" s="9">
        <v>0</v>
      </c>
      <c r="H30" s="14" t="s">
        <v>3</v>
      </c>
      <c r="I30" s="1"/>
    </row>
    <row r="31" spans="1:9" ht="39" x14ac:dyDescent="0.25">
      <c r="A31" s="1"/>
      <c r="B31" s="57" t="s">
        <v>265</v>
      </c>
      <c r="C31" s="45">
        <v>50</v>
      </c>
      <c r="D31" s="9">
        <v>201422</v>
      </c>
      <c r="E31" s="9">
        <f t="shared" si="0"/>
        <v>4028.44</v>
      </c>
      <c r="F31" s="9">
        <v>0</v>
      </c>
      <c r="G31" s="9">
        <v>0</v>
      </c>
      <c r="H31" s="14" t="s">
        <v>3</v>
      </c>
      <c r="I31" s="1"/>
    </row>
    <row r="32" spans="1:9" ht="39" x14ac:dyDescent="0.25">
      <c r="A32" s="1"/>
      <c r="B32" s="57" t="s">
        <v>266</v>
      </c>
      <c r="C32" s="45">
        <v>20</v>
      </c>
      <c r="D32" s="9">
        <v>43946</v>
      </c>
      <c r="E32" s="9">
        <f t="shared" si="0"/>
        <v>2197.3000000000002</v>
      </c>
      <c r="F32" s="9">
        <v>0</v>
      </c>
      <c r="G32" s="9">
        <v>0</v>
      </c>
      <c r="H32" s="14" t="s">
        <v>3</v>
      </c>
      <c r="I32" s="1"/>
    </row>
    <row r="33" spans="1:9" ht="39" x14ac:dyDescent="0.25">
      <c r="A33" s="1"/>
      <c r="B33" s="57" t="s">
        <v>270</v>
      </c>
      <c r="C33" s="45">
        <v>20</v>
      </c>
      <c r="D33" s="9">
        <v>1002419.59</v>
      </c>
      <c r="E33" s="9">
        <f t="shared" si="0"/>
        <v>50120.979500000001</v>
      </c>
      <c r="F33" s="9">
        <v>0</v>
      </c>
      <c r="G33" s="9">
        <v>0</v>
      </c>
      <c r="H33" s="14" t="s">
        <v>3</v>
      </c>
      <c r="I33" s="1"/>
    </row>
    <row r="34" spans="1:9" ht="39" x14ac:dyDescent="0.25">
      <c r="A34" s="1"/>
      <c r="B34" s="57" t="s">
        <v>271</v>
      </c>
      <c r="C34" s="45">
        <v>10</v>
      </c>
      <c r="D34" s="9">
        <v>18936.75</v>
      </c>
      <c r="E34" s="9">
        <f t="shared" ref="E34:E35" si="3">IFERROR(D34/C34,0)</f>
        <v>1893.675</v>
      </c>
      <c r="F34" s="9">
        <v>0</v>
      </c>
      <c r="G34" s="9">
        <v>0</v>
      </c>
      <c r="H34" s="14" t="s">
        <v>3</v>
      </c>
      <c r="I34" s="1"/>
    </row>
    <row r="35" spans="1:9" ht="39" x14ac:dyDescent="0.25">
      <c r="A35" s="1"/>
      <c r="B35" s="57" t="s">
        <v>272</v>
      </c>
      <c r="C35" s="45">
        <v>20</v>
      </c>
      <c r="D35" s="9">
        <v>121729.68</v>
      </c>
      <c r="E35" s="9">
        <f t="shared" si="3"/>
        <v>6086.4839999999995</v>
      </c>
      <c r="F35" s="9">
        <v>0</v>
      </c>
      <c r="G35" s="9">
        <v>0</v>
      </c>
      <c r="H35" s="14" t="s">
        <v>3</v>
      </c>
      <c r="I35" s="1"/>
    </row>
    <row r="36" spans="1:9" x14ac:dyDescent="0.25">
      <c r="A36" s="1"/>
      <c r="B36" s="84" t="s">
        <v>255</v>
      </c>
      <c r="C36" s="85"/>
      <c r="D36" s="86"/>
      <c r="E36" s="12">
        <f>SUM(E10:E35)</f>
        <v>237985.13116666663</v>
      </c>
      <c r="F36" s="12">
        <f>SUM(F10:F35)</f>
        <v>0</v>
      </c>
      <c r="G36" s="12">
        <f>SUM(G10:G35)</f>
        <v>0</v>
      </c>
      <c r="H36" s="13" t="s">
        <v>3</v>
      </c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B59" s="1"/>
      <c r="C59" s="1"/>
      <c r="D59" s="1"/>
      <c r="E59" s="1"/>
      <c r="F59" s="1"/>
      <c r="G59" s="1"/>
      <c r="H59" s="1"/>
    </row>
    <row r="60" spans="1:9" x14ac:dyDescent="0.25">
      <c r="B60" s="1"/>
      <c r="C60" s="1"/>
      <c r="D60" s="1"/>
      <c r="E60" s="1"/>
      <c r="F60" s="1"/>
      <c r="G60" s="1"/>
      <c r="H60" s="1"/>
    </row>
    <row r="61" spans="1:9" x14ac:dyDescent="0.25">
      <c r="B61" s="1"/>
      <c r="C61" s="1"/>
      <c r="D61" s="1"/>
      <c r="E61" s="1"/>
      <c r="F61" s="1"/>
      <c r="G61" s="1"/>
      <c r="H61" s="1"/>
    </row>
    <row r="62" spans="1:9" x14ac:dyDescent="0.25">
      <c r="B62" s="1"/>
      <c r="C62" s="1"/>
      <c r="D62" s="1"/>
      <c r="E62" s="1"/>
      <c r="F62" s="1"/>
      <c r="G62" s="1"/>
      <c r="H62" s="1"/>
    </row>
    <row r="63" spans="1:9" x14ac:dyDescent="0.25">
      <c r="B63" s="1"/>
      <c r="C63" s="1"/>
      <c r="D63" s="1"/>
      <c r="E63" s="1"/>
      <c r="F63" s="1"/>
      <c r="G63" s="1"/>
      <c r="H63" s="1"/>
    </row>
    <row r="64" spans="1:9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</sheetData>
  <sheetProtection algorithmName="SHA-512" hashValue="lzPUq4VJmi/4EnvhDZwcBqbPkHgIbKoxTHa3mM17j0tCTNOwvDMnzfQiIK9GDC/1Vz2oBlLg2ElVLrj63Fso6A==" saltValue="rT/aSZ5w+Au1psAYKQ4svQ==" spinCount="100000" sheet="1" objects="1" scenarios="1"/>
  <mergeCells count="3">
    <mergeCell ref="B3:H4"/>
    <mergeCell ref="B36:D36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273</v>
      </c>
      <c r="C10" s="24">
        <f>'Fane 9. Anlægsprojekter'!F36</f>
        <v>0</v>
      </c>
      <c r="D10" s="14" t="s">
        <v>3</v>
      </c>
      <c r="E10" s="9">
        <f>SUM('Fane 9. Anlægsprojekter'!E36,'Fane 9. Anlægsprojekter'!G36)</f>
        <v>237985.13116666663</v>
      </c>
      <c r="F10" s="14" t="s">
        <v>3</v>
      </c>
      <c r="G10" s="1"/>
    </row>
    <row r="11" spans="1:7" x14ac:dyDescent="0.25">
      <c r="A11" s="1"/>
      <c r="B11" s="27" t="s">
        <v>283</v>
      </c>
      <c r="C11" s="24">
        <v>0</v>
      </c>
      <c r="D11" s="14" t="s">
        <v>3</v>
      </c>
      <c r="E11" s="9">
        <v>47150</v>
      </c>
      <c r="F11" s="14" t="s">
        <v>3</v>
      </c>
      <c r="G11" s="1"/>
    </row>
    <row r="12" spans="1:7" x14ac:dyDescent="0.25">
      <c r="A12" s="1"/>
      <c r="B12" s="46" t="s">
        <v>278</v>
      </c>
      <c r="C12" s="24">
        <v>149163</v>
      </c>
      <c r="D12" s="14" t="s">
        <v>3</v>
      </c>
      <c r="E12" s="9">
        <v>0</v>
      </c>
      <c r="F12" s="14" t="s">
        <v>3</v>
      </c>
      <c r="G12" s="1"/>
    </row>
    <row r="13" spans="1:7" x14ac:dyDescent="0.25">
      <c r="A13" s="1"/>
      <c r="B13" s="40" t="s">
        <v>60</v>
      </c>
      <c r="C13" s="12">
        <f>SUM(C10:C12)</f>
        <v>149163</v>
      </c>
      <c r="D13" s="13" t="s">
        <v>3</v>
      </c>
      <c r="E13" s="12">
        <f>SUM(E10:E12)</f>
        <v>285135.13116666663</v>
      </c>
      <c r="F13" s="13" t="s">
        <v>3</v>
      </c>
      <c r="G13" s="1"/>
    </row>
    <row r="14" spans="1:7" x14ac:dyDescent="0.25">
      <c r="A14" s="1"/>
      <c r="B14" s="40" t="s">
        <v>70</v>
      </c>
      <c r="C14" s="12">
        <f>C13*(1+'Fane 15. Nøgletal'!C12)</f>
        <v>152101.5111</v>
      </c>
      <c r="D14" s="13" t="s">
        <v>3</v>
      </c>
      <c r="E14" s="12">
        <f>E13*(1+'Fane 15. Nøgletal'!C12)</f>
        <v>290752.29325064999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J3vUMp+kkf5inYU0F7UG9kMAeA76w9H92kHbcSCZtsOU792+lcJ1+YvlK2/Cen0iUWJtXdRLxB525C5iJyXa1Q==" saltValue="5pCCTmbrAGRjZhNlZEoET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187</v>
      </c>
      <c r="C8" s="85"/>
      <c r="D8" s="85"/>
      <c r="E8" s="85"/>
      <c r="F8" s="86"/>
      <c r="G8" s="1"/>
    </row>
    <row r="9" spans="1:7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278</v>
      </c>
      <c r="C10" s="24">
        <v>1491626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1491626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-3906.5692664624357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-29832.52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1515893.4463476255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84" t="s">
        <v>188</v>
      </c>
      <c r="C16" s="85"/>
      <c r="D16" s="85"/>
      <c r="E16" s="85"/>
      <c r="F16" s="86"/>
      <c r="G16" s="1"/>
    </row>
    <row r="17" spans="1:7" x14ac:dyDescent="0.25">
      <c r="A17" s="1"/>
      <c r="B17" s="53" t="s">
        <v>25</v>
      </c>
      <c r="C17" s="53" t="s">
        <v>16</v>
      </c>
      <c r="D17" s="54"/>
      <c r="E17" s="53" t="s">
        <v>48</v>
      </c>
      <c r="F17" s="39"/>
      <c r="G17" s="1"/>
    </row>
    <row r="18" spans="1:7" x14ac:dyDescent="0.25">
      <c r="A18" s="1"/>
      <c r="B18" s="27" t="s">
        <v>279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84" t="s">
        <v>189</v>
      </c>
      <c r="C24" s="85"/>
      <c r="D24" s="85"/>
      <c r="E24" s="85"/>
      <c r="F24" s="86"/>
      <c r="G24" s="1"/>
    </row>
    <row r="25" spans="1:7" x14ac:dyDescent="0.25">
      <c r="A25" s="1"/>
      <c r="B25" s="53" t="s">
        <v>25</v>
      </c>
      <c r="C25" s="53" t="s">
        <v>16</v>
      </c>
      <c r="D25" s="54"/>
      <c r="E25" s="53" t="s">
        <v>48</v>
      </c>
      <c r="F25" s="39"/>
      <c r="G25" s="1"/>
    </row>
    <row r="26" spans="1:7" x14ac:dyDescent="0.25">
      <c r="A26" s="1"/>
      <c r="B26" s="27" t="s">
        <v>279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84" t="s">
        <v>190</v>
      </c>
      <c r="C32" s="85"/>
      <c r="D32" s="85"/>
      <c r="E32" s="85"/>
      <c r="F32" s="86"/>
      <c r="G32" s="1"/>
    </row>
    <row r="33" spans="1:7" x14ac:dyDescent="0.25">
      <c r="A33" s="1"/>
      <c r="B33" s="53" t="s">
        <v>25</v>
      </c>
      <c r="C33" s="53" t="s">
        <v>16</v>
      </c>
      <c r="D33" s="54"/>
      <c r="E33" s="53" t="s">
        <v>48</v>
      </c>
      <c r="F33" s="39"/>
      <c r="G33" s="1"/>
    </row>
    <row r="34" spans="1:7" x14ac:dyDescent="0.25">
      <c r="A34" s="1"/>
      <c r="B34" s="27" t="s">
        <v>279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NmyqygeYba+Lf8+EPZbpoGyhr5vkYCgd1hB+WUcEHQ3Z1zo14Br3YQFLQM7iqk4+mm/RHV9X1nPoe0i4vvuLwA==" saltValue="8Snks5rRr5Tfx/oAm+C5AQ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227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93"/>
      <c r="C5" s="93"/>
      <c r="D5" s="93"/>
      <c r="E5" s="93"/>
      <c r="F5" s="93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160</v>
      </c>
      <c r="C8" s="85"/>
      <c r="D8" s="85"/>
      <c r="E8" s="85"/>
      <c r="F8" s="86"/>
      <c r="G8" s="1"/>
    </row>
    <row r="9" spans="1:7" x14ac:dyDescent="0.25">
      <c r="A9" s="1"/>
      <c r="B9" s="111" t="s">
        <v>159</v>
      </c>
      <c r="C9" s="112"/>
      <c r="D9" s="113"/>
      <c r="E9" s="9">
        <v>0</v>
      </c>
      <c r="F9" s="14" t="s">
        <v>3</v>
      </c>
      <c r="G9" s="1"/>
    </row>
    <row r="10" spans="1:7" x14ac:dyDescent="0.25">
      <c r="A10" s="1"/>
      <c r="B10" s="94" t="s">
        <v>10</v>
      </c>
      <c r="C10" s="95"/>
      <c r="D10" s="96"/>
      <c r="E10" s="9">
        <f>-E9*'Fane 5. Individuelt eff. krav'!G11</f>
        <v>0</v>
      </c>
      <c r="F10" s="14" t="s">
        <v>3</v>
      </c>
      <c r="G10" s="1"/>
    </row>
    <row r="11" spans="1:7" x14ac:dyDescent="0.25">
      <c r="A11" s="1"/>
      <c r="B11" s="94" t="s">
        <v>39</v>
      </c>
      <c r="C11" s="95"/>
      <c r="D11" s="96"/>
      <c r="E11" s="9">
        <f>-E9*'Fane 15. Nøgletal'!C25</f>
        <v>0</v>
      </c>
      <c r="F11" s="14" t="s">
        <v>3</v>
      </c>
      <c r="G11" s="1"/>
    </row>
    <row r="12" spans="1:7" x14ac:dyDescent="0.25">
      <c r="A12" s="1"/>
      <c r="B12" s="84" t="s">
        <v>164</v>
      </c>
      <c r="C12" s="85"/>
      <c r="D12" s="86"/>
      <c r="E12" s="12">
        <f>SUM(E9:E11)*(1+'Fane 15. Nøgletal'!C12)^2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4" t="s">
        <v>161</v>
      </c>
      <c r="C14" s="85"/>
      <c r="D14" s="85"/>
      <c r="E14" s="85"/>
      <c r="F14" s="86"/>
      <c r="G14" s="1"/>
    </row>
    <row r="15" spans="1:7" x14ac:dyDescent="0.25">
      <c r="A15" s="1"/>
      <c r="B15" s="111" t="s">
        <v>159</v>
      </c>
      <c r="C15" s="112"/>
      <c r="D15" s="113"/>
      <c r="E15" s="9">
        <v>0</v>
      </c>
      <c r="F15" s="14" t="s">
        <v>3</v>
      </c>
      <c r="G15" s="1"/>
    </row>
    <row r="16" spans="1:7" x14ac:dyDescent="0.25">
      <c r="A16" s="1"/>
      <c r="B16" s="94" t="s">
        <v>10</v>
      </c>
      <c r="C16" s="95"/>
      <c r="D16" s="96"/>
      <c r="E16" s="9">
        <f>-E15*'Fane 5. Individuelt eff. krav'!G11</f>
        <v>0</v>
      </c>
      <c r="F16" s="14" t="s">
        <v>3</v>
      </c>
      <c r="G16" s="1"/>
    </row>
    <row r="17" spans="1:7" x14ac:dyDescent="0.25">
      <c r="A17" s="1"/>
      <c r="B17" s="94" t="s">
        <v>39</v>
      </c>
      <c r="C17" s="95"/>
      <c r="D17" s="96"/>
      <c r="E17" s="9">
        <f>-E15*'Fane 15. Nøgletal'!C25</f>
        <v>0</v>
      </c>
      <c r="F17" s="14" t="s">
        <v>3</v>
      </c>
      <c r="G17" s="1"/>
    </row>
    <row r="18" spans="1:7" x14ac:dyDescent="0.25">
      <c r="A18" s="1"/>
      <c r="B18" s="84" t="s">
        <v>165</v>
      </c>
      <c r="C18" s="85"/>
      <c r="D18" s="86"/>
      <c r="E18" s="12">
        <f>SUM(E15:E17)*(1+'Fane 15. Nøgletal'!C12)^3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4" t="s">
        <v>162</v>
      </c>
      <c r="C20" s="85"/>
      <c r="D20" s="85"/>
      <c r="E20" s="85"/>
      <c r="F20" s="86"/>
      <c r="G20" s="1"/>
    </row>
    <row r="21" spans="1:7" x14ac:dyDescent="0.25">
      <c r="A21" s="1"/>
      <c r="B21" s="111" t="s">
        <v>159</v>
      </c>
      <c r="C21" s="112"/>
      <c r="D21" s="113"/>
      <c r="E21" s="9">
        <v>0</v>
      </c>
      <c r="F21" s="14" t="s">
        <v>3</v>
      </c>
      <c r="G21" s="1"/>
    </row>
    <row r="22" spans="1:7" x14ac:dyDescent="0.25">
      <c r="A22" s="1"/>
      <c r="B22" s="94" t="s">
        <v>10</v>
      </c>
      <c r="C22" s="95"/>
      <c r="D22" s="96"/>
      <c r="E22" s="9">
        <f>-E21*'Fane 5. Individuelt eff. krav'!G11</f>
        <v>0</v>
      </c>
      <c r="F22" s="14" t="s">
        <v>3</v>
      </c>
      <c r="G22" s="1"/>
    </row>
    <row r="23" spans="1:7" x14ac:dyDescent="0.25">
      <c r="A23" s="1"/>
      <c r="B23" s="94" t="s">
        <v>39</v>
      </c>
      <c r="C23" s="95"/>
      <c r="D23" s="96"/>
      <c r="E23" s="9">
        <f>-E21*'Fane 15. Nøgletal'!C25</f>
        <v>0</v>
      </c>
      <c r="F23" s="14" t="s">
        <v>3</v>
      </c>
      <c r="G23" s="1"/>
    </row>
    <row r="24" spans="1:7" x14ac:dyDescent="0.25">
      <c r="A24" s="1"/>
      <c r="B24" s="84" t="s">
        <v>166</v>
      </c>
      <c r="C24" s="85"/>
      <c r="D24" s="86"/>
      <c r="E24" s="12">
        <f>SUM(E21:E23)*(1+'Fane 15. Nøgletal'!C12)^4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4" t="s">
        <v>163</v>
      </c>
      <c r="C26" s="85"/>
      <c r="D26" s="85"/>
      <c r="E26" s="85"/>
      <c r="F26" s="86"/>
      <c r="G26" s="1"/>
    </row>
    <row r="27" spans="1:7" x14ac:dyDescent="0.25">
      <c r="A27" s="1"/>
      <c r="B27" s="111" t="s">
        <v>159</v>
      </c>
      <c r="C27" s="112"/>
      <c r="D27" s="113"/>
      <c r="E27" s="9">
        <v>0</v>
      </c>
      <c r="F27" s="14" t="s">
        <v>3</v>
      </c>
      <c r="G27" s="1"/>
    </row>
    <row r="28" spans="1:7" x14ac:dyDescent="0.25">
      <c r="A28" s="1"/>
      <c r="B28" s="94" t="s">
        <v>10</v>
      </c>
      <c r="C28" s="95"/>
      <c r="D28" s="96"/>
      <c r="E28" s="9">
        <f>-E27*'Fane 5. Individuelt eff. krav'!G11</f>
        <v>0</v>
      </c>
      <c r="F28" s="14" t="s">
        <v>3</v>
      </c>
      <c r="G28" s="1"/>
    </row>
    <row r="29" spans="1:7" x14ac:dyDescent="0.25">
      <c r="A29" s="1"/>
      <c r="B29" s="94" t="s">
        <v>39</v>
      </c>
      <c r="C29" s="95"/>
      <c r="D29" s="96"/>
      <c r="E29" s="9">
        <f>-E27*'Fane 15. Nøgletal'!C25</f>
        <v>0</v>
      </c>
      <c r="F29" s="14" t="s">
        <v>3</v>
      </c>
      <c r="G29" s="1"/>
    </row>
    <row r="30" spans="1:7" x14ac:dyDescent="0.25">
      <c r="A30" s="1"/>
      <c r="B30" s="84" t="s">
        <v>167</v>
      </c>
      <c r="C30" s="85"/>
      <c r="D30" s="86"/>
      <c r="E30" s="12">
        <f>SUM(E27:E29)*(1+'Fane 15. Nøgletal'!C12)^5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hLFgAqfPuf7P5E1dis2gMg+H/dF84wERuqPSj11TWnMIGs4CmS4rhKTLEEGXEjZKVNLRGQ7l37MJpwlO2jsHVw==" saltValue="7j9ghgABm+ZArOXAt+JQzw==" spinCount="100000" sheet="1" objects="1" scenarios="1"/>
  <mergeCells count="21"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223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32</v>
      </c>
      <c r="C8" s="85"/>
      <c r="D8" s="85"/>
      <c r="E8" s="85"/>
      <c r="F8" s="8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u0GzKU1P1RlHN1OkvZPdW7XQ/3hCEcRRJVVV9IYoW67leXnvo3SQot9HZBB417eH1X2vtB8ZK7s/YzWI3Sq9PQ==" saltValue="lEP5Kc9TQKbDIs0kP4VVsQ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222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169</v>
      </c>
      <c r="C8" s="85"/>
      <c r="D8" s="85"/>
      <c r="E8" s="85"/>
      <c r="F8" s="8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4" t="s">
        <v>170</v>
      </c>
      <c r="C14" s="85"/>
      <c r="D14" s="85"/>
      <c r="E14" s="85"/>
      <c r="F14" s="8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4" t="s">
        <v>168</v>
      </c>
      <c r="C20" s="85"/>
      <c r="D20" s="85"/>
      <c r="E20" s="85"/>
      <c r="F20" s="8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4" t="s">
        <v>171</v>
      </c>
      <c r="C26" s="85"/>
      <c r="D26" s="85"/>
      <c r="E26" s="85"/>
      <c r="F26" s="8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ls+1r6o4EGaitWEC3VT+pklIhHWTePlHlayIiXL7lAL8AgvKJvjzJK2kYl3NmkF0EitvbjneNAw9bBd+KHzkZA==" saltValue="j7q9x5i1t+pbRWaBhSKkog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18</v>
      </c>
      <c r="C8" s="85"/>
      <c r="D8" s="85"/>
      <c r="E8" s="85"/>
      <c r="F8" s="85"/>
      <c r="G8" s="85"/>
      <c r="H8" s="8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7471170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-7471170.111111111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-0.11111111100763083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0</v>
      </c>
      <c r="H13" s="14" t="s">
        <v>28</v>
      </c>
      <c r="I13" s="1"/>
    </row>
    <row r="14" spans="1:9" x14ac:dyDescent="0.25">
      <c r="A14" s="1"/>
      <c r="B14" s="84" t="s">
        <v>138</v>
      </c>
      <c r="C14" s="85"/>
      <c r="D14" s="85"/>
      <c r="E14" s="85"/>
      <c r="F14" s="86"/>
      <c r="G14" s="12">
        <f>IF(G13 = 0,0,-G12/G13)</f>
        <v>0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Y1EnL9EFCsZHzKtlACPtNmYcHIrCZy6aE8ckHZy2Ax6WrNWiVUzDCUUOJfTHIS4yi4gxm+Ye/eK2LbQBoVHaNw==" saltValue="30iLu9KlD+7/83tB/mTAug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65943965.514745511</v>
      </c>
      <c r="D9" s="8" t="s">
        <v>3</v>
      </c>
      <c r="E9" s="1"/>
    </row>
    <row r="10" spans="1:5" ht="17.100000000000001" customHeight="1" x14ac:dyDescent="0.25">
      <c r="A10" s="1"/>
      <c r="B10" s="49" t="s">
        <v>64</v>
      </c>
      <c r="C10" s="7">
        <f>'Fane 10.1. Varige tillæg'!C14</f>
        <v>152101.5111</v>
      </c>
      <c r="D10" s="8" t="s">
        <v>3</v>
      </c>
      <c r="E10" s="1"/>
    </row>
    <row r="11" spans="1:5" ht="17.100000000000001" customHeight="1" x14ac:dyDescent="0.25">
      <c r="A11" s="1"/>
      <c r="B11" s="49" t="s">
        <v>65</v>
      </c>
      <c r="C11" s="9">
        <f>'Fane 10.1. Varige tillæg'!E14</f>
        <v>290752.29325064999</v>
      </c>
      <c r="D11" s="8" t="s">
        <v>3</v>
      </c>
      <c r="E11" s="1"/>
    </row>
    <row r="12" spans="1:5" ht="17.100000000000001" customHeight="1" x14ac:dyDescent="0.25">
      <c r="A12" s="1"/>
      <c r="B12" s="49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49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49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49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49" t="s">
        <v>27</v>
      </c>
      <c r="C16" s="9">
        <f>SUM(C9:C15)*'Fane 15. Nøgletal'!C12</f>
        <v>1307820.3405861943</v>
      </c>
      <c r="D16" s="8" t="s">
        <v>3</v>
      </c>
      <c r="E16" s="1"/>
    </row>
    <row r="17" spans="1:5" ht="17.100000000000001" customHeight="1" x14ac:dyDescent="0.25">
      <c r="A17" s="1"/>
      <c r="B17" s="49" t="s">
        <v>10</v>
      </c>
      <c r="C17" s="9">
        <f>-SUM(C9:C16)*'Fane 5. Individuelt eff. krav'!G11</f>
        <v>-177292.29632546243</v>
      </c>
      <c r="D17" s="8" t="s">
        <v>3</v>
      </c>
      <c r="E17" s="1"/>
    </row>
    <row r="18" spans="1:5" ht="17.100000000000001" customHeight="1" x14ac:dyDescent="0.25">
      <c r="A18" s="1"/>
      <c r="B18" s="49" t="s">
        <v>39</v>
      </c>
      <c r="C18" s="9">
        <f>-'Fane 4.1. Gen. krav - drift'!G28</f>
        <v>-307477.76488775486</v>
      </c>
      <c r="D18" s="8" t="s">
        <v>3</v>
      </c>
      <c r="E18" s="1"/>
    </row>
    <row r="19" spans="1:5" ht="17.100000000000001" customHeight="1" x14ac:dyDescent="0.25">
      <c r="A19" s="1"/>
      <c r="B19" s="49" t="s">
        <v>40</v>
      </c>
      <c r="C19" s="9">
        <f>-'Fane 4.2. Gen. krav - anlæg'!G25</f>
        <v>-1489260.7951619492</v>
      </c>
      <c r="D19" s="8" t="s">
        <v>3</v>
      </c>
      <c r="E19" s="1"/>
    </row>
    <row r="20" spans="1:5" ht="17.100000000000001" customHeight="1" x14ac:dyDescent="0.25">
      <c r="A20" s="1"/>
      <c r="B20" s="50" t="s">
        <v>29</v>
      </c>
      <c r="C20" s="10">
        <f>SUM(C9:C19)</f>
        <v>65720608.803307205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omk.'!C15+'Fane 6. Ikke-påvirkelige omk.'!C19+'Fane 6. Ikke-påvirkelige omk.'!C27</f>
        <v>768332.69291988004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0" t="s">
        <v>145</v>
      </c>
      <c r="C24" s="10">
        <f>'Fane 11. Periodevise driftsomk.'!E12</f>
        <v>0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49" t="s">
        <v>140</v>
      </c>
      <c r="C26" s="9">
        <f>'Fane 10.2. Engangstillæg'!C14</f>
        <v>1515893.4463476255</v>
      </c>
      <c r="D26" s="8" t="s">
        <v>3</v>
      </c>
      <c r="E26" s="1"/>
    </row>
    <row r="27" spans="1:5" ht="15" customHeight="1" x14ac:dyDescent="0.25">
      <c r="A27" s="1"/>
      <c r="B27" s="49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0" t="s">
        <v>147</v>
      </c>
      <c r="C28" s="10">
        <f>SUM(C26:C27)</f>
        <v>1515893.4463476255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0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-484748.41055352241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0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67520086.532021195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8jF23S1dGY0l/Aah6sH79Ab4CmGj7eW1YUb2LMIG9nlen5TeM4blbdax8YBDelQDH7g90VqgHj0WZn3jhfh1cg==" saltValue="zYXcZvtpcQPuuXM6CrSkS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3" t="s">
        <v>248</v>
      </c>
      <c r="C3" s="93"/>
      <c r="D3" s="1"/>
    </row>
    <row r="4" spans="1:4" ht="25.5" customHeight="1" x14ac:dyDescent="0.25">
      <c r="A4" s="1"/>
      <c r="B4" s="93"/>
      <c r="C4" s="93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5" t="s">
        <v>228</v>
      </c>
      <c r="C9" s="28">
        <v>1.2699999999999999E-2</v>
      </c>
      <c r="D9" s="1"/>
    </row>
    <row r="10" spans="1:4" x14ac:dyDescent="0.25">
      <c r="A10" s="1"/>
      <c r="B10" s="55" t="s">
        <v>229</v>
      </c>
      <c r="C10" s="28">
        <v>1.7500000000000002E-2</v>
      </c>
      <c r="D10" s="1"/>
    </row>
    <row r="11" spans="1:4" x14ac:dyDescent="0.25">
      <c r="A11" s="1"/>
      <c r="B11" s="55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5" t="s">
        <v>231</v>
      </c>
      <c r="C17" s="25">
        <v>9.1000000000000004E-3</v>
      </c>
      <c r="D17" s="1"/>
    </row>
    <row r="18" spans="1:4" x14ac:dyDescent="0.25">
      <c r="A18" s="1"/>
      <c r="B18" s="55" t="s">
        <v>232</v>
      </c>
      <c r="C18" s="25">
        <v>1.77E-2</v>
      </c>
      <c r="D18" s="1"/>
    </row>
    <row r="19" spans="1:4" x14ac:dyDescent="0.25">
      <c r="A19" s="1"/>
      <c r="B19" s="55" t="s">
        <v>233</v>
      </c>
      <c r="C19" s="25">
        <v>8.6999999999999994E-3</v>
      </c>
      <c r="D19" s="1"/>
    </row>
    <row r="20" spans="1:4" x14ac:dyDescent="0.25">
      <c r="A20" s="1"/>
      <c r="B20" s="55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5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m4+mp9X1Hj2trWr3U9uOU4qk0oK9j8GBydnv8nk4+Lmfjx9I5tULx13byACa/ju7XKFOThuE4QyBov2KU2bD0Q==" saltValue="iBXoyR9jzYxihec7s0LeKQ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65720608.803307205</v>
      </c>
      <c r="D9" s="8" t="s">
        <v>3</v>
      </c>
      <c r="E9" s="1"/>
    </row>
    <row r="10" spans="1:5" ht="15" customHeight="1" x14ac:dyDescent="0.25">
      <c r="A10" s="1"/>
      <c r="B10" s="49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49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1294695.9934251518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-175513.11796759194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-307264.3753189228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-1475471.0146143632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65057056.28883148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Nøgletal'!C12)+'Fane 6. Ikke-påvirkelige omk.'!C20+'Fane 6. Ikke-påvirkelige omk.'!C28</f>
        <v>783468.8469704017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driftsomk.'!E18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-484748.41055352241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65355776.725248359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vo38C2ZWCSgol11zfGmwLZwHo8IvHcOJHoAEJWOaNe5RQGtomLrGqNnDYcTeMEDfZZhb+qRRDf/bEzetEIEZ5A==" saltValue="PM/uKkpo+R1uHIPVUZ+I9A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2.2. Økonomisk ramme 2021'!C16</f>
        <v>65057056.28883148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1281624.0088899801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-173741.03805428155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-307051.13384245144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-1461808.9202639619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64396079.205560766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Nøgletal'!C12)^2+'Fane 6. Ikke-påvirkelige omk.'!C21+'Fane 6. Ikke-påvirkelige omk.'!C29</f>
        <v>798903.18325571867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driftsomk.'!E24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65194982.388816483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Y9IFoQpbGp3I54OpxVfeLXprqOkNnxlLxBIpY5wiRc4WA90JYh5YtlNduBsS1f3NFb7jdQoAShzHrU6p3GNjTw==" saltValue="USoEbabMKkSHBFdWwtMv4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282</v>
      </c>
      <c r="C9" s="7">
        <f>'Fane 2.3. Økonomisk ramme 2022'!C16</f>
        <v>64396079.205560766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1268602.760349547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-171975.83607422732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-306838.04035556479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-1448273.3298029562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63737594.759677574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omk.'!C15*(1+'Fane 15. Nøgletal'!C12)^3+'Fane 6. Ikke-påvirkelige omk.'!C22+'Fane 6. Ikke-påvirkelige omk.'!C30</f>
        <v>814641.57596585632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driftsomk.'!E30</f>
        <v>0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64552236.335643433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7lT9Gqw23oYuFR0rgpE/ukfE0muyMIK/sFtt5LhJutwxNbn2PAeOPcYcs6eQs8fK3t0nLfjD9AdBPFENilWDtw==" saltValue="sLDUL4bXWnmzkyYFE0xgK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52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243</v>
      </c>
      <c r="C3" s="93"/>
      <c r="D3" s="93"/>
      <c r="E3" s="93"/>
      <c r="F3" s="93"/>
      <c r="G3" s="1"/>
    </row>
    <row r="4" spans="1:7" ht="29.2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65216749.318457715</v>
      </c>
      <c r="F9" s="8" t="s">
        <v>3</v>
      </c>
      <c r="G9" s="1"/>
    </row>
    <row r="10" spans="1:7" ht="15" customHeight="1" x14ac:dyDescent="0.25">
      <c r="A10" s="1"/>
      <c r="B10" s="94" t="s">
        <v>64</v>
      </c>
      <c r="C10" s="95"/>
      <c r="D10" s="96"/>
      <c r="E10" s="7">
        <v>115773.04810000025</v>
      </c>
      <c r="F10" s="8" t="s">
        <v>3</v>
      </c>
      <c r="G10" s="1"/>
    </row>
    <row r="11" spans="1:7" ht="15" customHeight="1" x14ac:dyDescent="0.25">
      <c r="A11" s="1"/>
      <c r="B11" s="94" t="s">
        <v>65</v>
      </c>
      <c r="C11" s="95"/>
      <c r="D11" s="96"/>
      <c r="E11" s="9">
        <v>747245.57629999996</v>
      </c>
      <c r="F11" s="8" t="s">
        <v>3</v>
      </c>
      <c r="G11" s="1"/>
    </row>
    <row r="12" spans="1:7" ht="15" customHeight="1" x14ac:dyDescent="0.25">
      <c r="A12" s="1"/>
      <c r="B12" s="94" t="s">
        <v>42</v>
      </c>
      <c r="C12" s="95"/>
      <c r="D12" s="96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1155878.1278253703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-72658.6119653598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-304587.19018036663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-914434.75379185216</v>
      </c>
      <c r="F19" s="8" t="s">
        <v>3</v>
      </c>
      <c r="G19" s="1"/>
    </row>
    <row r="20" spans="1:7" ht="15" customHeight="1" x14ac:dyDescent="0.25">
      <c r="A20" s="1"/>
      <c r="B20" s="50" t="s">
        <v>29</v>
      </c>
      <c r="C20" s="51"/>
      <c r="D20" s="52"/>
      <c r="E20" s="10">
        <f>SUM(E9:E19)</f>
        <v>65943965.514745511</v>
      </c>
      <c r="F20" s="11" t="s">
        <v>3</v>
      </c>
      <c r="G20" s="1"/>
    </row>
    <row r="21" spans="1:7" ht="15" customHeight="1" x14ac:dyDescent="0.25">
      <c r="A21" s="1"/>
      <c r="B21" s="84" t="s">
        <v>145</v>
      </c>
      <c r="C21" s="85"/>
      <c r="D21" s="85"/>
      <c r="E21" s="85"/>
      <c r="F21" s="8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0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0</v>
      </c>
      <c r="F23" s="8" t="s">
        <v>3</v>
      </c>
      <c r="G23" s="1"/>
    </row>
    <row r="24" spans="1:7" ht="15" customHeight="1" x14ac:dyDescent="0.25">
      <c r="A24" s="1"/>
      <c r="B24" s="87" t="s">
        <v>240</v>
      </c>
      <c r="C24" s="88"/>
      <c r="D24" s="89"/>
      <c r="E24" s="10">
        <f>SUM(E22:E23)</f>
        <v>0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7" t="s">
        <v>17</v>
      </c>
      <c r="C26" s="88"/>
      <c r="D26" s="89"/>
      <c r="E26" s="10">
        <v>791280.24060077977</v>
      </c>
      <c r="F26" s="11" t="s">
        <v>3</v>
      </c>
      <c r="G26" s="1"/>
    </row>
    <row r="27" spans="1:7" ht="15" customHeight="1" x14ac:dyDescent="0.25">
      <c r="A27" s="1"/>
      <c r="B27" s="40" t="s">
        <v>144</v>
      </c>
      <c r="C27" s="34"/>
      <c r="D27" s="34"/>
      <c r="E27" s="34"/>
      <c r="F27" s="22"/>
      <c r="G27" s="1"/>
    </row>
    <row r="28" spans="1:7" ht="15" customHeight="1" x14ac:dyDescent="0.25">
      <c r="A28" s="1"/>
      <c r="B28" s="81" t="s">
        <v>140</v>
      </c>
      <c r="C28" s="82"/>
      <c r="D28" s="83"/>
      <c r="E28" s="44">
        <v>1765949.3596213995</v>
      </c>
      <c r="F28" s="8" t="s">
        <v>281</v>
      </c>
      <c r="G28" s="1"/>
    </row>
    <row r="29" spans="1:7" ht="15" customHeight="1" x14ac:dyDescent="0.25">
      <c r="A29" s="1"/>
      <c r="B29" s="81" t="s">
        <v>141</v>
      </c>
      <c r="C29" s="82"/>
      <c r="D29" s="83"/>
      <c r="E29" s="44">
        <v>0</v>
      </c>
      <c r="F29" s="8" t="s">
        <v>281</v>
      </c>
      <c r="G29" s="1"/>
    </row>
    <row r="30" spans="1:7" ht="15" customHeight="1" x14ac:dyDescent="0.25">
      <c r="A30" s="1"/>
      <c r="B30" s="81" t="s">
        <v>280</v>
      </c>
      <c r="C30" s="82"/>
      <c r="D30" s="83"/>
      <c r="E30" s="44">
        <f>-(E28*'Fane 5. Individuelt eff. krav'!G10+E28*'Fane 15. Nøgletal'!C25)</f>
        <v>-37227.371163875468</v>
      </c>
      <c r="F30" s="8" t="s">
        <v>281</v>
      </c>
      <c r="G30" s="1"/>
    </row>
    <row r="31" spans="1:7" ht="15" customHeight="1" x14ac:dyDescent="0.25">
      <c r="A31" s="1"/>
      <c r="B31" s="50" t="s">
        <v>147</v>
      </c>
      <c r="C31" s="51"/>
      <c r="D31" s="51"/>
      <c r="E31" s="10">
        <f>SUM(E28:E30)</f>
        <v>1728721.988457524</v>
      </c>
      <c r="F31" s="39" t="s">
        <v>3</v>
      </c>
      <c r="G31" s="1"/>
    </row>
    <row r="32" spans="1:7" x14ac:dyDescent="0.25">
      <c r="A32" s="1"/>
      <c r="B32" s="40" t="s">
        <v>80</v>
      </c>
      <c r="C32" s="34"/>
      <c r="D32" s="34"/>
      <c r="E32" s="34"/>
      <c r="F32" s="22"/>
      <c r="G32" s="1"/>
    </row>
    <row r="33" spans="1:7" ht="27" customHeight="1" x14ac:dyDescent="0.25">
      <c r="A33" s="1"/>
      <c r="B33" s="90" t="s">
        <v>134</v>
      </c>
      <c r="C33" s="91"/>
      <c r="D33" s="92"/>
      <c r="E33" s="10">
        <v>5459.3937591341864</v>
      </c>
      <c r="F33" s="11" t="s">
        <v>3</v>
      </c>
      <c r="G33" s="1"/>
    </row>
    <row r="34" spans="1:7" x14ac:dyDescent="0.25">
      <c r="A34" s="1"/>
      <c r="B34" s="40" t="s">
        <v>11</v>
      </c>
      <c r="C34" s="34"/>
      <c r="D34" s="34"/>
      <c r="E34" s="34"/>
      <c r="F34" s="22"/>
      <c r="G34" s="1"/>
    </row>
    <row r="35" spans="1:7" ht="15" customHeight="1" x14ac:dyDescent="0.25">
      <c r="A35" s="1"/>
      <c r="B35" s="90" t="s">
        <v>19</v>
      </c>
      <c r="C35" s="91"/>
      <c r="D35" s="92"/>
      <c r="E35" s="10">
        <v>0</v>
      </c>
      <c r="F35" s="11" t="s">
        <v>3</v>
      </c>
      <c r="G35" s="1"/>
    </row>
    <row r="36" spans="1:7" x14ac:dyDescent="0.25">
      <c r="A36" s="1"/>
      <c r="B36" s="84" t="s">
        <v>24</v>
      </c>
      <c r="C36" s="85"/>
      <c r="D36" s="86"/>
      <c r="E36" s="12">
        <f>SUM(E35,E31,E33,E26,E20,E24)</f>
        <v>68469427.137562945</v>
      </c>
      <c r="F36" s="13" t="s">
        <v>3</v>
      </c>
      <c r="G36" s="1"/>
    </row>
    <row r="37" spans="1:7" ht="27" customHeight="1" x14ac:dyDescent="0.25">
      <c r="A37" s="1"/>
      <c r="B37" s="81" t="s">
        <v>208</v>
      </c>
      <c r="C37" s="82"/>
      <c r="D37" s="82"/>
      <c r="E37" s="82"/>
      <c r="F37" s="83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</sheetData>
  <sheetProtection algorithmName="SHA-512" hashValue="efpnBKI7Itx086XBBS61xbnJy0BrP3BWQTiI7qiYi2IKF7/h7rZzekSUzdPEcgh/LwTfPooX9IO2LBF440kzNA==" saltValue="QZzcMzBbipigODZDXyKzWQ==" spinCount="100000" sheet="1" objects="1" scenarios="1"/>
  <mergeCells count="24">
    <mergeCell ref="B37:F37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33:D33"/>
    <mergeCell ref="B36:D36"/>
    <mergeCell ref="B22:D22"/>
    <mergeCell ref="B23:D23"/>
    <mergeCell ref="B21:F21"/>
    <mergeCell ref="B24:D24"/>
    <mergeCell ref="B35:D35"/>
    <mergeCell ref="B28:D28"/>
    <mergeCell ref="B29:D29"/>
    <mergeCell ref="B30:D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84" t="s">
        <v>94</v>
      </c>
      <c r="C5" s="85"/>
      <c r="D5" s="85"/>
      <c r="E5" s="85"/>
      <c r="F5" s="85"/>
      <c r="G5" s="85"/>
      <c r="H5" s="8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15039675.0832849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0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300793.50166569802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84" t="s">
        <v>95</v>
      </c>
      <c r="C11" s="85"/>
      <c r="D11" s="85"/>
      <c r="E11" s="85"/>
      <c r="F11" s="85"/>
      <c r="G11" s="85"/>
      <c r="H11" s="8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14996812.009297539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75094.205963921384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1266686.3147125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108765.66250000001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328947.16384947917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84" t="s">
        <v>96</v>
      </c>
      <c r="C19" s="85"/>
      <c r="D19" s="85"/>
      <c r="E19" s="85"/>
      <c r="F19" s="85"/>
      <c r="G19" s="85"/>
      <c r="H19" s="8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15111629.896405442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f>1883678.97223429-1707740*1.0169^2</f>
        <v>117729.61261289055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304587.19018036663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84" t="s">
        <v>97</v>
      </c>
      <c r="C25" s="85"/>
      <c r="D25" s="85"/>
      <c r="E25" s="85"/>
      <c r="F25" s="85"/>
      <c r="G25" s="85"/>
      <c r="H25" s="8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15218790.333519073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155097.91086867001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307477.76488775486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84" t="s">
        <v>100</v>
      </c>
      <c r="C31" s="85"/>
      <c r="D31" s="85"/>
      <c r="E31" s="85"/>
      <c r="F31" s="85"/>
      <c r="G31" s="85"/>
      <c r="H31" s="8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15363218.765946139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307264.3753189228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84" t="s">
        <v>127</v>
      </c>
      <c r="C37" s="85"/>
      <c r="D37" s="85"/>
      <c r="E37" s="85"/>
      <c r="F37" s="85"/>
      <c r="G37" s="85"/>
      <c r="H37" s="8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15352556.692122573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307051.13384245144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84" t="s">
        <v>128</v>
      </c>
      <c r="C43" s="85"/>
      <c r="D43" s="85"/>
      <c r="E43" s="85"/>
      <c r="F43" s="85"/>
      <c r="G43" s="85"/>
      <c r="H43" s="8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15341902.01777824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306838.04035556479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XZygeGywVGLDDDMDPM0Mci35HdldRNV+jER1gAH7GEaGmkdVnbTGGLIzpi9YSRvw35ZwAFQVSdGre7k3owoFnQ==" saltValue="ExQD/XgIb1rx/OJc0sB+EA==" spinCount="100000" sheet="1" objects="1" scenarios="1"/>
  <mergeCells count="31">
    <mergeCell ref="B2:H4"/>
    <mergeCell ref="B5:H5"/>
    <mergeCell ref="B6:F6"/>
    <mergeCell ref="B8:F8"/>
    <mergeCell ref="B12:F12"/>
    <mergeCell ref="B11:H11"/>
    <mergeCell ref="B7:F7"/>
    <mergeCell ref="B44:F44"/>
    <mergeCell ref="B46:F46"/>
    <mergeCell ref="B39:F39"/>
    <mergeCell ref="B45:F45"/>
    <mergeCell ref="B40:F40"/>
    <mergeCell ref="B38:F38"/>
    <mergeCell ref="B33:F33"/>
    <mergeCell ref="B34:F34"/>
    <mergeCell ref="B25:H25"/>
    <mergeCell ref="B43:H43"/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6"/>
      <c r="C3" s="56"/>
      <c r="D3" s="56"/>
      <c r="E3" s="56"/>
      <c r="F3" s="56"/>
      <c r="G3" s="56"/>
      <c r="H3" s="56"/>
      <c r="I3" s="1"/>
    </row>
    <row r="4" spans="1:9" x14ac:dyDescent="0.25">
      <c r="A4" s="1"/>
      <c r="B4" s="84" t="s">
        <v>98</v>
      </c>
      <c r="C4" s="85"/>
      <c r="D4" s="85"/>
      <c r="E4" s="85"/>
      <c r="F4" s="85"/>
      <c r="G4" s="85"/>
      <c r="H4" s="8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51122047.933218576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465210.63619228906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84" t="s">
        <v>106</v>
      </c>
      <c r="C9" s="85"/>
      <c r="D9" s="85"/>
      <c r="E9" s="85"/>
      <c r="F9" s="85"/>
      <c r="G9" s="85"/>
      <c r="H9" s="8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51543331.94972425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-227690.76428767131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908286.84898222738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84" t="s">
        <v>110</v>
      </c>
      <c r="C16" s="85"/>
      <c r="D16" s="85"/>
      <c r="E16" s="85"/>
      <c r="F16" s="85"/>
      <c r="G16" s="85"/>
      <c r="H16" s="8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51289483.037342303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759874.02653946984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914434.75379185216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84" t="s">
        <v>114</v>
      </c>
      <c r="C22" s="85"/>
      <c r="D22" s="85"/>
      <c r="E22" s="85"/>
      <c r="F22" s="85"/>
      <c r="G22" s="85"/>
      <c r="H22" s="8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52142280.279598691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296480.11342768779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1489260.7951619492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84" t="s">
        <v>118</v>
      </c>
      <c r="C28" s="85"/>
      <c r="D28" s="85"/>
      <c r="E28" s="85"/>
      <c r="F28" s="85"/>
      <c r="G28" s="85"/>
      <c r="H28" s="8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51953204.739942364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1475471.0146143632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84" t="s">
        <v>129</v>
      </c>
      <c r="C34" s="85"/>
      <c r="D34" s="85"/>
      <c r="E34" s="85"/>
      <c r="F34" s="85"/>
      <c r="G34" s="85"/>
      <c r="H34" s="8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51472145.079716966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1461808.9202639619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84" t="s">
        <v>130</v>
      </c>
      <c r="C40" s="85"/>
      <c r="D40" s="85"/>
      <c r="E40" s="85"/>
      <c r="F40" s="85"/>
      <c r="G40" s="85"/>
      <c r="H40" s="8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50995539.781794228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1448273.3298029562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Vp0SkFvUYheXkc53TyQd45l1ingbqEdm3I4I6pcy+42ooiiPPob1noMWMdrmToPokjthLfeVJwb/2MDqkPLxdQ==" saltValue="tE83HXidprDsuiuKdFQI1A==" spinCount="100000" sheet="1" objects="1" scenarios="1"/>
  <mergeCells count="29"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10</v>
      </c>
      <c r="C8" s="85"/>
      <c r="D8" s="85"/>
      <c r="E8" s="85"/>
      <c r="F8" s="85"/>
      <c r="G8" s="85"/>
      <c r="H8" s="8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0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1.0806561134100755E-3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2.6190005178660307E-3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qRIIg1JThbIwP0eaOAWZYeel1IhyZfomWd5oLX5j/z52TEm7qVnS+0zX8Aj6jKK8bA2johMfNWSCmITlgGjS1g==" saltValue="H7EovuamE+E+BsmQQ9cXsw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2020-02-25T07:58:26Z</dcterms:modified>
</cp:coreProperties>
</file>