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C17" i="19" l="1"/>
  <c r="C16" i="19"/>
  <c r="C15" i="19"/>
  <c r="C14" i="19"/>
  <c r="E15" i="2" l="1"/>
  <c r="E13" i="37" l="1"/>
  <c r="C13" i="37"/>
  <c r="E12" i="37" l="1"/>
  <c r="C12" i="37"/>
  <c r="C11" i="37" l="1"/>
  <c r="C14" i="37" s="1"/>
  <c r="E11" i="37"/>
  <c r="E14" i="37"/>
  <c r="C18" i="19"/>
  <c r="E9" i="40" l="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9" i="23" l="1"/>
  <c r="E11" i="15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1" i="11"/>
  <c r="C10" i="37" s="1"/>
  <c r="C15" i="37" s="1"/>
  <c r="G11" i="11"/>
  <c r="E11" i="21" l="1"/>
  <c r="C11" i="21"/>
  <c r="E11" i="29"/>
  <c r="C11" i="29"/>
  <c r="C19" i="19"/>
  <c r="E14" i="23" l="1"/>
  <c r="E19" i="2"/>
  <c r="E14" i="22"/>
  <c r="E16" i="15"/>
  <c r="C12" i="21"/>
  <c r="E12" i="21"/>
  <c r="C12" i="29"/>
  <c r="E12" i="29"/>
  <c r="E14" i="2" l="1"/>
  <c r="E13" i="2"/>
  <c r="E11" i="11" l="1"/>
  <c r="E10" i="37" s="1"/>
  <c r="E15" i="37" s="1"/>
  <c r="E12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<sst xmlns="http://schemas.openxmlformats.org/spreadsheetml/2006/main" count="441" uniqueCount="171">
  <si>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</si>
  <si>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</si>
  <si>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</si>
  <si>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</si>
  <si>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</si>
  <si>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</si>
  <si>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</si>
  <si>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</si>
  <si>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</si>
  <si>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</si>
  <si>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</si>
  <si>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</si>
  <si>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</si>
  <si>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</si>
  <si>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</si>
  <si>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</si>
  <si>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</si>
  <si>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</si>
  <si>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</si>
  <si>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</si>
  <si>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</si>
  <si>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</si>
  <si>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</si>
  <si>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</si>
  <si>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</si>
  <si>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</si>
  <si>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</si>
  <si>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</si>
  <si>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</si>
  <si>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</si>
  <si>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</si>
  <si>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</si>
  <si>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</si>
  <si>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</si>
  <si>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</si>
  <si>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</si>
  <si>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</si>
  <si>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</si>
  <si>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</si>
  <si>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</si>
  <si>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</si>
  <si>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</si>
  <si>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</si>
  <si>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</si>
  <si>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</si>
  <si>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</si>
  <si>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</si>
  <si>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</si>
  <si>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</si>
  <si>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</si>
  <si>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</si>
  <si>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</si>
  <si>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</si>
  <si>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</si>
  <si>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</si>
  <si>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</si>
  <si>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</si>
  <si>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</si>
  <si>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</si>
  <si>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</si>
  <si>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</si>
  <si>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</si>
  <si>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</si>
  <si>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</si>
  <si>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</si>
  <si>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</si>
  <si>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</si>
  <si>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</si>
  <si>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</si>
  <si>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</si>
  <si>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</si>
  <si>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</si>
  <si>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</si>
  <si>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</si>
  <si>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</si>
  <si>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</si>
  <si>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</si>
  <si>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</si>
  <si>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</si>
  <si>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</si>
  <si>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</si>
  <si>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</si>
  <si>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</si>
  <si>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</si>
  <si>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</si>
  <si>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</si>
  <si>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</si>
  <si>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</si>
  <si>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</si>
  <si>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</si>
  <si>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</si>
  <si>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</si>
  <si>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</si>
  <si>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</si>
  <si>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</si>
  <si>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</si>
  <si>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</si>
  <si>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</si>
  <si>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</si>
  <si>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</si>
  <si>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</si>
  <si>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</si>
  <si>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</si>
  <si>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</si>
  <si>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</si>
  <si>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</si>
  <si>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</si>
  <si>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</si>
  <si>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</si>
  <si>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</si>
  <si>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</si>
  <si>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</si>
  <si>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</si>
  <si>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</si>
  <si>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</si>
  <si>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</si>
  <si>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</si>
  <si>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</si>
  <si>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</si>
  <si>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</si>
  <si>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</si>
  <si>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</si>
  <si>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</si>
  <si>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</si>
  <si>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</si>
  <si>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</si>
  <si>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</si>
  <si>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</si>
  <si>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</si>
  <si>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</si>
  <si>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</si>
  <si>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</si>
  <si>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</si>
  <si>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</si>
  <si>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</si>
  <si>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</si>
  <si>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</si>
  <si>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</si>
  <si>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</si>
  <si>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</si>
  <si>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</si>
  <si>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</si>
  <si>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</si>
  <si>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</si>
  <si>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</si>
  <si>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</si>
  <si>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</si>
  <si>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Afgift for ledningsført vand</t>
  </si>
  <si>
    <t>Afgift til Forsyningssekretariatet</t>
  </si>
  <si>
    <t>Køb af produkter og ydelser fra andre vandselskaber reguleret af vandsektorloven</t>
  </si>
  <si>
    <t>Ejendomsskat</t>
  </si>
  <si>
    <t>Ingen engangstillæg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</si>
  <si>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</si>
  <si>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</si>
  <si>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</si>
  <si>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</si>
  <si>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</si>
  <si>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</si>
  <si>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</si>
  <si>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</si>
  <si>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</si>
  <si>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Ingen anlægsprojekter</t>
  </si>
  <si>
    <t>Anlægsprojekter igangsat senest 1. marts 2016</t>
  </si>
  <si>
    <t>Korrektion af grundlag</t>
  </si>
  <si>
    <t>Køb af ydelser og produkter fra andre vandselskaber reguleret af vandsektorloven (Auning Vandværk)</t>
  </si>
  <si>
    <t>Afgift for ledningsført vand (Auning Vandværk)</t>
  </si>
  <si>
    <t>Fusion med Auning Vandværk</t>
  </si>
  <si>
    <t>Fusion med Vester Alling Vandværk</t>
  </si>
  <si>
    <t>Fusion med Ring Vandværk</t>
  </si>
  <si>
    <t>Afgift for ledningsført vand (Vester Alling Vandværk)</t>
  </si>
  <si>
    <t>Afgidt for ledningsført vand (Ring Vandværk)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</si>
</sst>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0" fontId="8" fillId="8" borderId="2" xfId="0" applyFont="1" applyFill="1" applyBorder="1" applyAlignment="1" applyProtection="1">
      <alignment wrapText="1"/>
    </xf>
    <xf numFmtId="49" fontId="8" fillId="8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8" borderId="2" xfId="0" applyFont="1" applyFill="1" applyBorder="1" applyAlignment="1" applyProtection="1">
      <alignment wrapText="1"/>
      <protection locked="0"/>
    </xf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>
      <selection activeCell="D33" sqref="D33"/>
    </sheetView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53" t="s">
        <v>4</v>
      </c>
      <c r="E6" s="53"/>
      <c r="F6" s="53"/>
      <c r="G6" s="53"/>
      <c r="H6" s="3"/>
      <c r="I6" s="1"/>
    </row>
    <row r="7" spans="1:9" ht="15" customHeight="1" x14ac:dyDescent="0.25">
      <c r="A7" s="1"/>
      <c r="B7" s="1"/>
      <c r="C7" s="3"/>
      <c r="D7" s="53"/>
      <c r="E7" s="53"/>
      <c r="F7" s="53"/>
      <c r="G7" s="53"/>
      <c r="H7" s="3"/>
      <c r="I7" s="1"/>
    </row>
    <row r="8" spans="1:9" ht="15.75" x14ac:dyDescent="0.25">
      <c r="A8" s="1"/>
      <c r="B8" s="1"/>
      <c r="C8" s="4"/>
      <c r="D8" s="58" t="s">
        <v>116</v>
      </c>
      <c r="E8" s="58"/>
      <c r="F8" s="58"/>
      <c r="G8" s="5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57" t="s">
        <v>5</v>
      </c>
      <c r="E11" s="57"/>
      <c r="F11" s="57"/>
      <c r="G11" s="5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0" t="s">
        <v>49</v>
      </c>
      <c r="E13" s="51"/>
      <c r="F13" s="51"/>
      <c r="G13" s="52"/>
      <c r="H13" s="1"/>
      <c r="I13" s="1"/>
    </row>
    <row r="14" spans="1:9" x14ac:dyDescent="0.25">
      <c r="A14" s="1"/>
      <c r="B14" s="1"/>
      <c r="C14" s="6" t="s">
        <v>22</v>
      </c>
      <c r="D14" s="50" t="s">
        <v>117</v>
      </c>
      <c r="E14" s="51"/>
      <c r="F14" s="51"/>
      <c r="G14" s="52"/>
      <c r="H14" s="1"/>
      <c r="I14" s="1"/>
    </row>
    <row r="15" spans="1:9" x14ac:dyDescent="0.25">
      <c r="A15" s="1"/>
      <c r="B15" s="1"/>
      <c r="C15" s="6" t="s">
        <v>48</v>
      </c>
      <c r="D15" s="50" t="s">
        <v>75</v>
      </c>
      <c r="E15" s="51"/>
      <c r="F15" s="51"/>
      <c r="G15" s="52"/>
      <c r="H15" s="1"/>
      <c r="I15" s="1"/>
    </row>
    <row r="16" spans="1:9" x14ac:dyDescent="0.25">
      <c r="A16" s="1"/>
      <c r="B16" s="1"/>
      <c r="C16" s="6" t="s">
        <v>50</v>
      </c>
      <c r="D16" s="50" t="s">
        <v>76</v>
      </c>
      <c r="E16" s="51"/>
      <c r="F16" s="51"/>
      <c r="G16" s="52"/>
      <c r="H16" s="1"/>
      <c r="I16" s="1"/>
    </row>
    <row r="17" spans="1:9" x14ac:dyDescent="0.25">
      <c r="A17" s="1"/>
      <c r="B17" s="1"/>
      <c r="C17" s="6" t="s">
        <v>139</v>
      </c>
      <c r="D17" s="50" t="s">
        <v>57</v>
      </c>
      <c r="E17" s="51"/>
      <c r="F17" s="51"/>
      <c r="G17" s="52"/>
      <c r="H17" s="1"/>
      <c r="I17" s="1"/>
    </row>
    <row r="18" spans="1:9" x14ac:dyDescent="0.25">
      <c r="A18" s="1"/>
      <c r="B18" s="1"/>
      <c r="C18" s="6" t="s">
        <v>7</v>
      </c>
      <c r="D18" s="62" t="s">
        <v>16</v>
      </c>
      <c r="E18" s="63"/>
      <c r="F18" s="63"/>
      <c r="G18" s="64"/>
      <c r="H18" s="1"/>
      <c r="I18" s="1"/>
    </row>
    <row r="19" spans="1:9" x14ac:dyDescent="0.25">
      <c r="A19" s="1"/>
      <c r="B19" s="1"/>
      <c r="C19" s="6" t="s">
        <v>8</v>
      </c>
      <c r="D19" s="54" t="s">
        <v>97</v>
      </c>
      <c r="E19" s="55"/>
      <c r="F19" s="55"/>
      <c r="G19" s="56"/>
      <c r="H19" s="1"/>
      <c r="I19" s="1"/>
    </row>
    <row r="20" spans="1:9" x14ac:dyDescent="0.25">
      <c r="A20" s="1"/>
      <c r="B20" s="1"/>
      <c r="C20" s="6" t="s">
        <v>123</v>
      </c>
      <c r="D20" s="54" t="s">
        <v>152</v>
      </c>
      <c r="E20" s="55"/>
      <c r="F20" s="55"/>
      <c r="G20" s="56"/>
      <c r="H20" s="1"/>
      <c r="I20" s="1"/>
    </row>
    <row r="21" spans="1:9" x14ac:dyDescent="0.25">
      <c r="A21" s="1"/>
      <c r="B21" s="1"/>
      <c r="C21" s="6" t="s">
        <v>82</v>
      </c>
      <c r="D21" s="54" t="s">
        <v>51</v>
      </c>
      <c r="E21" s="55"/>
      <c r="F21" s="55"/>
      <c r="G21" s="56"/>
      <c r="H21" s="1"/>
      <c r="I21" s="1"/>
    </row>
    <row r="22" spans="1:9" x14ac:dyDescent="0.25">
      <c r="A22" s="1"/>
      <c r="B22" s="1"/>
      <c r="C22" s="6" t="s">
        <v>124</v>
      </c>
      <c r="D22" s="54" t="s">
        <v>83</v>
      </c>
      <c r="E22" s="55"/>
      <c r="F22" s="55"/>
      <c r="G22" s="56"/>
      <c r="H22" s="1"/>
      <c r="I22" s="1"/>
    </row>
    <row r="23" spans="1:9" x14ac:dyDescent="0.25">
      <c r="A23" s="1"/>
      <c r="B23" s="1"/>
      <c r="C23" s="6" t="s">
        <v>125</v>
      </c>
      <c r="D23" s="54" t="s">
        <v>84</v>
      </c>
      <c r="E23" s="55"/>
      <c r="F23" s="55"/>
      <c r="G23" s="56"/>
      <c r="H23" s="1"/>
      <c r="I23" s="1"/>
    </row>
    <row r="24" spans="1:9" x14ac:dyDescent="0.25">
      <c r="A24" s="1"/>
      <c r="B24" s="1"/>
      <c r="C24" s="6" t="s">
        <v>9</v>
      </c>
      <c r="D24" s="54" t="s">
        <v>52</v>
      </c>
      <c r="E24" s="55"/>
      <c r="F24" s="55"/>
      <c r="G24" s="56"/>
      <c r="H24" s="1"/>
      <c r="I24" s="1"/>
    </row>
    <row r="25" spans="1:9" x14ac:dyDescent="0.25">
      <c r="A25" s="1"/>
      <c r="B25" s="1"/>
      <c r="C25" s="6" t="s">
        <v>96</v>
      </c>
      <c r="D25" s="54" t="s">
        <v>53</v>
      </c>
      <c r="E25" s="55"/>
      <c r="F25" s="55"/>
      <c r="G25" s="56"/>
      <c r="H25" s="1"/>
      <c r="I25" s="1"/>
    </row>
    <row r="26" spans="1:9" x14ac:dyDescent="0.25">
      <c r="A26" s="1"/>
      <c r="B26" s="1"/>
      <c r="C26" s="6" t="s">
        <v>126</v>
      </c>
      <c r="D26" s="65" t="s">
        <v>10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</v>
      </c>
      <c r="D27" s="59" t="s">
        <v>127</v>
      </c>
      <c r="E27" s="60"/>
      <c r="F27" s="60"/>
      <c r="G27" s="6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d+5iMBFYioaamBwqMHi0uNr92gjR5cVSeICEIwn73VwltQc9fNkBRA7h4dSCFViDM07wB1GLjGo2w+MHsm0ylw==" saltValue="47AcSlNBbxPqJBsen0rHiQ==" spinCount="100000" sheet="1" objects="1" scenarios="1"/>
  <mergeCells count="18"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  <mergeCell ref="D14:G14"/>
    <mergeCell ref="D6:G7"/>
    <mergeCell ref="D19:G19"/>
    <mergeCell ref="D11:G11"/>
    <mergeCell ref="D8:G8"/>
    <mergeCell ref="D15:G15"/>
    <mergeCell ref="D16:G16"/>
    <mergeCell ref="D13:G13"/>
    <mergeCell ref="D17:G17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8" t="s">
        <v>156</v>
      </c>
      <c r="C3" s="68"/>
      <c r="D3" s="68"/>
      <c r="E3" s="68"/>
      <c r="F3" s="68"/>
      <c r="G3" s="68"/>
      <c r="H3" s="68"/>
      <c r="I3" s="1"/>
    </row>
    <row r="4" spans="1:9" ht="15" customHeight="1" x14ac:dyDescent="0.25">
      <c r="A4" s="1"/>
      <c r="B4" s="68"/>
      <c r="C4" s="68"/>
      <c r="D4" s="68"/>
      <c r="E4" s="68"/>
      <c r="F4" s="68"/>
      <c r="G4" s="68"/>
      <c r="H4" s="6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9" t="s">
        <v>157</v>
      </c>
      <c r="C8" s="80"/>
      <c r="D8" s="80"/>
      <c r="E8" s="80"/>
      <c r="F8" s="80"/>
      <c r="G8" s="80"/>
      <c r="H8" s="81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7" t="s">
        <v>2</v>
      </c>
      <c r="F9" s="37" t="s">
        <v>15</v>
      </c>
      <c r="G9" s="37" t="s">
        <v>41</v>
      </c>
      <c r="H9" s="46"/>
      <c r="I9" s="1"/>
    </row>
    <row r="10" spans="1:9" x14ac:dyDescent="0.25">
      <c r="A10" s="1"/>
      <c r="B10" s="35" t="s">
        <v>161</v>
      </c>
      <c r="C10" s="36"/>
      <c r="D10" s="8"/>
      <c r="E10" s="8"/>
      <c r="F10" s="8"/>
      <c r="G10" s="8"/>
      <c r="H10" s="12" t="s">
        <v>3</v>
      </c>
      <c r="I10" s="1"/>
    </row>
    <row r="11" spans="1:9" x14ac:dyDescent="0.25">
      <c r="A11" s="1"/>
      <c r="B11" s="79" t="s">
        <v>158</v>
      </c>
      <c r="C11" s="80"/>
      <c r="D11" s="81"/>
      <c r="E11" s="10">
        <f>SUM(E10:E10)</f>
        <v>0</v>
      </c>
      <c r="F11" s="10">
        <f>SUM(F10:F10)</f>
        <v>0</v>
      </c>
      <c r="G11" s="10">
        <f>SUM(G10:G10)</f>
        <v>0</v>
      </c>
      <c r="H11" s="1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uoO8SiChZpIibBLH5b80iU/nyvzjZgekcnfYWScDlN6n+0bs2IZr7T4MbJrFEHPQvMqyhR4AFk2ufSzOVp+ynQ==" saltValue="EPG6U2UIC4inPSlIZcH6Mg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50"/>
  <sheetViews>
    <sheetView showGridLines="0" view="pageLayout" zoomScaleNormal="100" workbookViewId="0">
      <selection activeCell="E14" sqref="E14"/>
    </sheetView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120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7" t="s">
        <v>79</v>
      </c>
      <c r="C8" s="24"/>
      <c r="D8" s="24"/>
      <c r="E8" s="24"/>
      <c r="F8" s="48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6"/>
      <c r="G9" s="1"/>
    </row>
    <row r="10" spans="1:7" ht="17.25" customHeight="1" x14ac:dyDescent="0.25">
      <c r="A10" s="1"/>
      <c r="B10" s="22" t="s">
        <v>162</v>
      </c>
      <c r="C10" s="21">
        <f>'Fane 7. Anlægsprojekter'!F11</f>
        <v>0</v>
      </c>
      <c r="D10" s="12" t="s">
        <v>3</v>
      </c>
      <c r="E10" s="8">
        <f>SUM('Fane 7. Anlægsprojekter'!E11,'Fane 7. Anlægsprojekter'!G11)</f>
        <v>0</v>
      </c>
      <c r="F10" s="12" t="s">
        <v>3</v>
      </c>
      <c r="G10" s="1"/>
    </row>
    <row r="11" spans="1:7" ht="17.25" customHeight="1" x14ac:dyDescent="0.25">
      <c r="A11" s="1"/>
      <c r="B11" s="22" t="s">
        <v>166</v>
      </c>
      <c r="C11" s="21">
        <f>1221948*(1-0.838)*(1+'Fane 12. Nøgletal'!C10)</f>
        <v>201419.79858000003</v>
      </c>
      <c r="D11" s="12" t="s">
        <v>3</v>
      </c>
      <c r="E11" s="8">
        <f>908137*(1-0.838)*(1+'Fane 12. Nøgletal'!C10)</f>
        <v>149692.76239500003</v>
      </c>
      <c r="F11" s="12" t="s">
        <v>3</v>
      </c>
      <c r="G11" s="1"/>
    </row>
    <row r="12" spans="1:7" ht="17.25" customHeight="1" x14ac:dyDescent="0.25">
      <c r="A12" s="1"/>
      <c r="B12" s="22" t="s">
        <v>167</v>
      </c>
      <c r="C12" s="21">
        <f>29384*(1-0.504)*(1+'Fane 12. Nøgletal'!C10)</f>
        <v>14829.51712</v>
      </c>
      <c r="D12" s="12" t="s">
        <v>3</v>
      </c>
      <c r="E12" s="8">
        <f>13138*(1-0.504)*(1+'Fane 12. Nøgletal'!C10)</f>
        <v>6630.4858400000012</v>
      </c>
      <c r="F12" s="12" t="s">
        <v>3</v>
      </c>
      <c r="G12" s="1"/>
    </row>
    <row r="13" spans="1:7" ht="14.25" customHeight="1" x14ac:dyDescent="0.25">
      <c r="A13" s="1"/>
      <c r="B13" s="22" t="s">
        <v>168</v>
      </c>
      <c r="C13" s="21">
        <f>32723*(1-0.003)*(1+'Fane 12. Nøgletal'!C10)</f>
        <v>33195.765542499998</v>
      </c>
      <c r="D13" s="12" t="s">
        <v>3</v>
      </c>
      <c r="E13" s="8">
        <f>49342*(1-0.003)*(1+'Fane 12. Nøgletal'!C10)</f>
        <v>50054.868545000005</v>
      </c>
      <c r="F13" s="12" t="s">
        <v>3</v>
      </c>
      <c r="G13" s="1"/>
    </row>
    <row r="14" spans="1:7" x14ac:dyDescent="0.25">
      <c r="A14" s="1"/>
      <c r="B14" s="47" t="s">
        <v>54</v>
      </c>
      <c r="C14" s="10">
        <f>SUM(C10:C13)</f>
        <v>249445.08124250005</v>
      </c>
      <c r="D14" s="11" t="s">
        <v>3</v>
      </c>
      <c r="E14" s="10">
        <f>SUM(E10:E13)</f>
        <v>206378.11678000004</v>
      </c>
      <c r="F14" s="11" t="s">
        <v>3</v>
      </c>
      <c r="G14" s="1"/>
    </row>
    <row r="15" spans="1:7" x14ac:dyDescent="0.25">
      <c r="A15" s="1"/>
      <c r="B15" s="47" t="s">
        <v>63</v>
      </c>
      <c r="C15" s="10">
        <f>C14*(1+'Fane 12. Nøgletal'!C12)</f>
        <v>254359.14934297733</v>
      </c>
      <c r="D15" s="11" t="s">
        <v>3</v>
      </c>
      <c r="E15" s="10">
        <f>E14*(1+'Fane 12. Nøgletal'!C12)</f>
        <v>210443.76568056605</v>
      </c>
      <c r="F15" s="11" t="s">
        <v>3</v>
      </c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6Bedf/npeov4BnogywcF9cUkLGeuMgVy1bxmxT3eLMtLWLfyei7ZyiHo1Hl032zPjlttpV/VwvlNXo5nNAh4BQ==" saltValue="eZYBdyXvP4s/PNmRm+dHo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121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9" t="s">
        <v>102</v>
      </c>
      <c r="C8" s="80"/>
      <c r="D8" s="80"/>
      <c r="E8" s="80"/>
      <c r="F8" s="81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6"/>
      <c r="G9" s="1"/>
    </row>
    <row r="10" spans="1:7" x14ac:dyDescent="0.25">
      <c r="A10" s="1"/>
      <c r="B10" s="22" t="s">
        <v>151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7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7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9" t="s">
        <v>103</v>
      </c>
      <c r="C15" s="80"/>
      <c r="D15" s="80"/>
      <c r="E15" s="80"/>
      <c r="F15" s="81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6"/>
      <c r="G16" s="1"/>
    </row>
    <row r="17" spans="1:7" x14ac:dyDescent="0.25">
      <c r="A17" s="1"/>
      <c r="B17" s="22" t="s">
        <v>151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7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7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9" t="s">
        <v>104</v>
      </c>
      <c r="C22" s="80"/>
      <c r="D22" s="80"/>
      <c r="E22" s="80"/>
      <c r="F22" s="81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6"/>
      <c r="G23" s="1"/>
    </row>
    <row r="24" spans="1:7" x14ac:dyDescent="0.25">
      <c r="A24" s="1"/>
      <c r="B24" s="22" t="s">
        <v>151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7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7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9" t="s">
        <v>105</v>
      </c>
      <c r="C29" s="80"/>
      <c r="D29" s="80"/>
      <c r="E29" s="80"/>
      <c r="F29" s="81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6"/>
      <c r="G30" s="1"/>
    </row>
    <row r="31" spans="1:7" x14ac:dyDescent="0.25">
      <c r="A31" s="1"/>
      <c r="B31" s="22" t="s">
        <v>151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7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7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9/wi+LK7BHlKN4s5jf9QXoYq6TAgYGeZuECBhDzT6Kt0P6yOhEqRYH/aAFJA5+sq0PDYttga5WPECQ6H3hw3zg==" saltValue="8VXseOl1Od5E30/6e9QFTg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3" t="s">
        <v>134</v>
      </c>
      <c r="C3" s="73"/>
      <c r="D3" s="73"/>
      <c r="E3" s="73"/>
      <c r="F3" s="73"/>
      <c r="G3" s="1"/>
    </row>
    <row r="4" spans="1:7" ht="25.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9" t="s">
        <v>32</v>
      </c>
      <c r="C8" s="80"/>
      <c r="D8" s="80"/>
      <c r="E8" s="80"/>
      <c r="F8" s="81"/>
      <c r="G8" s="1"/>
    </row>
    <row r="9" spans="1:7" ht="15" customHeight="1" x14ac:dyDescent="0.25">
      <c r="A9" s="1"/>
      <c r="B9" s="45" t="s">
        <v>33</v>
      </c>
      <c r="C9" s="91" t="s">
        <v>15</v>
      </c>
      <c r="D9" s="92"/>
      <c r="E9" s="91" t="s">
        <v>42</v>
      </c>
      <c r="F9" s="92"/>
      <c r="G9" s="1"/>
    </row>
    <row r="10" spans="1:7" x14ac:dyDescent="0.25">
      <c r="A10" s="1"/>
      <c r="B10" s="22" t="s">
        <v>159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Z/l3Zyx0iha+8RVIuy0bwRIt4H9YzcLav/9tpIbFYSGO5KsmgKu5TvL+X4610B1GYLQJ20WXcvQQ1y0q+xr5+w==" saltValue="DvDqvfS6kPyvh8ku5KN/BA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3" t="s">
        <v>135</v>
      </c>
      <c r="C3" s="73"/>
      <c r="D3" s="73"/>
      <c r="E3" s="73"/>
      <c r="F3" s="73"/>
      <c r="G3" s="1"/>
    </row>
    <row r="4" spans="1:7" ht="25.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9" t="s">
        <v>91</v>
      </c>
      <c r="C8" s="80"/>
      <c r="D8" s="80"/>
      <c r="E8" s="80"/>
      <c r="F8" s="81"/>
      <c r="G8" s="1"/>
    </row>
    <row r="9" spans="1:7" ht="15" customHeight="1" x14ac:dyDescent="0.25">
      <c r="A9" s="1"/>
      <c r="B9" s="45" t="s">
        <v>25</v>
      </c>
      <c r="C9" s="45" t="s">
        <v>15</v>
      </c>
      <c r="D9" s="46"/>
      <c r="E9" s="45" t="s">
        <v>42</v>
      </c>
      <c r="F9" s="46"/>
      <c r="G9" s="1"/>
    </row>
    <row r="10" spans="1:7" x14ac:dyDescent="0.25">
      <c r="A10" s="1"/>
      <c r="B10" s="22" t="s">
        <v>160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7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7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9" t="s">
        <v>92</v>
      </c>
      <c r="C14" s="80"/>
      <c r="D14" s="80"/>
      <c r="E14" s="80"/>
      <c r="F14" s="81"/>
      <c r="G14" s="1"/>
    </row>
    <row r="15" spans="1:7" ht="26.25" x14ac:dyDescent="0.25">
      <c r="A15" s="1"/>
      <c r="B15" s="45" t="s">
        <v>25</v>
      </c>
      <c r="C15" s="45" t="s">
        <v>15</v>
      </c>
      <c r="D15" s="46"/>
      <c r="E15" s="45" t="s">
        <v>42</v>
      </c>
      <c r="F15" s="46"/>
      <c r="G15" s="1"/>
    </row>
    <row r="16" spans="1:7" x14ac:dyDescent="0.25">
      <c r="A16" s="1"/>
      <c r="B16" s="22" t="s">
        <v>160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7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7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9" t="s">
        <v>90</v>
      </c>
      <c r="C20" s="80"/>
      <c r="D20" s="80"/>
      <c r="E20" s="80"/>
      <c r="F20" s="81"/>
      <c r="G20" s="1"/>
    </row>
    <row r="21" spans="1:7" ht="26.25" x14ac:dyDescent="0.25">
      <c r="A21" s="1"/>
      <c r="B21" s="45" t="s">
        <v>25</v>
      </c>
      <c r="C21" s="45" t="s">
        <v>15</v>
      </c>
      <c r="D21" s="46"/>
      <c r="E21" s="45" t="s">
        <v>42</v>
      </c>
      <c r="F21" s="46"/>
      <c r="G21" s="1"/>
    </row>
    <row r="22" spans="1:7" x14ac:dyDescent="0.25">
      <c r="A22" s="1"/>
      <c r="B22" s="22" t="s">
        <v>160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7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7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9" t="s">
        <v>93</v>
      </c>
      <c r="C26" s="80"/>
      <c r="D26" s="80"/>
      <c r="E26" s="80"/>
      <c r="F26" s="81"/>
      <c r="G26" s="1"/>
    </row>
    <row r="27" spans="1:7" ht="26.25" x14ac:dyDescent="0.25">
      <c r="A27" s="1"/>
      <c r="B27" s="45" t="s">
        <v>25</v>
      </c>
      <c r="C27" s="45" t="s">
        <v>15</v>
      </c>
      <c r="D27" s="46"/>
      <c r="E27" s="45" t="s">
        <v>42</v>
      </c>
      <c r="F27" s="46"/>
      <c r="G27" s="1"/>
    </row>
    <row r="28" spans="1:7" x14ac:dyDescent="0.25">
      <c r="A28" s="1"/>
      <c r="B28" s="22" t="s">
        <v>160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7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7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deYhsxu8v0rGZx0oG/mtT+jxsSamsyqXL3Ng8vLSfEzVjf9mrJR/20fREyWTONC+r+wk4RlSP8EF3Am+eMeNJA==" saltValue="Qx1bicTTFiCyhpmv3hCxG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8" t="s">
        <v>136</v>
      </c>
      <c r="C3" s="68"/>
      <c r="D3" s="68"/>
      <c r="E3" s="68"/>
      <c r="F3" s="68"/>
      <c r="G3" s="68"/>
      <c r="H3" s="68"/>
      <c r="I3" s="1"/>
    </row>
    <row r="4" spans="1:9" ht="15" customHeight="1" x14ac:dyDescent="0.25">
      <c r="A4" s="1"/>
      <c r="B4" s="68"/>
      <c r="C4" s="68"/>
      <c r="D4" s="68"/>
      <c r="E4" s="68"/>
      <c r="F4" s="68"/>
      <c r="G4" s="68"/>
      <c r="H4" s="6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9" t="s">
        <v>17</v>
      </c>
      <c r="C8" s="80"/>
      <c r="D8" s="80"/>
      <c r="E8" s="80"/>
      <c r="F8" s="80"/>
      <c r="G8" s="80"/>
      <c r="H8" s="81"/>
      <c r="I8" s="1"/>
    </row>
    <row r="9" spans="1:9" x14ac:dyDescent="0.25">
      <c r="A9" s="1"/>
      <c r="B9" s="93" t="s">
        <v>11</v>
      </c>
      <c r="C9" s="94"/>
      <c r="D9" s="94"/>
      <c r="E9" s="94"/>
      <c r="F9" s="95"/>
      <c r="G9" s="8">
        <v>1184827</v>
      </c>
      <c r="H9" s="12" t="s">
        <v>3</v>
      </c>
      <c r="I9" s="1"/>
    </row>
    <row r="10" spans="1:9" x14ac:dyDescent="0.25">
      <c r="A10" s="1"/>
      <c r="B10" s="93" t="s">
        <v>77</v>
      </c>
      <c r="C10" s="94"/>
      <c r="D10" s="94"/>
      <c r="E10" s="94"/>
      <c r="F10" s="95"/>
      <c r="G10" s="8">
        <v>0</v>
      </c>
      <c r="H10" s="12" t="s">
        <v>3</v>
      </c>
      <c r="I10" s="1"/>
    </row>
    <row r="11" spans="1:9" x14ac:dyDescent="0.25">
      <c r="A11" s="1"/>
      <c r="B11" s="93" t="s">
        <v>69</v>
      </c>
      <c r="C11" s="94"/>
      <c r="D11" s="94"/>
      <c r="E11" s="94"/>
      <c r="F11" s="95"/>
      <c r="G11" s="8">
        <v>-1073680.8650793652</v>
      </c>
      <c r="H11" s="12" t="s">
        <v>3</v>
      </c>
      <c r="I11" s="1"/>
    </row>
    <row r="12" spans="1:9" x14ac:dyDescent="0.25">
      <c r="A12" s="1"/>
      <c r="B12" s="96" t="s">
        <v>14</v>
      </c>
      <c r="C12" s="97"/>
      <c r="D12" s="97"/>
      <c r="E12" s="97"/>
      <c r="F12" s="98"/>
      <c r="G12" s="17">
        <f>(G9+G10)+G11</f>
        <v>111146.13492063479</v>
      </c>
      <c r="H12" s="16" t="s">
        <v>3</v>
      </c>
      <c r="I12" s="1"/>
    </row>
    <row r="13" spans="1:9" x14ac:dyDescent="0.25">
      <c r="A13" s="1"/>
      <c r="B13" s="93" t="s">
        <v>12</v>
      </c>
      <c r="C13" s="94"/>
      <c r="D13" s="94"/>
      <c r="E13" s="94"/>
      <c r="F13" s="95"/>
      <c r="G13" s="8">
        <v>1</v>
      </c>
      <c r="H13" s="12" t="s">
        <v>27</v>
      </c>
      <c r="I13" s="1"/>
    </row>
    <row r="14" spans="1:9" x14ac:dyDescent="0.25">
      <c r="A14" s="1"/>
      <c r="B14" s="79" t="s">
        <v>78</v>
      </c>
      <c r="C14" s="80"/>
      <c r="D14" s="80"/>
      <c r="E14" s="80"/>
      <c r="F14" s="81"/>
      <c r="G14" s="10">
        <f>IF(G13 = 0,0,-G12/G13)</f>
        <v>-111146.13492063479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HVgOrb/sGQPy4Hdko2T7R4EFsP1e80snW4vf0chTzb1r8JKhZgcgglPoVbCNcCwoIpssi/ndsdRctoJpkjIMXw==" saltValue="5tOqCsS0C5MokVZ5g2YWiA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3" t="s">
        <v>137</v>
      </c>
      <c r="C3" s="73"/>
      <c r="D3" s="1"/>
    </row>
    <row r="4" spans="1:4" ht="25.5" customHeight="1" x14ac:dyDescent="0.25">
      <c r="A4" s="1"/>
      <c r="B4" s="73"/>
      <c r="C4" s="7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7" t="s">
        <v>20</v>
      </c>
      <c r="C8" s="48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7"/>
      <c r="C13" s="48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7" t="s">
        <v>115</v>
      </c>
      <c r="C16" s="48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9"/>
      <c r="C18" s="100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sxtgD8a80x+RBKQZEcF3fANZhGOAjBVwmldUYxQcwGhXZSnqRFZ8FjYrCdAo2LshvT6oiZsVXvyxTvKVJGzjIA==" saltValue="DFiTm/5lJpKZW5PPjuYnSA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>
      <selection activeCell="E9" sqref="E9:E28"/>
    </sheetView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56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19</v>
      </c>
      <c r="C8" s="43"/>
      <c r="D8" s="43"/>
      <c r="E8" s="43"/>
      <c r="F8" s="43"/>
      <c r="G8" s="1"/>
    </row>
    <row r="9" spans="1:7" x14ac:dyDescent="0.25">
      <c r="A9" s="1"/>
      <c r="B9" s="39" t="s">
        <v>35</v>
      </c>
      <c r="C9" s="39"/>
      <c r="D9" s="39"/>
      <c r="E9" s="7">
        <f>'Fane 3. Omkostninger i ØR2019'!E15</f>
        <v>4371370.1563255936</v>
      </c>
      <c r="F9" s="39" t="s">
        <v>3</v>
      </c>
      <c r="G9" s="1"/>
    </row>
    <row r="10" spans="1:7" x14ac:dyDescent="0.25">
      <c r="A10" s="1"/>
      <c r="B10" s="41" t="s">
        <v>140</v>
      </c>
      <c r="C10" s="39"/>
      <c r="D10" s="39"/>
      <c r="E10" s="7">
        <f>'Fane 3. Omkostninger i ØR2019'!E10*(1-'Fane 12. Nøgletal'!C17)*(1+'Fane 12. Nøgletal'!C10)</f>
        <v>0</v>
      </c>
      <c r="F10" s="39" t="s">
        <v>3</v>
      </c>
      <c r="G10" s="1"/>
    </row>
    <row r="11" spans="1:7" x14ac:dyDescent="0.25">
      <c r="A11" s="1"/>
      <c r="B11" s="41" t="s">
        <v>143</v>
      </c>
      <c r="C11" s="39"/>
      <c r="D11" s="39"/>
      <c r="E11" s="7">
        <f>('Fane 3. Omkostninger i ØR2019'!E11+'Fane 3. Omkostninger i ØR2019'!E12)*(1-'Fane 12. Nøgletal'!C17)*(1+'Fane 12. Nøgletal'!C11)</f>
        <v>1836509.9929638223</v>
      </c>
      <c r="F11" s="39" t="s">
        <v>3</v>
      </c>
      <c r="G11" s="1"/>
    </row>
    <row r="12" spans="1:7" ht="17.100000000000001" customHeight="1" x14ac:dyDescent="0.25">
      <c r="A12" s="1"/>
      <c r="B12" s="31" t="s">
        <v>141</v>
      </c>
      <c r="C12" s="39"/>
      <c r="D12" s="39"/>
      <c r="E12" s="7">
        <f>'Fane 8.1. Varige tillæg'!C15+'Fane 8.1. Varige tillæg'!E15</f>
        <v>464802.91502354341</v>
      </c>
      <c r="F12" s="39" t="s">
        <v>3</v>
      </c>
      <c r="G12" s="1"/>
    </row>
    <row r="13" spans="1:7" ht="17.100000000000001" customHeight="1" x14ac:dyDescent="0.25">
      <c r="A13" s="1"/>
      <c r="B13" s="31" t="s">
        <v>144</v>
      </c>
      <c r="C13" s="39"/>
      <c r="D13" s="39"/>
      <c r="E13" s="8">
        <f>-('Fane 10. Bortfald'!C12+'Fane 10. Bortfald'!E12)</f>
        <v>0</v>
      </c>
      <c r="F13" s="39" t="s">
        <v>3</v>
      </c>
      <c r="G13" s="1"/>
    </row>
    <row r="14" spans="1:7" ht="17.100000000000001" customHeight="1" x14ac:dyDescent="0.25">
      <c r="A14" s="1"/>
      <c r="B14" s="31" t="s">
        <v>111</v>
      </c>
      <c r="C14" s="39"/>
      <c r="D14" s="39"/>
      <c r="E14" s="8">
        <f>'Fane 9. Tilknyttet aktivitet'!C12+'Fane 9. Tilknyttet aktivitet'!E12</f>
        <v>0</v>
      </c>
      <c r="F14" s="39" t="s">
        <v>3</v>
      </c>
      <c r="G14" s="1"/>
    </row>
    <row r="15" spans="1:7" ht="17.100000000000001" customHeight="1" x14ac:dyDescent="0.25">
      <c r="A15" s="1"/>
      <c r="B15" s="31" t="s">
        <v>26</v>
      </c>
      <c r="C15" s="39"/>
      <c r="D15" s="39"/>
      <c r="E15" s="8">
        <f>(E9-SUM(E10:E11))*'Fane 12. Nøgletal'!C9+E10*'Fane 12. Nøgletal'!C10+E11*'Fane 12. Nøgletal'!C11+SUM(E12:E14)*'Fane 12. Nøgletal'!C12</f>
        <v>72386.360381746897</v>
      </c>
      <c r="F15" s="39" t="s">
        <v>3</v>
      </c>
      <c r="G15" s="1"/>
    </row>
    <row r="16" spans="1:7" ht="17.100000000000001" customHeight="1" x14ac:dyDescent="0.25">
      <c r="A16" s="1"/>
      <c r="B16" s="31" t="s">
        <v>115</v>
      </c>
      <c r="C16" s="39"/>
      <c r="D16" s="39"/>
      <c r="E16" s="8">
        <f>-SUM(E9,E12:E15)*'Fane 12. Nøgletal'!C17</f>
        <v>-83445.510339425018</v>
      </c>
      <c r="F16" s="39" t="s">
        <v>3</v>
      </c>
      <c r="G16" s="1"/>
    </row>
    <row r="17" spans="1:7" ht="17.100000000000001" customHeight="1" x14ac:dyDescent="0.25">
      <c r="A17" s="1"/>
      <c r="B17" s="44" t="s">
        <v>28</v>
      </c>
      <c r="C17" s="42"/>
      <c r="D17" s="42"/>
      <c r="E17" s="9">
        <f>SUM(E9,E12:E16)</f>
        <v>4825113.9213914583</v>
      </c>
      <c r="F17" s="37" t="s">
        <v>3</v>
      </c>
      <c r="G17" s="1"/>
    </row>
    <row r="18" spans="1:7" ht="15" customHeight="1" x14ac:dyDescent="0.25">
      <c r="A18" s="1"/>
      <c r="B18" s="43" t="s">
        <v>16</v>
      </c>
      <c r="C18" s="43"/>
      <c r="D18" s="43"/>
      <c r="E18" s="43"/>
      <c r="F18" s="43"/>
      <c r="G18" s="1"/>
    </row>
    <row r="19" spans="1:7" ht="15" customHeight="1" x14ac:dyDescent="0.25">
      <c r="A19" s="1"/>
      <c r="B19" s="37" t="s">
        <v>16</v>
      </c>
      <c r="C19" s="37"/>
      <c r="D19" s="37"/>
      <c r="E19" s="9">
        <f>'Fane 4. Ikke-påvirkelige omk.'!C19</f>
        <v>4526757.1697200378</v>
      </c>
      <c r="F19" s="37" t="s">
        <v>3</v>
      </c>
      <c r="G19" s="1"/>
    </row>
    <row r="20" spans="1:7" ht="15" customHeight="1" x14ac:dyDescent="0.25">
      <c r="A20" s="1"/>
      <c r="B20" s="43" t="s">
        <v>84</v>
      </c>
      <c r="C20" s="43"/>
      <c r="D20" s="43"/>
      <c r="E20" s="43"/>
      <c r="F20" s="43"/>
      <c r="G20" s="1"/>
    </row>
    <row r="21" spans="1:7" ht="15" customHeight="1" x14ac:dyDescent="0.25">
      <c r="A21" s="1"/>
      <c r="B21" s="31" t="s">
        <v>80</v>
      </c>
      <c r="C21" s="39"/>
      <c r="D21" s="39"/>
      <c r="E21" s="8">
        <f>'Fane 8.2. Engangstillæg'!C13</f>
        <v>0</v>
      </c>
      <c r="F21" s="39" t="s">
        <v>3</v>
      </c>
      <c r="G21" s="1"/>
    </row>
    <row r="22" spans="1:7" ht="15" customHeight="1" x14ac:dyDescent="0.25">
      <c r="A22" s="1"/>
      <c r="B22" s="31" t="s">
        <v>81</v>
      </c>
      <c r="C22" s="39"/>
      <c r="D22" s="39"/>
      <c r="E22" s="8">
        <f>'Fane 8.2. Engangstillæg'!E13</f>
        <v>0</v>
      </c>
      <c r="F22" s="39" t="s">
        <v>3</v>
      </c>
      <c r="G22" s="1"/>
    </row>
    <row r="23" spans="1:7" x14ac:dyDescent="0.25">
      <c r="A23" s="1"/>
      <c r="B23" s="44" t="s">
        <v>85</v>
      </c>
      <c r="C23" s="42"/>
      <c r="D23" s="42"/>
      <c r="E23" s="9">
        <f>SUM(E21:E22)</f>
        <v>0</v>
      </c>
      <c r="F23" s="37" t="s">
        <v>3</v>
      </c>
      <c r="G23" s="1"/>
    </row>
    <row r="24" spans="1:7" x14ac:dyDescent="0.25">
      <c r="A24" s="1"/>
      <c r="B24" s="43" t="s">
        <v>10</v>
      </c>
      <c r="C24" s="43"/>
      <c r="D24" s="43"/>
      <c r="E24" s="43"/>
      <c r="F24" s="43"/>
      <c r="G24" s="1"/>
    </row>
    <row r="25" spans="1:7" ht="15" customHeight="1" x14ac:dyDescent="0.25">
      <c r="A25" s="1"/>
      <c r="B25" s="37" t="s">
        <v>18</v>
      </c>
      <c r="C25" s="37"/>
      <c r="D25" s="37"/>
      <c r="E25" s="9">
        <f>'Fane 11. Hist. over-underdæk.'!G14</f>
        <v>-111146.13492063479</v>
      </c>
      <c r="F25" s="37" t="s">
        <v>3</v>
      </c>
      <c r="G25" s="1"/>
    </row>
    <row r="26" spans="1:7" ht="15" customHeight="1" x14ac:dyDescent="0.25">
      <c r="A26" s="1"/>
      <c r="B26" s="43" t="s">
        <v>152</v>
      </c>
      <c r="C26" s="43"/>
      <c r="D26" s="43"/>
      <c r="E26" s="43"/>
      <c r="F26" s="43"/>
      <c r="G26" s="1"/>
    </row>
    <row r="27" spans="1:7" x14ac:dyDescent="0.25">
      <c r="A27" s="1"/>
      <c r="B27" s="37" t="s">
        <v>153</v>
      </c>
      <c r="C27" s="37"/>
      <c r="D27" s="37"/>
      <c r="E27" s="9">
        <f>'Fane 6. Korrektioner'!E10</f>
        <v>0</v>
      </c>
      <c r="F27" s="37" t="s">
        <v>3</v>
      </c>
      <c r="G27" s="1"/>
    </row>
    <row r="28" spans="1:7" x14ac:dyDescent="0.25">
      <c r="A28" s="1"/>
      <c r="B28" s="43" t="s">
        <v>36</v>
      </c>
      <c r="C28" s="43"/>
      <c r="D28" s="43"/>
      <c r="E28" s="10">
        <f>SUM(E17,E19,E23,E25,E27)</f>
        <v>9240724.9561908618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A0GE4kNcoY/3Xe1b3udnc66541vCodJMWMN5wNMdwyr5uDyNJF4nZfCPKH2IuOYJxJGen1aW75ew+IyAu+CXug==" saltValue="3qhM25X7tiBDqd4Z+lJS2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>
      <selection activeCell="E9" sqref="E9:E23"/>
    </sheetView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73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69" t="s">
        <v>29</v>
      </c>
      <c r="C5" s="69"/>
      <c r="D5" s="69"/>
      <c r="E5" s="69"/>
      <c r="F5" s="69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19</v>
      </c>
      <c r="C8" s="43"/>
      <c r="D8" s="43"/>
      <c r="E8" s="43"/>
      <c r="F8" s="43"/>
      <c r="G8" s="1"/>
    </row>
    <row r="9" spans="1:7" ht="15" customHeight="1" x14ac:dyDescent="0.25">
      <c r="A9" s="1"/>
      <c r="B9" s="39" t="s">
        <v>37</v>
      </c>
      <c r="C9" s="39"/>
      <c r="D9" s="39"/>
      <c r="E9" s="7">
        <f>'Fane 2.1. Økonomisk ramme 2020'!E17</f>
        <v>4825113.9213914583</v>
      </c>
      <c r="F9" s="39" t="s">
        <v>3</v>
      </c>
      <c r="G9" s="1"/>
    </row>
    <row r="10" spans="1:7" ht="15" customHeight="1" x14ac:dyDescent="0.25">
      <c r="A10" s="1"/>
      <c r="B10" s="39" t="s">
        <v>163</v>
      </c>
      <c r="C10" s="39"/>
      <c r="D10" s="39"/>
      <c r="E10" s="7">
        <v>-22889.129063276232</v>
      </c>
      <c r="F10" s="39" t="s">
        <v>3</v>
      </c>
      <c r="G10" s="1"/>
    </row>
    <row r="11" spans="1:7" ht="15" customHeight="1" x14ac:dyDescent="0.25">
      <c r="A11" s="1"/>
      <c r="B11" s="31" t="s">
        <v>144</v>
      </c>
      <c r="C11" s="39"/>
      <c r="D11" s="39"/>
      <c r="E11" s="7">
        <f>-('Fane 10. Bortfald'!C18+'Fane 10. Bortfald'!E18)</f>
        <v>0</v>
      </c>
      <c r="F11" s="39" t="s">
        <v>3</v>
      </c>
      <c r="G11" s="1"/>
    </row>
    <row r="12" spans="1:7" ht="15" customHeight="1" x14ac:dyDescent="0.25">
      <c r="A12" s="1"/>
      <c r="B12" s="40" t="s">
        <v>26</v>
      </c>
      <c r="C12" s="39"/>
      <c r="D12" s="39"/>
      <c r="E12" s="8">
        <f>SUM(E9:E11)*'Fane 12. Nøgletal'!C12</f>
        <v>94603.828408865171</v>
      </c>
      <c r="F12" s="39" t="s">
        <v>3</v>
      </c>
      <c r="G12" s="1"/>
    </row>
    <row r="13" spans="1:7" ht="15" customHeight="1" x14ac:dyDescent="0.25">
      <c r="A13" s="1"/>
      <c r="B13" s="40" t="s">
        <v>115</v>
      </c>
      <c r="C13" s="39"/>
      <c r="D13" s="39"/>
      <c r="E13" s="8">
        <f>-SUM(E9:E12)*'Fane 12. Nøgletal'!C17</f>
        <v>-83246.0865525298</v>
      </c>
      <c r="F13" s="39" t="s">
        <v>3</v>
      </c>
      <c r="G13" s="1"/>
    </row>
    <row r="14" spans="1:7" ht="15" customHeight="1" x14ac:dyDescent="0.25">
      <c r="A14" s="1"/>
      <c r="B14" s="42" t="s">
        <v>28</v>
      </c>
      <c r="C14" s="42"/>
      <c r="D14" s="42"/>
      <c r="E14" s="9">
        <f>SUM(E9:E13)</f>
        <v>4813582.5341845173</v>
      </c>
      <c r="F14" s="37" t="s">
        <v>3</v>
      </c>
      <c r="G14" s="1"/>
    </row>
    <row r="15" spans="1:7" x14ac:dyDescent="0.25">
      <c r="A15" s="1"/>
      <c r="B15" s="43" t="s">
        <v>16</v>
      </c>
      <c r="C15" s="43"/>
      <c r="D15" s="43"/>
      <c r="E15" s="43"/>
      <c r="F15" s="43"/>
      <c r="G15" s="1"/>
    </row>
    <row r="16" spans="1:7" ht="15" customHeight="1" x14ac:dyDescent="0.25">
      <c r="A16" s="1"/>
      <c r="B16" s="37" t="s">
        <v>16</v>
      </c>
      <c r="C16" s="37"/>
      <c r="D16" s="37"/>
      <c r="E16" s="9">
        <f>'Fane 4. Ikke-påvirkelige omk.'!C19*(1+'Fane 12. Nøgletal'!C12)</f>
        <v>4615934.2859635232</v>
      </c>
      <c r="F16" s="37" t="s">
        <v>3</v>
      </c>
      <c r="G16" s="1"/>
    </row>
    <row r="17" spans="1:7" ht="15" customHeight="1" x14ac:dyDescent="0.25">
      <c r="A17" s="1"/>
      <c r="B17" s="43" t="s">
        <v>84</v>
      </c>
      <c r="C17" s="43"/>
      <c r="D17" s="43"/>
      <c r="E17" s="43"/>
      <c r="F17" s="43"/>
      <c r="G17" s="1"/>
    </row>
    <row r="18" spans="1:7" ht="15" customHeight="1" x14ac:dyDescent="0.25">
      <c r="A18" s="1"/>
      <c r="B18" s="31" t="s">
        <v>80</v>
      </c>
      <c r="C18" s="39"/>
      <c r="D18" s="39"/>
      <c r="E18" s="8">
        <f>'Fane 8.2. Engangstillæg'!C20</f>
        <v>0</v>
      </c>
      <c r="F18" s="39" t="s">
        <v>3</v>
      </c>
      <c r="G18" s="1"/>
    </row>
    <row r="19" spans="1:7" ht="15" customHeight="1" x14ac:dyDescent="0.25">
      <c r="A19" s="1"/>
      <c r="B19" s="31" t="s">
        <v>81</v>
      </c>
      <c r="C19" s="39"/>
      <c r="D19" s="39"/>
      <c r="E19" s="8">
        <f>'Fane 8.2. Engangstillæg'!E20</f>
        <v>0</v>
      </c>
      <c r="F19" s="39" t="s">
        <v>3</v>
      </c>
      <c r="G19" s="1"/>
    </row>
    <row r="20" spans="1:7" ht="15" customHeight="1" x14ac:dyDescent="0.25">
      <c r="A20" s="1"/>
      <c r="B20" s="44" t="s">
        <v>85</v>
      </c>
      <c r="C20" s="42"/>
      <c r="D20" s="42"/>
      <c r="E20" s="9">
        <f>SUM(E18:E19)</f>
        <v>0</v>
      </c>
      <c r="F20" s="37" t="s">
        <v>3</v>
      </c>
      <c r="G20" s="1"/>
    </row>
    <row r="21" spans="1:7" x14ac:dyDescent="0.25">
      <c r="A21" s="1"/>
      <c r="B21" s="43" t="s">
        <v>95</v>
      </c>
      <c r="C21" s="43"/>
      <c r="D21" s="43"/>
      <c r="E21" s="43"/>
      <c r="F21" s="43"/>
      <c r="G21" s="1"/>
    </row>
    <row r="22" spans="1:7" ht="15" customHeight="1" x14ac:dyDescent="0.25">
      <c r="A22" s="1"/>
      <c r="B22" s="37" t="s">
        <v>131</v>
      </c>
      <c r="C22" s="37"/>
      <c r="D22" s="37"/>
      <c r="E22" s="9">
        <f>'Fane 5. Kontrol af ØR2018'!E35</f>
        <v>6329.2617416666535</v>
      </c>
      <c r="F22" s="37" t="s">
        <v>3</v>
      </c>
      <c r="G22" s="1"/>
    </row>
    <row r="23" spans="1:7" x14ac:dyDescent="0.25">
      <c r="A23" s="1"/>
      <c r="B23" s="43" t="s">
        <v>39</v>
      </c>
      <c r="C23" s="43"/>
      <c r="D23" s="43"/>
      <c r="E23" s="10">
        <f>SUM(E14,E16,E20,E22)</f>
        <v>9435846.0818897057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psYfJBhCMeLX5S27zn1pVgKWfUqfdMOCNbEayr/s4ovq2G9h9McyQsMxaldUX9oyBPjih9RQS+HGhMAL/LJcrA==" saltValue="D35vxQQ4+I3NqPrvBQhF7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topLeftCell="A7" zoomScaleNormal="100" workbookViewId="0">
      <selection activeCell="E8" sqref="E8:E21"/>
    </sheetView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146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69" t="s">
        <v>29</v>
      </c>
      <c r="C5" s="69"/>
      <c r="D5" s="69"/>
      <c r="E5" s="69"/>
      <c r="F5" s="69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3" t="s">
        <v>19</v>
      </c>
      <c r="C7" s="43"/>
      <c r="D7" s="43"/>
      <c r="E7" s="43"/>
      <c r="F7" s="43"/>
      <c r="G7" s="1"/>
    </row>
    <row r="8" spans="1:7" ht="15" customHeight="1" x14ac:dyDescent="0.25">
      <c r="A8" s="1"/>
      <c r="B8" s="39" t="s">
        <v>37</v>
      </c>
      <c r="C8" s="39"/>
      <c r="D8" s="39"/>
      <c r="E8" s="7">
        <f>'Fane 2.2. Økonomisk ramme 2021'!E14</f>
        <v>4813582.5341845173</v>
      </c>
      <c r="F8" s="39" t="s">
        <v>3</v>
      </c>
      <c r="G8" s="1"/>
    </row>
    <row r="9" spans="1:7" ht="15" customHeight="1" x14ac:dyDescent="0.25">
      <c r="A9" s="1"/>
      <c r="B9" s="39" t="s">
        <v>144</v>
      </c>
      <c r="C9" s="39"/>
      <c r="D9" s="39"/>
      <c r="E9" s="7">
        <f>-('Fane 10. Bortfald'!C24+'Fane 10. Bortfald'!E24)</f>
        <v>0</v>
      </c>
      <c r="F9" s="39" t="s">
        <v>3</v>
      </c>
      <c r="G9" s="1"/>
    </row>
    <row r="10" spans="1:7" ht="15" customHeight="1" x14ac:dyDescent="0.25">
      <c r="A10" s="1"/>
      <c r="B10" s="40" t="s">
        <v>26</v>
      </c>
      <c r="C10" s="39"/>
      <c r="D10" s="39"/>
      <c r="E10" s="8">
        <f>SUM(E8:E9)*'Fane 12. Nøgletal'!C12</f>
        <v>94827.575923434983</v>
      </c>
      <c r="F10" s="39" t="s">
        <v>3</v>
      </c>
      <c r="G10" s="1"/>
    </row>
    <row r="11" spans="1:7" ht="15" customHeight="1" x14ac:dyDescent="0.25">
      <c r="A11" s="1"/>
      <c r="B11" s="40" t="s">
        <v>115</v>
      </c>
      <c r="C11" s="39"/>
      <c r="D11" s="39"/>
      <c r="E11" s="8">
        <f>-SUM(E8:E10)*'Fane 12. Nøgletal'!C17</f>
        <v>-83442.971871835209</v>
      </c>
      <c r="F11" s="39" t="s">
        <v>3</v>
      </c>
      <c r="G11" s="1"/>
    </row>
    <row r="12" spans="1:7" x14ac:dyDescent="0.25">
      <c r="A12" s="1"/>
      <c r="B12" s="42" t="s">
        <v>28</v>
      </c>
      <c r="C12" s="42"/>
      <c r="D12" s="42"/>
      <c r="E12" s="9">
        <f>SUM(E8:E11)</f>
        <v>4824967.1382361175</v>
      </c>
      <c r="F12" s="37" t="s">
        <v>3</v>
      </c>
      <c r="G12" s="1"/>
    </row>
    <row r="13" spans="1:7" x14ac:dyDescent="0.25">
      <c r="A13" s="1"/>
      <c r="B13" s="43" t="s">
        <v>16</v>
      </c>
      <c r="C13" s="43"/>
      <c r="D13" s="43"/>
      <c r="E13" s="43"/>
      <c r="F13" s="43"/>
      <c r="G13" s="1"/>
    </row>
    <row r="14" spans="1:7" ht="15" customHeight="1" x14ac:dyDescent="0.25">
      <c r="A14" s="1"/>
      <c r="B14" s="37" t="s">
        <v>16</v>
      </c>
      <c r="C14" s="37"/>
      <c r="D14" s="37"/>
      <c r="E14" s="9">
        <f>'Fane 4. Ikke-påvirkelige omk.'!C19*(1+'Fane 12. Nøgletal'!C12)^2</f>
        <v>4706868.1913970038</v>
      </c>
      <c r="F14" s="37" t="s">
        <v>3</v>
      </c>
      <c r="G14" s="1"/>
    </row>
    <row r="15" spans="1:7" ht="15" customHeight="1" x14ac:dyDescent="0.25">
      <c r="A15" s="1"/>
      <c r="B15" s="43" t="s">
        <v>84</v>
      </c>
      <c r="C15" s="43"/>
      <c r="D15" s="43"/>
      <c r="E15" s="43"/>
      <c r="F15" s="43"/>
      <c r="G15" s="1"/>
    </row>
    <row r="16" spans="1:7" ht="15" customHeight="1" x14ac:dyDescent="0.25">
      <c r="A16" s="1"/>
      <c r="B16" s="31" t="s">
        <v>80</v>
      </c>
      <c r="C16" s="39"/>
      <c r="D16" s="39"/>
      <c r="E16" s="8">
        <f>'Fane 8.2. Engangstillæg'!C27</f>
        <v>0</v>
      </c>
      <c r="F16" s="39" t="s">
        <v>3</v>
      </c>
      <c r="G16" s="1"/>
    </row>
    <row r="17" spans="1:7" ht="15" customHeight="1" x14ac:dyDescent="0.25">
      <c r="A17" s="1"/>
      <c r="B17" s="31" t="s">
        <v>81</v>
      </c>
      <c r="C17" s="39"/>
      <c r="D17" s="39"/>
      <c r="E17" s="8">
        <f>'Fane 8.2. Engangstillæg'!E27</f>
        <v>0</v>
      </c>
      <c r="F17" s="39" t="s">
        <v>3</v>
      </c>
      <c r="G17" s="1"/>
    </row>
    <row r="18" spans="1:7" ht="15" customHeight="1" x14ac:dyDescent="0.25">
      <c r="A18" s="1"/>
      <c r="B18" s="44" t="s">
        <v>85</v>
      </c>
      <c r="C18" s="42"/>
      <c r="D18" s="42"/>
      <c r="E18" s="9">
        <f>SUM(E16:E17)</f>
        <v>0</v>
      </c>
      <c r="F18" s="37" t="s">
        <v>3</v>
      </c>
      <c r="G18" s="1"/>
    </row>
    <row r="19" spans="1:7" ht="15" customHeight="1" x14ac:dyDescent="0.25">
      <c r="A19" s="1"/>
      <c r="B19" s="43" t="s">
        <v>95</v>
      </c>
      <c r="C19" s="43"/>
      <c r="D19" s="43"/>
      <c r="E19" s="43"/>
      <c r="F19" s="43"/>
      <c r="G19" s="1"/>
    </row>
    <row r="20" spans="1:7" ht="15" customHeight="1" x14ac:dyDescent="0.25">
      <c r="A20" s="1"/>
      <c r="B20" s="37" t="s">
        <v>131</v>
      </c>
      <c r="C20" s="37"/>
      <c r="D20" s="37"/>
      <c r="E20" s="9">
        <f>'Fane 2.2. Økonomisk ramme 2021'!E22</f>
        <v>6329.2617416666535</v>
      </c>
      <c r="F20" s="37" t="s">
        <v>3</v>
      </c>
      <c r="G20" s="1"/>
    </row>
    <row r="21" spans="1:7" x14ac:dyDescent="0.25">
      <c r="A21" s="1"/>
      <c r="B21" s="43" t="s">
        <v>40</v>
      </c>
      <c r="C21" s="43"/>
      <c r="D21" s="43"/>
      <c r="E21" s="10">
        <f>SUM(E12,E14,E18,E20)</f>
        <v>9538164.5913747866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FX1rJ0xCNiahLmoLE8OItrVUIOtacpxpGoIaRSvDP5tRRWWiweGmwbaZAhlv5YbOhxC7eG8ctUkus9r9+cI8ww==" saltValue="MyD4caSqnHsIgo/u7/RElg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>
      <selection activeCell="E8" sqref="E8:E21"/>
    </sheetView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145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69" t="s">
        <v>29</v>
      </c>
      <c r="C5" s="69"/>
      <c r="D5" s="69"/>
      <c r="E5" s="69"/>
      <c r="F5" s="69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3" t="s">
        <v>19</v>
      </c>
      <c r="C7" s="43"/>
      <c r="D7" s="43"/>
      <c r="E7" s="43"/>
      <c r="F7" s="43"/>
      <c r="G7" s="1"/>
    </row>
    <row r="8" spans="1:7" ht="15" customHeight="1" x14ac:dyDescent="0.25">
      <c r="A8" s="1"/>
      <c r="B8" s="39" t="s">
        <v>38</v>
      </c>
      <c r="C8" s="39"/>
      <c r="D8" s="39"/>
      <c r="E8" s="7">
        <f>'Fane 2.3. Økonomisk ramme 2022'!E12</f>
        <v>4824967.1382361175</v>
      </c>
      <c r="F8" s="39" t="s">
        <v>3</v>
      </c>
      <c r="G8" s="1"/>
    </row>
    <row r="9" spans="1:7" ht="15" customHeight="1" x14ac:dyDescent="0.25">
      <c r="A9" s="1"/>
      <c r="B9" s="39" t="s">
        <v>144</v>
      </c>
      <c r="C9" s="39"/>
      <c r="D9" s="39"/>
      <c r="E9" s="7">
        <f>-('Fane 10. Bortfald'!C30+'Fane 10. Bortfald'!E30)</f>
        <v>0</v>
      </c>
      <c r="F9" s="39" t="s">
        <v>3</v>
      </c>
      <c r="G9" s="1"/>
    </row>
    <row r="10" spans="1:7" ht="15" customHeight="1" x14ac:dyDescent="0.25">
      <c r="A10" s="1"/>
      <c r="B10" s="40" t="s">
        <v>26</v>
      </c>
      <c r="C10" s="39"/>
      <c r="D10" s="39"/>
      <c r="E10" s="8">
        <f>E8*'Fane 12. Nøgletal'!C12</f>
        <v>95051.852623251514</v>
      </c>
      <c r="F10" s="39" t="s">
        <v>3</v>
      </c>
      <c r="G10" s="1"/>
    </row>
    <row r="11" spans="1:7" ht="15" customHeight="1" x14ac:dyDescent="0.25">
      <c r="A11" s="1"/>
      <c r="B11" s="40" t="s">
        <v>115</v>
      </c>
      <c r="C11" s="39"/>
      <c r="D11" s="39"/>
      <c r="E11" s="8">
        <f>-SUM(E8:E10)*'Fane 12. Nøgletal'!C17</f>
        <v>-83640.322844609269</v>
      </c>
      <c r="F11" s="39" t="s">
        <v>3</v>
      </c>
      <c r="G11" s="1"/>
    </row>
    <row r="12" spans="1:7" x14ac:dyDescent="0.25">
      <c r="A12" s="1"/>
      <c r="B12" s="42" t="s">
        <v>28</v>
      </c>
      <c r="C12" s="42"/>
      <c r="D12" s="42"/>
      <c r="E12" s="9">
        <f>SUM(E8:E11)</f>
        <v>4836378.6680147592</v>
      </c>
      <c r="F12" s="37" t="s">
        <v>3</v>
      </c>
      <c r="G12" s="1"/>
    </row>
    <row r="13" spans="1:7" x14ac:dyDescent="0.25">
      <c r="A13" s="1"/>
      <c r="B13" s="43" t="s">
        <v>16</v>
      </c>
      <c r="C13" s="43"/>
      <c r="D13" s="43"/>
      <c r="E13" s="43"/>
      <c r="F13" s="43"/>
      <c r="G13" s="1"/>
    </row>
    <row r="14" spans="1:7" ht="15" customHeight="1" x14ac:dyDescent="0.25">
      <c r="A14" s="1"/>
      <c r="B14" s="37" t="s">
        <v>16</v>
      </c>
      <c r="C14" s="37"/>
      <c r="D14" s="37"/>
      <c r="E14" s="9">
        <f>'Fane 4. Ikke-påvirkelige omk.'!C19*(1+'Fane 12. Nøgletal'!C12)^3</f>
        <v>4799593.4947675252</v>
      </c>
      <c r="F14" s="37" t="s">
        <v>3</v>
      </c>
      <c r="G14" s="1"/>
    </row>
    <row r="15" spans="1:7" ht="15" customHeight="1" x14ac:dyDescent="0.25">
      <c r="A15" s="1"/>
      <c r="B15" s="43" t="s">
        <v>84</v>
      </c>
      <c r="C15" s="43"/>
      <c r="D15" s="43"/>
      <c r="E15" s="43"/>
      <c r="F15" s="43"/>
      <c r="G15" s="1"/>
    </row>
    <row r="16" spans="1:7" ht="15" customHeight="1" x14ac:dyDescent="0.25">
      <c r="A16" s="1"/>
      <c r="B16" s="31" t="s">
        <v>80</v>
      </c>
      <c r="C16" s="39"/>
      <c r="D16" s="39"/>
      <c r="E16" s="8">
        <f>'Fane 8.2. Engangstillæg'!C34</f>
        <v>0</v>
      </c>
      <c r="F16" s="39" t="s">
        <v>3</v>
      </c>
      <c r="G16" s="1"/>
    </row>
    <row r="17" spans="1:7" ht="15" customHeight="1" x14ac:dyDescent="0.25">
      <c r="A17" s="1"/>
      <c r="B17" s="31" t="s">
        <v>81</v>
      </c>
      <c r="C17" s="39"/>
      <c r="D17" s="39"/>
      <c r="E17" s="8">
        <f>'Fane 8.2. Engangstillæg'!E34</f>
        <v>0</v>
      </c>
      <c r="F17" s="39" t="s">
        <v>3</v>
      </c>
      <c r="G17" s="1"/>
    </row>
    <row r="18" spans="1:7" ht="15" customHeight="1" x14ac:dyDescent="0.25">
      <c r="A18" s="1"/>
      <c r="B18" s="44" t="s">
        <v>85</v>
      </c>
      <c r="C18" s="42"/>
      <c r="D18" s="42"/>
      <c r="E18" s="9">
        <f>SUM(E16:E17)</f>
        <v>0</v>
      </c>
      <c r="F18" s="37" t="s">
        <v>3</v>
      </c>
      <c r="G18" s="1"/>
    </row>
    <row r="19" spans="1:7" ht="15" customHeight="1" x14ac:dyDescent="0.25">
      <c r="A19" s="1"/>
      <c r="B19" s="43" t="s">
        <v>95</v>
      </c>
      <c r="C19" s="43"/>
      <c r="D19" s="43"/>
      <c r="E19" s="43"/>
      <c r="F19" s="43"/>
      <c r="G19" s="1"/>
    </row>
    <row r="20" spans="1:7" ht="15" customHeight="1" x14ac:dyDescent="0.25">
      <c r="A20" s="1"/>
      <c r="B20" s="37" t="s">
        <v>131</v>
      </c>
      <c r="C20" s="37"/>
      <c r="D20" s="37"/>
      <c r="E20" s="9">
        <f>'Fane 2.3. Økonomisk ramme 2022'!E20</f>
        <v>6329.2617416666535</v>
      </c>
      <c r="F20" s="37" t="s">
        <v>3</v>
      </c>
      <c r="G20" s="1"/>
    </row>
    <row r="21" spans="1:7" x14ac:dyDescent="0.25">
      <c r="A21" s="1"/>
      <c r="B21" s="43" t="s">
        <v>89</v>
      </c>
      <c r="C21" s="43"/>
      <c r="D21" s="43"/>
      <c r="E21" s="10">
        <f>SUM(E12,E14,E18,E20)</f>
        <v>9642301.4245239515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nnYJr0h4/66uCW/niU8KbNLHckvCRPU1J0+Qr67i7VIZq5E3xG1bGrd2Oh98KApFsFKwf3MgR+kYkAqETx71Cw==" saltValue="GzHGi7ujOmNepMaNncYya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>
      <selection activeCell="B23" sqref="B23:F23"/>
    </sheetView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3" t="s">
        <v>138</v>
      </c>
      <c r="C3" s="73"/>
      <c r="D3" s="73"/>
      <c r="E3" s="73"/>
      <c r="F3" s="73"/>
      <c r="G3" s="1"/>
    </row>
    <row r="4" spans="1:7" ht="29.2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72</v>
      </c>
      <c r="C8" s="43"/>
      <c r="D8" s="43"/>
      <c r="E8" s="43"/>
      <c r="F8" s="43"/>
      <c r="G8" s="1"/>
    </row>
    <row r="9" spans="1:7" x14ac:dyDescent="0.25">
      <c r="A9" s="1"/>
      <c r="B9" s="74" t="s">
        <v>70</v>
      </c>
      <c r="C9" s="74"/>
      <c r="D9" s="74"/>
      <c r="E9" s="7">
        <v>2546359.2671764139</v>
      </c>
      <c r="F9" s="39" t="s">
        <v>3</v>
      </c>
      <c r="G9" s="1"/>
    </row>
    <row r="10" spans="1:7" x14ac:dyDescent="0.25">
      <c r="A10" s="1"/>
      <c r="B10" s="76" t="s">
        <v>140</v>
      </c>
      <c r="C10" s="76"/>
      <c r="D10" s="76"/>
      <c r="E10" s="7">
        <v>0</v>
      </c>
      <c r="F10" s="39" t="s">
        <v>3</v>
      </c>
      <c r="G10" s="1"/>
    </row>
    <row r="11" spans="1:7" x14ac:dyDescent="0.25">
      <c r="A11" s="1"/>
      <c r="B11" s="75" t="s">
        <v>141</v>
      </c>
      <c r="C11" s="75"/>
      <c r="D11" s="75"/>
      <c r="E11" s="7">
        <v>1837221.5488696997</v>
      </c>
      <c r="F11" s="39" t="s">
        <v>3</v>
      </c>
      <c r="G11" s="1"/>
    </row>
    <row r="12" spans="1:7" x14ac:dyDescent="0.25">
      <c r="A12" s="1"/>
      <c r="B12" s="75" t="s">
        <v>142</v>
      </c>
      <c r="C12" s="75"/>
      <c r="D12" s="75"/>
      <c r="E12" s="8">
        <v>0</v>
      </c>
      <c r="F12" s="39" t="s">
        <v>3</v>
      </c>
      <c r="G12" s="1"/>
    </row>
    <row r="13" spans="1:7" x14ac:dyDescent="0.25">
      <c r="A13" s="1"/>
      <c r="B13" s="75" t="s">
        <v>26</v>
      </c>
      <c r="C13" s="75"/>
      <c r="D13" s="75"/>
      <c r="E13" s="8">
        <f>(SUM(E9:E9)-SUM(E10:E10))*'Fane 12. Nøgletal'!C9+SUM(E10:E10)*'Fane 12. Nøgletal'!C10+SUM(E11:E12)*'Fane 12. Nøgletal'!C11</f>
        <v>63387.806869038381</v>
      </c>
      <c r="F13" s="39" t="s">
        <v>3</v>
      </c>
      <c r="G13" s="1"/>
    </row>
    <row r="14" spans="1:7" x14ac:dyDescent="0.25">
      <c r="A14" s="1"/>
      <c r="B14" s="75" t="s">
        <v>115</v>
      </c>
      <c r="C14" s="75"/>
      <c r="D14" s="75"/>
      <c r="E14" s="8">
        <f>-SUM(E9:E9,E11:E13)*'Fane 12. Nøgletal'!C17</f>
        <v>-75598.466589557574</v>
      </c>
      <c r="F14" s="39" t="s">
        <v>3</v>
      </c>
      <c r="G14" s="1"/>
    </row>
    <row r="15" spans="1:7" x14ac:dyDescent="0.25">
      <c r="A15" s="1"/>
      <c r="B15" s="77" t="s">
        <v>28</v>
      </c>
      <c r="C15" s="77"/>
      <c r="D15" s="77"/>
      <c r="E15" s="9">
        <f>SUM(E9,E11:E14)</f>
        <v>4371370.1563255936</v>
      </c>
      <c r="F15" s="37" t="s">
        <v>3</v>
      </c>
      <c r="G15" s="1"/>
    </row>
    <row r="16" spans="1:7" x14ac:dyDescent="0.25">
      <c r="A16" s="1"/>
      <c r="B16" s="78" t="s">
        <v>16</v>
      </c>
      <c r="C16" s="78"/>
      <c r="D16" s="78"/>
      <c r="E16" s="43"/>
      <c r="F16" s="43"/>
      <c r="G16" s="1"/>
    </row>
    <row r="17" spans="1:7" x14ac:dyDescent="0.25">
      <c r="A17" s="1"/>
      <c r="B17" s="72" t="s">
        <v>16</v>
      </c>
      <c r="C17" s="72"/>
      <c r="D17" s="72"/>
      <c r="E17" s="9">
        <v>2900199.6526648528</v>
      </c>
      <c r="F17" s="37" t="s">
        <v>3</v>
      </c>
      <c r="G17" s="1"/>
    </row>
    <row r="18" spans="1:7" x14ac:dyDescent="0.25">
      <c r="A18" s="1"/>
      <c r="B18" s="43" t="s">
        <v>71</v>
      </c>
      <c r="C18" s="43"/>
      <c r="D18" s="43"/>
      <c r="E18" s="43"/>
      <c r="F18" s="43"/>
      <c r="G18" s="1"/>
    </row>
    <row r="19" spans="1:7" ht="27" customHeight="1" x14ac:dyDescent="0.25">
      <c r="A19" s="1"/>
      <c r="B19" s="71" t="s">
        <v>74</v>
      </c>
      <c r="C19" s="71"/>
      <c r="D19" s="71"/>
      <c r="E19" s="9">
        <v>5732.3358952527551</v>
      </c>
      <c r="F19" s="37" t="s">
        <v>3</v>
      </c>
      <c r="G19" s="1"/>
    </row>
    <row r="20" spans="1:7" x14ac:dyDescent="0.25">
      <c r="A20" s="1"/>
      <c r="B20" s="43" t="s">
        <v>10</v>
      </c>
      <c r="C20" s="43"/>
      <c r="D20" s="43"/>
      <c r="E20" s="43"/>
      <c r="F20" s="43"/>
      <c r="G20" s="1"/>
    </row>
    <row r="21" spans="1:7" x14ac:dyDescent="0.25">
      <c r="A21" s="1"/>
      <c r="B21" s="72" t="s">
        <v>18</v>
      </c>
      <c r="C21" s="72"/>
      <c r="D21" s="72"/>
      <c r="E21" s="9">
        <v>-111147</v>
      </c>
      <c r="F21" s="37" t="s">
        <v>3</v>
      </c>
      <c r="G21" s="1"/>
    </row>
    <row r="22" spans="1:7" x14ac:dyDescent="0.25">
      <c r="A22" s="1"/>
      <c r="B22" s="43" t="s">
        <v>23</v>
      </c>
      <c r="C22" s="43"/>
      <c r="D22" s="43"/>
      <c r="E22" s="10">
        <f>SUM(E21,E19,E17,E15)</f>
        <v>7166155.1448856993</v>
      </c>
      <c r="F22" s="11" t="s">
        <v>3</v>
      </c>
      <c r="G22" s="1"/>
    </row>
    <row r="23" spans="1:7" ht="28.5" customHeight="1" x14ac:dyDescent="0.25">
      <c r="A23" s="1"/>
      <c r="B23" s="70" t="s">
        <v>118</v>
      </c>
      <c r="C23" s="70"/>
      <c r="D23" s="70"/>
      <c r="E23" s="70"/>
      <c r="F23" s="70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1we2OprrrJjZXZjBdvSZj8H/2/krijCzGUy+1FaE3WeBkeDZfXmG9NCYZIRwCZwh9nE0SMakZtsOIOVrjNFQsA==" saltValue="J7lB4vt33sCgr6fOkj+6eQ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5"/>
  <sheetViews>
    <sheetView showGridLines="0" view="pageLayout" zoomScaleNormal="100" workbookViewId="0">
      <selection activeCell="C17" sqref="C17"/>
    </sheetView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8" t="s">
        <v>110</v>
      </c>
      <c r="C3" s="68"/>
      <c r="D3" s="68"/>
      <c r="E3" s="1"/>
      <c r="F3" s="1"/>
    </row>
    <row r="4" spans="1:6" ht="15" customHeight="1" x14ac:dyDescent="0.25">
      <c r="A4" s="1"/>
      <c r="B4" s="68"/>
      <c r="C4" s="68"/>
      <c r="D4" s="6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9" t="s">
        <v>58</v>
      </c>
      <c r="C8" s="80"/>
      <c r="D8" s="81"/>
      <c r="E8" s="1"/>
      <c r="F8" s="1"/>
    </row>
    <row r="9" spans="1:6" ht="15" customHeight="1" x14ac:dyDescent="0.25">
      <c r="A9" s="1"/>
      <c r="B9" s="19" t="s">
        <v>43</v>
      </c>
      <c r="C9" s="37" t="s">
        <v>59</v>
      </c>
      <c r="D9" s="37"/>
      <c r="E9" s="1"/>
      <c r="F9" s="1"/>
    </row>
    <row r="10" spans="1:6" x14ac:dyDescent="0.25">
      <c r="A10" s="1"/>
      <c r="B10" s="30" t="s">
        <v>147</v>
      </c>
      <c r="C10" s="8">
        <v>1105849</v>
      </c>
      <c r="D10" s="12" t="s">
        <v>3</v>
      </c>
      <c r="E10" s="1"/>
      <c r="F10" s="1"/>
    </row>
    <row r="11" spans="1:6" x14ac:dyDescent="0.25">
      <c r="A11" s="1"/>
      <c r="B11" s="30" t="s">
        <v>148</v>
      </c>
      <c r="C11" s="8">
        <v>2280.0100000000002</v>
      </c>
      <c r="D11" s="12" t="s">
        <v>3</v>
      </c>
      <c r="E11" s="1"/>
      <c r="F11" s="1"/>
    </row>
    <row r="12" spans="1:6" ht="26.25" x14ac:dyDescent="0.25">
      <c r="A12" s="1"/>
      <c r="B12" s="34" t="s">
        <v>149</v>
      </c>
      <c r="C12" s="8">
        <v>1175580</v>
      </c>
      <c r="D12" s="12" t="s">
        <v>3</v>
      </c>
      <c r="E12" s="1"/>
      <c r="F12" s="1"/>
    </row>
    <row r="13" spans="1:6" x14ac:dyDescent="0.25">
      <c r="A13" s="1"/>
      <c r="B13" s="30" t="s">
        <v>150</v>
      </c>
      <c r="C13" s="8">
        <v>749.19</v>
      </c>
      <c r="D13" s="12" t="s">
        <v>3</v>
      </c>
      <c r="E13" s="1"/>
      <c r="F13" s="1"/>
    </row>
    <row r="14" spans="1:6" ht="39" x14ac:dyDescent="0.25">
      <c r="A14" s="1"/>
      <c r="B14" s="49" t="s">
        <v>164</v>
      </c>
      <c r="C14" s="8">
        <f>1062768</f>
        <v>1062768</v>
      </c>
      <c r="D14" s="12" t="s">
        <v>3</v>
      </c>
      <c r="E14" s="1"/>
      <c r="F14" s="1"/>
    </row>
    <row r="15" spans="1:6" ht="26.25" x14ac:dyDescent="0.25">
      <c r="A15" s="1"/>
      <c r="B15" s="49" t="s">
        <v>165</v>
      </c>
      <c r="C15" s="8">
        <f>932434</f>
        <v>932434</v>
      </c>
      <c r="D15" s="12" t="s">
        <v>3</v>
      </c>
      <c r="E15" s="1"/>
      <c r="F15" s="1"/>
    </row>
    <row r="16" spans="1:6" x14ac:dyDescent="0.25">
      <c r="A16" s="1"/>
      <c r="B16" s="30" t="s">
        <v>169</v>
      </c>
      <c r="C16" s="8">
        <f>33460</f>
        <v>33460</v>
      </c>
      <c r="D16" s="12" t="s">
        <v>3</v>
      </c>
      <c r="E16" s="1"/>
      <c r="F16" s="1"/>
    </row>
    <row r="17" spans="1:6" x14ac:dyDescent="0.25">
      <c r="A17" s="1"/>
      <c r="B17" s="30" t="s">
        <v>170</v>
      </c>
      <c r="C17" s="8">
        <f>40418</f>
        <v>40418</v>
      </c>
      <c r="D17" s="12" t="s">
        <v>3</v>
      </c>
      <c r="E17" s="1"/>
      <c r="F17" s="1"/>
    </row>
    <row r="18" spans="1:6" x14ac:dyDescent="0.25">
      <c r="A18" s="1"/>
      <c r="B18" s="47" t="s">
        <v>60</v>
      </c>
      <c r="C18" s="10">
        <f>SUM(C10:C17)</f>
        <v>4353538.1999999993</v>
      </c>
      <c r="D18" s="11" t="s">
        <v>3</v>
      </c>
      <c r="E18" s="1"/>
      <c r="F18" s="1"/>
    </row>
    <row r="19" spans="1:6" x14ac:dyDescent="0.25">
      <c r="A19" s="1"/>
      <c r="B19" s="47" t="s">
        <v>61</v>
      </c>
      <c r="C19" s="10">
        <f>C18*(1+'Fane 12. Nøgletal'!C12)^2</f>
        <v>4526757.1697200378</v>
      </c>
      <c r="D19" s="11" t="s">
        <v>3</v>
      </c>
      <c r="E19" s="1"/>
      <c r="F19" s="1"/>
    </row>
    <row r="20" spans="1:6" x14ac:dyDescent="0.25">
      <c r="A20" s="1"/>
      <c r="B20" s="14"/>
      <c r="C20" s="13"/>
      <c r="D20" s="13"/>
      <c r="E20" s="1"/>
      <c r="F20" s="1"/>
    </row>
    <row r="21" spans="1:6" x14ac:dyDescent="0.25">
      <c r="A21" s="1"/>
      <c r="B21" s="14"/>
      <c r="C21" s="13"/>
      <c r="D21" s="13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</sheetData>
  <sheetProtection algorithmName="SHA-512" hashValue="h2K0PAngFGn6sU7rDAzTu8h6ILEUBcnZJUkHMnR9fyEOwOP3xw9OlYj0XJSCj6i6ET1n32r6TOYaKJHNnyheDg==" saltValue="8ihZqP1wFIir4wN+IFkCqA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3" t="s">
        <v>119</v>
      </c>
      <c r="C3" s="73"/>
      <c r="D3" s="73"/>
      <c r="E3" s="73"/>
      <c r="F3" s="73"/>
      <c r="G3" s="1"/>
    </row>
    <row r="4" spans="1:7" ht="15" customHeight="1" x14ac:dyDescent="0.25">
      <c r="A4" s="1"/>
      <c r="B4" s="73"/>
      <c r="C4" s="73"/>
      <c r="D4" s="73"/>
      <c r="E4" s="73"/>
      <c r="F4" s="73"/>
      <c r="G4" s="1"/>
    </row>
    <row r="5" spans="1:7" ht="15" customHeight="1" x14ac:dyDescent="0.25">
      <c r="A5" s="1"/>
      <c r="B5" s="38"/>
      <c r="C5" s="38"/>
      <c r="D5" s="38"/>
      <c r="E5" s="38"/>
      <c r="F5" s="38"/>
      <c r="G5" s="1"/>
    </row>
    <row r="6" spans="1:7" ht="15" customHeight="1" x14ac:dyDescent="0.25">
      <c r="A6" s="1"/>
      <c r="B6" s="82" t="s">
        <v>47</v>
      </c>
      <c r="C6" s="82"/>
      <c r="D6" s="82"/>
      <c r="E6" s="82"/>
      <c r="F6" s="82"/>
      <c r="G6" s="1"/>
    </row>
    <row r="7" spans="1:7" ht="15" customHeight="1" x14ac:dyDescent="0.25">
      <c r="A7" s="1"/>
      <c r="B7" s="83" t="s">
        <v>45</v>
      </c>
      <c r="C7" s="83"/>
      <c r="D7" s="83"/>
      <c r="E7" s="8">
        <v>25317.046966666614</v>
      </c>
      <c r="F7" s="12" t="s">
        <v>3</v>
      </c>
      <c r="G7" s="1"/>
    </row>
    <row r="8" spans="1:7" ht="15" customHeight="1" x14ac:dyDescent="0.25">
      <c r="A8" s="1"/>
      <c r="B8" s="83" t="s">
        <v>46</v>
      </c>
      <c r="C8" s="83"/>
      <c r="D8" s="83"/>
      <c r="E8" s="8">
        <v>0</v>
      </c>
      <c r="F8" s="12" t="s">
        <v>3</v>
      </c>
      <c r="G8" s="1"/>
    </row>
    <row r="9" spans="1:7" ht="15" customHeight="1" x14ac:dyDescent="0.25">
      <c r="A9" s="1"/>
      <c r="B9" s="85" t="s">
        <v>129</v>
      </c>
      <c r="C9" s="86"/>
      <c r="D9" s="87"/>
      <c r="E9" s="9">
        <f>SUM(E7:E8)</f>
        <v>25317.046966666614</v>
      </c>
      <c r="F9" s="15" t="s">
        <v>3</v>
      </c>
      <c r="G9" s="1"/>
    </row>
    <row r="10" spans="1:7" ht="15" customHeight="1" x14ac:dyDescent="0.25">
      <c r="A10" s="1"/>
      <c r="B10" s="79"/>
      <c r="C10" s="80"/>
      <c r="D10" s="80"/>
      <c r="E10" s="80"/>
      <c r="F10" s="81"/>
      <c r="G10" s="1"/>
    </row>
    <row r="11" spans="1:7" ht="27" customHeight="1" x14ac:dyDescent="0.25">
      <c r="A11" s="1"/>
      <c r="B11" s="70" t="s">
        <v>113</v>
      </c>
      <c r="C11" s="70"/>
      <c r="D11" s="70"/>
      <c r="E11" s="70"/>
      <c r="F11" s="70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2" t="s">
        <v>99</v>
      </c>
      <c r="C14" s="82"/>
      <c r="D14" s="82"/>
      <c r="E14" s="82"/>
      <c r="F14" s="82"/>
      <c r="G14" s="1"/>
    </row>
    <row r="15" spans="1:7" x14ac:dyDescent="0.25">
      <c r="A15" s="1"/>
      <c r="B15" s="83" t="s">
        <v>100</v>
      </c>
      <c r="C15" s="83"/>
      <c r="D15" s="83"/>
      <c r="E15" s="8">
        <v>3434642.9979777778</v>
      </c>
      <c r="F15" s="12" t="s">
        <v>3</v>
      </c>
      <c r="G15" s="1"/>
    </row>
    <row r="16" spans="1:7" x14ac:dyDescent="0.25">
      <c r="A16" s="1"/>
      <c r="B16" s="83" t="s">
        <v>101</v>
      </c>
      <c r="C16" s="83"/>
      <c r="D16" s="83"/>
      <c r="E16" s="8">
        <v>3352256.02</v>
      </c>
      <c r="F16" s="12" t="s">
        <v>3</v>
      </c>
      <c r="G16" s="1"/>
    </row>
    <row r="17" spans="1:7" x14ac:dyDescent="0.25">
      <c r="A17" s="1"/>
      <c r="B17" s="83" t="s">
        <v>44</v>
      </c>
      <c r="C17" s="83"/>
      <c r="D17" s="83"/>
      <c r="E17" s="8">
        <v>0</v>
      </c>
      <c r="F17" s="12" t="s">
        <v>3</v>
      </c>
      <c r="G17" s="1"/>
    </row>
    <row r="18" spans="1:7" x14ac:dyDescent="0.25">
      <c r="A18" s="1"/>
      <c r="B18" s="84" t="s">
        <v>130</v>
      </c>
      <c r="C18" s="84"/>
      <c r="D18" s="84"/>
      <c r="E18" s="9">
        <f>E15-(E16-E17)</f>
        <v>82386.977977777831</v>
      </c>
      <c r="F18" s="15" t="s">
        <v>3</v>
      </c>
      <c r="G18" s="1"/>
    </row>
    <row r="19" spans="1:7" x14ac:dyDescent="0.25">
      <c r="A19" s="1"/>
      <c r="B19" s="88"/>
      <c r="C19" s="89"/>
      <c r="D19" s="89"/>
      <c r="E19" s="89"/>
      <c r="F19" s="90"/>
      <c r="G19" s="1"/>
    </row>
    <row r="20" spans="1:7" ht="28.5" customHeight="1" x14ac:dyDescent="0.25">
      <c r="A20" s="1"/>
      <c r="B20" s="70" t="s">
        <v>112</v>
      </c>
      <c r="C20" s="70"/>
      <c r="D20" s="70"/>
      <c r="E20" s="70"/>
      <c r="F20" s="70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2" t="s">
        <v>66</v>
      </c>
      <c r="C23" s="82"/>
      <c r="D23" s="82"/>
      <c r="E23" s="82"/>
      <c r="F23" s="82"/>
      <c r="G23" s="1"/>
    </row>
    <row r="24" spans="1:7" x14ac:dyDescent="0.25">
      <c r="A24" s="1"/>
      <c r="B24" s="83" t="s">
        <v>67</v>
      </c>
      <c r="C24" s="83"/>
      <c r="D24" s="83"/>
      <c r="E24" s="8">
        <v>3623027.157476414</v>
      </c>
      <c r="F24" s="12" t="s">
        <v>3</v>
      </c>
      <c r="G24" s="1"/>
    </row>
    <row r="25" spans="1:7" x14ac:dyDescent="0.25">
      <c r="A25" s="1"/>
      <c r="B25" s="83" t="s">
        <v>68</v>
      </c>
      <c r="C25" s="83"/>
      <c r="D25" s="83"/>
      <c r="E25" s="8">
        <v>3357292.01</v>
      </c>
      <c r="F25" s="12" t="s">
        <v>3</v>
      </c>
      <c r="G25" s="1"/>
    </row>
    <row r="26" spans="1:7" x14ac:dyDescent="0.25">
      <c r="A26" s="1"/>
      <c r="B26" s="83" t="s">
        <v>44</v>
      </c>
      <c r="C26" s="83"/>
      <c r="D26" s="83"/>
      <c r="E26" s="8">
        <v>0</v>
      </c>
      <c r="F26" s="12" t="s">
        <v>3</v>
      </c>
      <c r="G26" s="1"/>
    </row>
    <row r="27" spans="1:7" x14ac:dyDescent="0.25">
      <c r="A27" s="1"/>
      <c r="B27" s="84" t="s">
        <v>130</v>
      </c>
      <c r="C27" s="84"/>
      <c r="D27" s="84"/>
      <c r="E27" s="9">
        <f>E24-(E25-E26)</f>
        <v>265735.14747641422</v>
      </c>
      <c r="F27" s="15" t="s">
        <v>3</v>
      </c>
      <c r="G27" s="1"/>
    </row>
    <row r="28" spans="1:7" x14ac:dyDescent="0.25">
      <c r="A28" s="1"/>
      <c r="B28" s="79"/>
      <c r="C28" s="80"/>
      <c r="D28" s="80"/>
      <c r="E28" s="80"/>
      <c r="F28" s="8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2" t="s">
        <v>114</v>
      </c>
      <c r="C31" s="82"/>
      <c r="D31" s="82"/>
      <c r="E31" s="82"/>
      <c r="F31" s="82"/>
      <c r="G31" s="1"/>
    </row>
    <row r="32" spans="1:7" x14ac:dyDescent="0.25">
      <c r="A32" s="1"/>
      <c r="B32" s="76" t="s">
        <v>47</v>
      </c>
      <c r="C32" s="76"/>
      <c r="D32" s="76"/>
      <c r="E32" s="8">
        <f>E9</f>
        <v>25317.046966666614</v>
      </c>
      <c r="F32" s="12" t="s">
        <v>3</v>
      </c>
      <c r="G32" s="1"/>
    </row>
    <row r="33" spans="1:7" x14ac:dyDescent="0.25">
      <c r="A33" s="1"/>
      <c r="B33" s="76" t="s">
        <v>128</v>
      </c>
      <c r="C33" s="76"/>
      <c r="D33" s="76"/>
      <c r="E33" s="8">
        <f>IF(E18+E27&lt;0,E18+E27,0)</f>
        <v>0</v>
      </c>
      <c r="F33" s="12" t="s">
        <v>3</v>
      </c>
      <c r="G33" s="1"/>
    </row>
    <row r="34" spans="1:7" x14ac:dyDescent="0.25">
      <c r="A34" s="1"/>
      <c r="B34" s="76" t="s">
        <v>122</v>
      </c>
      <c r="C34" s="76"/>
      <c r="D34" s="76"/>
      <c r="E34" s="8">
        <v>4</v>
      </c>
      <c r="F34" s="12" t="s">
        <v>27</v>
      </c>
      <c r="G34" s="1"/>
    </row>
    <row r="35" spans="1:7" x14ac:dyDescent="0.25">
      <c r="A35" s="1"/>
      <c r="B35" s="84" t="s">
        <v>154</v>
      </c>
      <c r="C35" s="84"/>
      <c r="D35" s="84"/>
      <c r="E35" s="9">
        <f>SUM(E32:E33)/E34</f>
        <v>6329.2617416666535</v>
      </c>
      <c r="F35" s="15" t="s">
        <v>3</v>
      </c>
      <c r="G35" s="1"/>
    </row>
    <row r="36" spans="1:7" x14ac:dyDescent="0.25">
      <c r="A36" s="1"/>
      <c r="B36" s="82"/>
      <c r="C36" s="82"/>
      <c r="D36" s="82"/>
      <c r="E36" s="82"/>
      <c r="F36" s="82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sOQwkgusn8HhkYgMmXEEyel7NN21sG6QRzoXQMokuzlo5530yzTDKOchxvgW36On7kOvaKQE5ZU73uFbEtNROg==" saltValue="iY5TtPPLypPqZ/D2rPXD4w==" spinCount="100000" sheet="1" objects="1" scenarios="1"/>
  <mergeCells count="26"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3" t="s">
        <v>155</v>
      </c>
      <c r="C3" s="73"/>
      <c r="D3" s="73"/>
      <c r="E3" s="73"/>
      <c r="F3" s="73"/>
      <c r="G3" s="1"/>
    </row>
    <row r="4" spans="1:7" ht="1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2" t="s">
        <v>94</v>
      </c>
      <c r="C8" s="82"/>
      <c r="D8" s="82"/>
      <c r="E8" s="82"/>
      <c r="F8" s="82"/>
      <c r="G8" s="1"/>
    </row>
    <row r="9" spans="1:7" ht="28.5" customHeight="1" x14ac:dyDescent="0.25">
      <c r="A9" s="1"/>
      <c r="B9" s="71" t="s">
        <v>98</v>
      </c>
      <c r="C9" s="71"/>
      <c r="D9" s="71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7" t="s">
        <v>3</v>
      </c>
      <c r="G9" s="1"/>
    </row>
    <row r="10" spans="1:7" x14ac:dyDescent="0.25">
      <c r="A10" s="1"/>
      <c r="B10" s="43" t="s">
        <v>109</v>
      </c>
      <c r="C10" s="43"/>
      <c r="D10" s="43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XdPyEFyYHdfQD2M7UmYst4sknUB8/M7VheWA9nvnI5vn72a76alwRvAn5eapimawQdIpXNIhhmicWzWYyoZ1Bw==" saltValue="gABgpQm6zkqTvTkKh3WoEg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Laurids Rudbeck Røge</cp:lastModifiedBy>
  <cp:lastPrinted>2016-06-14T12:57:30Z</cp:lastPrinted>
  <dcterms:created xsi:type="dcterms:W3CDTF">2016-06-02T08:51:18Z</dcterms:created>
  <dcterms:modified xsi:type="dcterms:W3CDTF">2020-02-06T14:50:06Z</dcterms:modified>
</cp:coreProperties>
</file>