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Spildevand\Ikast-Brande Spildevand AS (S052)\ØR2020\"/>
    </mc:Choice>
  </mc:AlternateContent>
  <bookViews>
    <workbookView xWindow="3105" yWindow="990" windowWidth="12735" windowHeight="4620" tabRatio="872"/>
  </bookViews>
  <sheets>
    <sheet name="1. Forside" sheetId="1" r:id="rId1"/>
    <sheet name="Fane 2.1. Økonomisk ramme 2020" sheetId="2" r:id="rId2"/>
    <sheet name="Fane 2.2. Økonomisk ramme 2021" sheetId="15" r:id="rId3"/>
    <sheet name="Fane 2.3. Økonomisk ramme 2022" sheetId="22" r:id="rId4"/>
    <sheet name="Fane 2.4. Økonomisk ramme 2023" sheetId="23" r:id="rId5"/>
    <sheet name="Fane 3. Omkostninger i ØR2019" sheetId="27" r:id="rId6"/>
    <sheet name="Fane 4.1. Gen. krav - drift" sheetId="30" r:id="rId7"/>
    <sheet name="Fane 4.2. Gen. krav - anlæg" sheetId="36" r:id="rId8"/>
    <sheet name="Fane 5. Individuelt eff. krav" sheetId="31" r:id="rId9"/>
    <sheet name="Fane 6. Ikke-påvirkelige omk." sheetId="19" r:id="rId10"/>
    <sheet name="Fane 7. Kontrol af ØR2018" sheetId="32" r:id="rId11"/>
    <sheet name="Fane 8. Korrektioner" sheetId="40" r:id="rId12"/>
    <sheet name="Fane 9. Anlægsprojekter" sheetId="11" r:id="rId13"/>
    <sheet name="Fane 10.1. Varige tillæg" sheetId="37" r:id="rId14"/>
    <sheet name="Fane 10.2. Engangstillæg" sheetId="39" r:id="rId15"/>
    <sheet name="Fane 11. Periodevise driftsomk." sheetId="20" r:id="rId16"/>
    <sheet name="Fane 12. Tilknyttet aktivitet" sheetId="29" r:id="rId17"/>
    <sheet name="Fane 13. Bortfald" sheetId="21" r:id="rId18"/>
    <sheet name="Fane 14. Hist. over-underdæk." sheetId="10" r:id="rId19"/>
    <sheet name="Fane 15. Nøgletal" sheetId="26" r:id="rId20"/>
  </sheets>
  <calcPr calcId="162913"/>
</workbook>
</file>

<file path=xl/calcChain.xml><?xml version="1.0" encoding="utf-8"?>
<calcChain xmlns="http://schemas.openxmlformats.org/spreadsheetml/2006/main">
  <c r="E15" i="11" l="1"/>
  <c r="E18" i="11"/>
  <c r="E17" i="11"/>
  <c r="E16" i="11"/>
  <c r="E14" i="11"/>
  <c r="E13" i="11"/>
  <c r="E12" i="11"/>
  <c r="E11" i="11"/>
  <c r="E19" i="40" l="1"/>
  <c r="E16" i="40" l="1"/>
  <c r="E12" i="40"/>
  <c r="E19" i="11" l="1"/>
  <c r="E20" i="11"/>
  <c r="E10" i="11"/>
  <c r="G8" i="30" l="1"/>
  <c r="E23" i="27" l="1"/>
  <c r="E24" i="27" s="1"/>
  <c r="E29" i="20" l="1"/>
  <c r="E23" i="20"/>
  <c r="E17" i="20"/>
  <c r="E11" i="20"/>
  <c r="E21" i="32" l="1"/>
  <c r="E12" i="32"/>
  <c r="E26" i="32" l="1"/>
  <c r="E28" i="32" s="1"/>
  <c r="C32" i="2" s="1"/>
  <c r="E28" i="20" l="1"/>
  <c r="E22" i="20"/>
  <c r="E24" i="20" s="1"/>
  <c r="C20" i="22" s="1"/>
  <c r="E16" i="20"/>
  <c r="E18" i="20" s="1"/>
  <c r="C20" i="15" s="1"/>
  <c r="E10" i="20"/>
  <c r="E12" i="20" s="1"/>
  <c r="C24" i="2" s="1"/>
  <c r="E30" i="20" l="1"/>
  <c r="C20" i="23" s="1"/>
  <c r="E20" i="40" l="1"/>
  <c r="C34" i="2" s="1"/>
  <c r="E29" i="21"/>
  <c r="E30" i="21" s="1"/>
  <c r="C29" i="21"/>
  <c r="C30" i="21" s="1"/>
  <c r="E23" i="21"/>
  <c r="E24" i="21" s="1"/>
  <c r="C23" i="21"/>
  <c r="C24" i="21" s="1"/>
  <c r="E17" i="21"/>
  <c r="E18" i="21" s="1"/>
  <c r="C17" i="21"/>
  <c r="C18" i="21" s="1"/>
  <c r="G30" i="36" l="1"/>
  <c r="C11" i="15"/>
  <c r="G39" i="30"/>
  <c r="C10" i="22"/>
  <c r="C11" i="22"/>
  <c r="G36" i="36"/>
  <c r="G33" i="30"/>
  <c r="C10" i="15"/>
  <c r="G45" i="30"/>
  <c r="C10" i="23"/>
  <c r="G42" i="36"/>
  <c r="C11" i="23"/>
  <c r="E35" i="39"/>
  <c r="C35" i="39"/>
  <c r="E27" i="39"/>
  <c r="C27" i="39"/>
  <c r="E19" i="39"/>
  <c r="E21" i="39" s="1"/>
  <c r="C19" i="39"/>
  <c r="C21" i="39" s="1"/>
  <c r="E11" i="39"/>
  <c r="E13" i="39" s="1"/>
  <c r="C11" i="39"/>
  <c r="C13" i="39" s="1"/>
  <c r="E37" i="39" l="1"/>
  <c r="E36" i="39"/>
  <c r="C37" i="39"/>
  <c r="C36" i="39"/>
  <c r="E29" i="39"/>
  <c r="E28" i="39"/>
  <c r="C29" i="39"/>
  <c r="C28" i="39"/>
  <c r="E20" i="39"/>
  <c r="E22" i="39" s="1"/>
  <c r="C23" i="15" s="1"/>
  <c r="E12" i="39"/>
  <c r="E14" i="39" s="1"/>
  <c r="C27" i="2" s="1"/>
  <c r="C20" i="39"/>
  <c r="C22" i="39" s="1"/>
  <c r="C22" i="15" s="1"/>
  <c r="C12" i="39"/>
  <c r="E30" i="39" l="1"/>
  <c r="C23" i="22" s="1"/>
  <c r="C38" i="39"/>
  <c r="C22" i="23" s="1"/>
  <c r="C30" i="39"/>
  <c r="C22" i="22" s="1"/>
  <c r="E38" i="39"/>
  <c r="C23" i="23" s="1"/>
  <c r="C14" i="39"/>
  <c r="C26" i="2" s="1"/>
  <c r="G12" i="10"/>
  <c r="G14" i="10" s="1"/>
  <c r="C24" i="23" l="1"/>
  <c r="C24" i="22"/>
  <c r="C24" i="15"/>
  <c r="C28" i="2"/>
  <c r="G6" i="36" l="1"/>
  <c r="G10" i="36" l="1"/>
  <c r="G13" i="36" l="1"/>
  <c r="G12" i="30"/>
  <c r="G17" i="36" l="1"/>
  <c r="G19" i="36" s="1"/>
  <c r="G16" i="30"/>
  <c r="G20" i="30" s="1"/>
  <c r="E19" i="27" l="1"/>
  <c r="G23" i="36"/>
  <c r="G22" i="30"/>
  <c r="E18" i="27" s="1"/>
  <c r="G26" i="30" l="1"/>
  <c r="E16" i="27"/>
  <c r="E17" i="27" s="1"/>
  <c r="E20" i="27" l="1"/>
  <c r="E31" i="27" s="1"/>
  <c r="C9" i="2" l="1"/>
  <c r="C26" i="15" l="1"/>
  <c r="F21" i="11" l="1"/>
  <c r="C10" i="37" s="1"/>
  <c r="C12" i="37" s="1"/>
  <c r="C13" i="37" s="1"/>
  <c r="C10" i="2" s="1"/>
  <c r="G21" i="11"/>
  <c r="E11" i="21" l="1"/>
  <c r="C11" i="21"/>
  <c r="E11" i="29"/>
  <c r="C11" i="29"/>
  <c r="C15" i="19"/>
  <c r="C16" i="19" s="1"/>
  <c r="E12" i="29" l="1"/>
  <c r="C15" i="2" s="1"/>
  <c r="C12" i="29"/>
  <c r="C14" i="2" s="1"/>
  <c r="C18" i="15"/>
  <c r="C22" i="2"/>
  <c r="C18" i="23"/>
  <c r="C18" i="22"/>
  <c r="C12" i="21"/>
  <c r="C12" i="2" s="1"/>
  <c r="E12" i="21"/>
  <c r="C13" i="2" s="1"/>
  <c r="G27" i="30" l="1"/>
  <c r="G28" i="30" s="1"/>
  <c r="C18" i="2" l="1"/>
  <c r="G32" i="30" l="1"/>
  <c r="G34" i="30" s="1"/>
  <c r="E21" i="11"/>
  <c r="E10" i="37" s="1"/>
  <c r="E12" i="37" s="1"/>
  <c r="E13" i="37" s="1"/>
  <c r="C11" i="2" s="1"/>
  <c r="G24" i="36" s="1"/>
  <c r="G25" i="36" s="1"/>
  <c r="C30" i="2"/>
  <c r="C14" i="15" l="1"/>
  <c r="G38" i="30" l="1"/>
  <c r="G40" i="30" s="1"/>
  <c r="C16" i="2"/>
  <c r="C17" i="2" s="1"/>
  <c r="C14" i="22" l="1"/>
  <c r="G44" i="30" l="1"/>
  <c r="C19" i="2"/>
  <c r="C20" i="2" s="1"/>
  <c r="G29" i="36"/>
  <c r="G31" i="36" s="1"/>
  <c r="C9" i="15" l="1"/>
  <c r="C35" i="2"/>
  <c r="G46" i="30"/>
  <c r="C14" i="23" s="1"/>
  <c r="G35" i="36"/>
  <c r="G37" i="36" s="1"/>
  <c r="G41" i="36" l="1"/>
  <c r="G43" i="36" s="1"/>
  <c r="C12" i="15"/>
  <c r="C13" i="15" s="1"/>
  <c r="C15" i="15"/>
  <c r="C15" i="22"/>
  <c r="C16" i="15" l="1"/>
  <c r="C27" i="15" l="1"/>
  <c r="C9" i="22"/>
  <c r="C15" i="23"/>
  <c r="C12" i="22" l="1"/>
  <c r="C13" i="22" s="1"/>
  <c r="C16" i="22" l="1"/>
  <c r="C25" i="22" l="1"/>
  <c r="C9" i="23"/>
  <c r="C12" i="23" s="1"/>
  <c r="C13" i="23" s="1"/>
  <c r="C16" i="23" s="1"/>
  <c r="C25" i="23" s="1"/>
</calcChain>
</file>

<file path=xl/sharedStrings.xml><?xml version="1.0" encoding="utf-8"?>
<sst xmlns="http://schemas.openxmlformats.org/spreadsheetml/2006/main" count="692" uniqueCount="273">
  <si>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</si>
  <si>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</si>
  <si>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</si>
  <si>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</si>
  <si>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</si>
  <si>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</si>
  <si>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</si>
  <si>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5</t>
  </si>
  <si>
    <t>Fane 8</t>
  </si>
  <si>
    <t>Fane 9</t>
  </si>
  <si>
    <t>Individuelt effektiviseringskrav</t>
  </si>
  <si>
    <t>Historisk over- eller underdækning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</si>
  <si>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</si>
  <si>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</si>
  <si>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</si>
  <si>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</si>
  <si>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</si>
  <si>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</si>
  <si>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</si>
  <si>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</si>
  <si>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</si>
  <si>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Prisudvikling</t>
  </si>
  <si>
    <t>Fane 12</t>
  </si>
  <si>
    <t>Fane 2.2</t>
  </si>
  <si>
    <t>Økonomisk ramme for 2019</t>
  </si>
  <si>
    <t>Beskrivelse af tillæg</t>
  </si>
  <si>
    <t>Beskrivelse af bortfald eller nedsættelse</t>
  </si>
  <si>
    <t>Prisudvikling i kr.</t>
  </si>
  <si>
    <t>år</t>
  </si>
  <si>
    <t>Omkostninger i alt</t>
  </si>
  <si>
    <t>Vejledende</t>
  </si>
  <si>
    <t>Prisudvikling til brug for nye omkostninger i ØR2019</t>
  </si>
  <si>
    <t>Tilknyttet aktivitet under hovedvirksomheden</t>
  </si>
  <si>
    <t>Beskrivelse af tilknyttet aktivitet</t>
  </si>
  <si>
    <t>Tilknyttet aktivitet under hovedvirksomheden i alt (2018-prisniveau)</t>
  </si>
  <si>
    <t>Videreførte omkostninger fra den økonomiske ramme for 2019</t>
  </si>
  <si>
    <t>Økonomisk ramme for 2020</t>
  </si>
  <si>
    <t>Videreførte omkostninger fra den økonomiske ramme for 2020</t>
  </si>
  <si>
    <t>Videreførte omkostninger fra den økonomiske ramme for 2021</t>
  </si>
  <si>
    <t>Generelt effektiviseringskrav - Drift</t>
  </si>
  <si>
    <t>Generelt effektiviseringskrav - Anlæg</t>
  </si>
  <si>
    <t>Bortfald eller nedsættelse af omkostninger - Anlæg</t>
  </si>
  <si>
    <t>Bortfald eller nedsættelse af omkostninger - Drift</t>
  </si>
  <si>
    <t>Tidligere tilknyttet aktivitet - Anlæg</t>
  </si>
  <si>
    <t>Tidligere tilknyttet aktivitet - Drift</t>
  </si>
  <si>
    <t>Økonomisk ramme for 2021</t>
  </si>
  <si>
    <t>Økonomisk ramme for 2022</t>
  </si>
  <si>
    <t>Finansielle omkostninger</t>
  </si>
  <si>
    <t>Anlægsomkostninger</t>
  </si>
  <si>
    <t>Beskrivelse af ikke-påvirkelige omkostninger</t>
  </si>
  <si>
    <t>- Heraf Faktisk eller planlagt genanbringelse af væsentlige indtægter</t>
  </si>
  <si>
    <t>Fane 2.3</t>
  </si>
  <si>
    <t>Samlet økonomisk ramme for 2020</t>
  </si>
  <si>
    <t>Fane 2.4</t>
  </si>
  <si>
    <t>Samlet økonomisk ramme for 2021</t>
  </si>
  <si>
    <t>Anlægsprojekter</t>
  </si>
  <si>
    <t>Tilknyttet aktivitet</t>
  </si>
  <si>
    <t>Bortfald</t>
  </si>
  <si>
    <t>Fane 13</t>
  </si>
  <si>
    <t>Fane 14</t>
  </si>
  <si>
    <t>Nye tillæg i alt i 2018-prisniveau</t>
  </si>
  <si>
    <t>Bortfald eller nedsættelse i alt i 2018-prisniveau</t>
  </si>
  <si>
    <t>Fane 2.1: Samlet økonomisk ramme for 2020</t>
  </si>
  <si>
    <t>Omkostninger i ØR2019</t>
  </si>
  <si>
    <t>Nye tillæg - Drift</t>
  </si>
  <si>
    <t>Nye tillæg - Anlæg</t>
  </si>
  <si>
    <t>Faktiske ikke-påvirkelige omkostninger i 2018</t>
  </si>
  <si>
    <t>Faktiske omkostninger i 2018</t>
  </si>
  <si>
    <t>Ikke-påvirkelige omkostninger i 2018-prisniveau</t>
  </si>
  <si>
    <t>Ikke-påvirkelige omkostninger i 2020-prisniveau</t>
  </si>
  <si>
    <t>Nye tillæg i alt i 2019-prisniveau</t>
  </si>
  <si>
    <t>Bortfald eller nedsættelse i alt i 2019-prisniveau</t>
  </si>
  <si>
    <t>Tilknyttet aktivitet under hovedvirksomheden i alt (2019-prisniveau)</t>
  </si>
  <si>
    <t>Kontrol med overholdelse af den økonomiske ramme for 2018</t>
  </si>
  <si>
    <t>Indtægtsramme i den økonomiske ramme for 2018</t>
  </si>
  <si>
    <t>Faktiske indtægter i 2018</t>
  </si>
  <si>
    <t>Difference (2018-prisniveau)</t>
  </si>
  <si>
    <t>Heraf beløb indregnet i prislofterne/de økonomiske rammer for 2011-2019</t>
  </si>
  <si>
    <t>Beregningen af jeres individuelle effektiviseringskrav fremgår af metodepapir samt bilag til benchmarkingmodellen 2020</t>
  </si>
  <si>
    <t>Videreførte omkostninger fra den økonomiske ramme for 2018</t>
  </si>
  <si>
    <t>Korrektion af den økonomiske ramme for 2018</t>
  </si>
  <si>
    <t>Oversigt over den økonomiske ramme for 2019</t>
  </si>
  <si>
    <t>Fane 2.2: Samlet økonomisk ramme for 2021</t>
  </si>
  <si>
    <t>Driftsomkostninger i grundlaget til de økonomiske rammer for 2017</t>
  </si>
  <si>
    <t>Generelt effektiviseringskrav til driftsomkostningerne i ØR17</t>
  </si>
  <si>
    <t>Base for driftsomkostninger til de økonomiske rammer for 2018</t>
  </si>
  <si>
    <t>Nye driftsomkostninger til de økonomiske rammer for 2018</t>
  </si>
  <si>
    <t>Generelt effektiviseringskrav til driftsomkostningerne i ØR18</t>
  </si>
  <si>
    <t>Base for driftsomkostninger til de økonomiske rammer for 2019</t>
  </si>
  <si>
    <t>Nye driftsomkostninger til de økonomiske rammer for 2019</t>
  </si>
  <si>
    <t>Generelt effektiviseringskrav til driftsomkostningerne i ØR19</t>
  </si>
  <si>
    <t>Base for driftsomkostninger til de økonomiske rammer for 2020</t>
  </si>
  <si>
    <t>Nye driftsomkostninger til de økonomiske rammer for 2020</t>
  </si>
  <si>
    <t>Generelt effektiviseringskrav til driftsomkostningerne i ØR20</t>
  </si>
  <si>
    <t>Generelt effektiviseringskrav til driftsomkostninger i de økonomiske rammer for 2017</t>
  </si>
  <si>
    <t>Generelt effektiviseringskrav til driftsomkostninger i de økonomiske rammer for 2018</t>
  </si>
  <si>
    <t>Generelt effektiviseringskrav til driftsomkostninger i de økonomiske rammer for 2019</t>
  </si>
  <si>
    <t>Generelt effektiviseringskrav til driftsomkostninger i de økonomiske rammer for 2020</t>
  </si>
  <si>
    <t>Generelt effektiviseringskrav til anlægsomkostninger i de økonomiske rammer for 2017</t>
  </si>
  <si>
    <t>Generelt effektiviseringskrav til anlægsomkostningerne i ØR17</t>
  </si>
  <si>
    <t>Generelt effektiviseringskrav til driftsomkostninger i de økonomiske rammer for 2021</t>
  </si>
  <si>
    <t>Base for driftsomkostninger til de økonomiske rammer for 2021</t>
  </si>
  <si>
    <t>Generelt effektiviseringskrav til driftsomkostningerne i ØR21</t>
  </si>
  <si>
    <t>Vejledende generelt effektiviseringskrav til driftsomkostningerne i ØR22</t>
  </si>
  <si>
    <t>Vejledende generelt effektiviseringskrav til driftsomkostningerne i ØR23</t>
  </si>
  <si>
    <t>Anlægssomkostninger i grundlaget til de økonomiske rammer for 2017</t>
  </si>
  <si>
    <t>Generelt effektiviseringskrav til anlægsomkostninger i de økonomiske rammer for 2018</t>
  </si>
  <si>
    <t>Base for anlægsomkostninger til de økonomiske rammer for 2018</t>
  </si>
  <si>
    <t>Nye anlægsomkostninger til de økonomiske rammer for 2018</t>
  </si>
  <si>
    <t>Generelt effektiviseringskrav til anlægsomkostningerne i ØR18</t>
  </si>
  <si>
    <t>Generelt effektiviseringskrav til anlægsomkostninger i de økonomiske rammer for 2019</t>
  </si>
  <si>
    <t>Base for anlægsomkostninger til de økonomiske rammer for 2019</t>
  </si>
  <si>
    <t>Nye anlægsomkostninger til de økonomiske rammer for 2019</t>
  </si>
  <si>
    <t>Generelt effektiviseringskrav til anlægsomkostningerne i ØR19</t>
  </si>
  <si>
    <t>Generelt effektiviseringskrav til anlægsomkostninger i de økonomiske rammer for 2020</t>
  </si>
  <si>
    <t>Base for anlægsomkostninger til de økonomiske rammer for 2020</t>
  </si>
  <si>
    <t>Nye anlægsomkostninger til de økonomiske rammer for 2020</t>
  </si>
  <si>
    <t>Generelt effektiviseringskrav til anlægsomkostningerne i ØR20</t>
  </si>
  <si>
    <t>Generelt effektiviseringskrav til anlægsomkostninger i de økonomiske rammer for 2021</t>
  </si>
  <si>
    <t>Base for anlægsomkostninger til de økonomiske rammer for 2021</t>
  </si>
  <si>
    <t>Generelt effektiviseringskrav til anlægsomkostningerne i ØR21</t>
  </si>
  <si>
    <t>Vejledende generelt effektiviseringskrav til anlægsomkostningerne i ØR22</t>
  </si>
  <si>
    <t>Vejledende generelt effektiviseringskrav til anlægsomkostningerne i ØR23</t>
  </si>
  <si>
    <t>Base for anlægsomkostninger til de vejledende økonomiske rammer for 2023</t>
  </si>
  <si>
    <t>Base for anlægsomkostninger til de vejledende økonomiske rammer for 2022</t>
  </si>
  <si>
    <t>Base for driftsomkostninger til de vejledende økonomiske rammer for 2023</t>
  </si>
  <si>
    <t>Base for driftsomkostninger til de vejledende økonomiske rammer for 2022</t>
  </si>
  <si>
    <t>Generelt effektiviseringskrav til driftsomkostninger i de vejledende økonomiske rammer for 2022</t>
  </si>
  <si>
    <t>Generelt effektiviseringskrav til driftsomkostninger i de vejledende økonomiske rammer for 2023</t>
  </si>
  <si>
    <t>Generelt effektiviseringskrav til anlægsomkostninger i de vejledende økonomiske rammer for 2022</t>
  </si>
  <si>
    <t>Generelt effektiviseringskrav til anlægsomkostninger i de vejledende økonomiske rammer for 2023</t>
  </si>
  <si>
    <t>Individuelt effektiviseringskrav til de økonomiske rammer for 2017</t>
  </si>
  <si>
    <t>Individuelt effektiviseringskrav til de økonomiske rammer for 2018-2019</t>
  </si>
  <si>
    <t>Individuelt effektiviseringskrav til de økonomiske rammer for 2020-2021</t>
  </si>
  <si>
    <t>Samlet korrektion af budgetterede omkostninger i de økonomiske rammer for 2017 og 2018</t>
  </si>
  <si>
    <t>Vejledende økonomisk ramme for 2022</t>
  </si>
  <si>
    <t>Vejledende økonomisk ramme for 2023</t>
  </si>
  <si>
    <t>Over- eller underdækning tillagt senere end 31. december 2010</t>
  </si>
  <si>
    <t>Tillæg/fradrag til den økonomiske ramme for 2020 i alt</t>
  </si>
  <si>
    <t>Nye varige tillæg</t>
  </si>
  <si>
    <t>Engangstillæg - Drift</t>
  </si>
  <si>
    <t>Engangstillæg - Anlæg</t>
  </si>
  <si>
    <t>Fane 7</t>
  </si>
  <si>
    <t>Varige tillæg</t>
  </si>
  <si>
    <t>Engangstillæg</t>
  </si>
  <si>
    <t>Periodevise driftsomkostninger</t>
  </si>
  <si>
    <t>Periodevise driftsomkostninger i alt</t>
  </si>
  <si>
    <t>Engangstillæg i alt</t>
  </si>
  <si>
    <t>Fane 5: Individuelt effektiviseringskrav</t>
  </si>
  <si>
    <t>Bortfald af driftsomkostninger i de økonomiske rammer for 2021</t>
  </si>
  <si>
    <t>Bortfald af driftsomkostninger i de økonomiske rammer for 2022</t>
  </si>
  <si>
    <t>Bortfald af driftsomkostninger i de økonomiske rammer for 2023</t>
  </si>
  <si>
    <t>Bortfald eller nedsættelse i alt i 2020-prisniveau</t>
  </si>
  <si>
    <t>Bortfald eller nedsættelse i alt i 2021-prisniveau</t>
  </si>
  <si>
    <t>Bortfald eller nedsættelse i alt i 2022-prisniveau</t>
  </si>
  <si>
    <t>Bortfald af anlægsomkostninger i de økonomiske rammer for 2021</t>
  </si>
  <si>
    <t>Bortfald af anlægsomkostninger i de økonomiske rammer for 2022</t>
  </si>
  <si>
    <t>Bortfald af anlægsomkostninger i de økonomiske rammer for 2023</t>
  </si>
  <si>
    <t>Økonomisk ramme for 2023</t>
  </si>
  <si>
    <t>Periodevise driftsomkostninger i alt i 2018-prisniveau</t>
  </si>
  <si>
    <t>Periodevise driftsomkostninger til de økonomiske rammer for 2020</t>
  </si>
  <si>
    <t>Periodevise driftsomkostninger til de økonomiske rammer for 2021</t>
  </si>
  <si>
    <t>Periodevise driftsomkostninger til de økonomiske rammer for 2022</t>
  </si>
  <si>
    <t>Periodevise driftsomkostninger til de økonomiske rammer for 2023</t>
  </si>
  <si>
    <t>Periodevise driftsomkostninger i alt i 2020-prisniveau</t>
  </si>
  <si>
    <t>Periodevise driftsomkostninger i alt i 2021-prisniveau</t>
  </si>
  <si>
    <t>Periodevise driftsomkostninger i alt i 2022-prisniveau</t>
  </si>
  <si>
    <t>Periodevise driftsomkostninger i alt i 2023-prisniveau</t>
  </si>
  <si>
    <t>Bortfald eller nedsættelse fra og med de økonomiske rammer for 2022</t>
  </si>
  <si>
    <t>Bortfald eller nedsættelse fra og med de økonomiske rammer for 2020</t>
  </si>
  <si>
    <t>Bortfald eller nedsættelse fra og med de økonomiske rammer for 2021</t>
  </si>
  <si>
    <t>Bortfald eller nedsættelse fra og med de økonomiske rammer for 2023</t>
  </si>
  <si>
    <t>Til økonomisk ramme for 2020 og 2021</t>
  </si>
  <si>
    <t>Andre korrektioner</t>
  </si>
  <si>
    <t>Kontrol med overholdelse af indtægtsrammer</t>
  </si>
  <si>
    <t>Fane 15</t>
  </si>
  <si>
    <t>Kontrol af den økonomiske ramme for 2018</t>
  </si>
  <si>
    <t>Korrektion af periodevise driftsomkostninger i de økonomiske rammer for 2018</t>
  </si>
  <si>
    <t>Korrektion af tidligere godkendte omkostninger til medfinansiering af klimatilpasningsprojekter</t>
  </si>
  <si>
    <t>Til indregning i de økonomiske rammer for 2020-2021</t>
  </si>
  <si>
    <t>Generelt effektiviseringskrav på drift</t>
  </si>
  <si>
    <t>Generelt effektiviseringskrav på anlæg</t>
  </si>
  <si>
    <t>Korrektion af forkert prisfremskrivning af kontrol og korrektioner i de økonomiske rammer for 2019</t>
  </si>
  <si>
    <t>Kontrol med overholdelse af den økonomiske ramme for 2017</t>
  </si>
  <si>
    <t>Indtægtsramme i den økonomiske ramme for 2017</t>
  </si>
  <si>
    <t>Faktiske indtægter i 2017</t>
  </si>
  <si>
    <t>Difference (2017-prisniveau)</t>
  </si>
  <si>
    <t>Engangstillæg til de økonomiske rammer for 2020</t>
  </si>
  <si>
    <t>Engangstillæg til de økonomiske rammer for 2021</t>
  </si>
  <si>
    <t>Engangstillæg til de økonomiske rammer for 2022</t>
  </si>
  <si>
    <t>Engangstillæg til de økonomiske rammer for 2023</t>
  </si>
  <si>
    <t>Engangstillæg i alt i 2018-prisniveau</t>
  </si>
  <si>
    <t>Engangstillæg i alt i 2020-prisniveau</t>
  </si>
  <si>
    <t>Engangstillæg i alt i 2021-prisniveau</t>
  </si>
  <si>
    <t>Korrektioner af den økonomiske ramme for 2018 i alt</t>
  </si>
  <si>
    <t>Generelt effektiviseringskrav</t>
  </si>
  <si>
    <t>Tillæg til tilbagebetaling af vejbidrag</t>
  </si>
  <si>
    <t>Tillæg til den økonomiske ramme for 2020</t>
  </si>
  <si>
    <t>Tillæg til den økonomiske ramme for 2021</t>
  </si>
  <si>
    <t>Tillæg til den økonomiske ramme for 2022</t>
  </si>
  <si>
    <t>Tillæg til den økonomiske ramme for 2023</t>
  </si>
  <si>
    <t>Samlede tillæg til periodevise driftsomkostninger jf. indmeldte oprensningsplan</t>
  </si>
  <si>
    <t>Faktisk periodevis driftsomkostning i 2018</t>
  </si>
  <si>
    <t>Difference (Korrektion)</t>
  </si>
  <si>
    <t>Antal år i næste reguleringsperiode</t>
  </si>
  <si>
    <t>Generelt effektiviseringskrav til anlægsomkostningerne</t>
  </si>
  <si>
    <t>Generelt effektiviseringskrav til driftsomkostningerne</t>
  </si>
  <si>
    <t>Nøgletal</t>
  </si>
  <si>
    <t xml:space="preserve">Note: Denne opgørelse er taget fra jeres statusmeddelelse for den økonomiske ramme for 2019. I kan derfor ikke komme med høringssvar til denne opgørelse. </t>
  </si>
  <si>
    <t>Fradrag for kontrol af den økonomiske ramme for 2018</t>
  </si>
  <si>
    <t>Tidligere godkendt tillæg indregnet i den økonomiske ramme for 2018</t>
  </si>
  <si>
    <t>Faktisk omkostning til medfinansiering af klimatilpasningsprojekter i 2018</t>
  </si>
  <si>
    <t>Fane 4.1</t>
  </si>
  <si>
    <t>Fane 4.2</t>
  </si>
  <si>
    <t>Fane 6</t>
  </si>
  <si>
    <t>Fane 10.1</t>
  </si>
  <si>
    <t>Fane 10.2</t>
  </si>
  <si>
    <t>Fane 11</t>
  </si>
  <si>
    <t>Fane 4.1: Generelt effektiviseringskrav til driftsomkostningerne</t>
  </si>
  <si>
    <t>Fane 4.2: Generelt effektiviseringskrav til anlægsomkostningerne</t>
  </si>
  <si>
    <t>Fane 6: Ikke-påvirkelige omkostninger</t>
  </si>
  <si>
    <t>Fane 14: Historisk over- eller underdækning</t>
  </si>
  <si>
    <t>Fane 13: Bortfald eller nedsættelse af omkostninger til mål, medfinansiering eller udvidelse</t>
  </si>
  <si>
    <t>Fane 12: Tilknyttet aktivitet under hovedvirksomheden</t>
  </si>
  <si>
    <t>Fane 10.2: Engangstillæg</t>
  </si>
  <si>
    <t>Fane 10.1: Varige tillæg</t>
  </si>
  <si>
    <t>Fane 7: Kontrol med overholdelse af den økonomiske ramme for 2018</t>
  </si>
  <si>
    <t>Fane 11: Periodevise driftsomkostninger givet under prisloftsbekendtgørelsen</t>
  </si>
  <si>
    <t>Prisudvikling til brug for ØR2017</t>
  </si>
  <si>
    <t>Prisudvikling til brug for ØR2018-2019</t>
  </si>
  <si>
    <t>Prisudvikling til brug for ØR2020-2021</t>
  </si>
  <si>
    <t>Generelt effektiviseringskrav til brug for anlægsomkostninger i ØR2017</t>
  </si>
  <si>
    <t>Generelt effektiviseringskrav til brug for anlægsomkostninger i ØR2018-2019</t>
  </si>
  <si>
    <t>Generelt effektiviseringskrav til brug for nye anlægsomkostninger i ØR2019</t>
  </si>
  <si>
    <t>Generelt effektiviseringskrav til brug for anlægsomkostninger i ØR2020-2021</t>
  </si>
  <si>
    <t>Generelt effektiviseringskrav til brug for driftsomkostninger</t>
  </si>
  <si>
    <t>Tillæg til medfinansieringsprojekter godkendt under prisloftsbekendtgørelsen</t>
  </si>
  <si>
    <t>Periodevise driftsomkostninger i den økonomiske ramme for 2018</t>
  </si>
  <si>
    <t>Effektiviseringskrav af periodevise driftsomkostninger</t>
  </si>
  <si>
    <t>Periodevise driftsomkostninger i den økonomiske ramme for 2019</t>
  </si>
  <si>
    <t>Periodevise driftsomkostninger i den økonomiske ramme for 2019 i alt</t>
  </si>
  <si>
    <t>Fane 3</t>
  </si>
  <si>
    <t>Periodevise driftsomkostninger i den økonomiske ramme for 2017</t>
  </si>
  <si>
    <t>Fane 3: Videreførte omkostninger fra den økonomiske ramme for 2019</t>
  </si>
  <si>
    <t>Korrektion af driftsomkostninger i grundlaget</t>
  </si>
  <si>
    <t>Korrektion af anlægsomkostninger i grundlaget</t>
  </si>
  <si>
    <t>Fane 2.3: Samlet økonomisk ramme for 2022</t>
  </si>
  <si>
    <t>Fane 2.4: Samlet økonomisk ramme for 2023</t>
  </si>
  <si>
    <t>Fane 15: Nøgletal</t>
  </si>
  <si>
    <t>Korrektion af tidligere rammer</t>
  </si>
  <si>
    <t>Tillæg/fradrag for korrektion af tidligere rammer</t>
  </si>
  <si>
    <t>Fradrag i de økonomiske rammer for 2020-2021 i alt</t>
  </si>
  <si>
    <t>Fane 8: Korrektion af tidligere rammer</t>
  </si>
  <si>
    <t>Fane 9: Anlægsprojekter igangsat senest den 1. marts 2016</t>
  </si>
  <si>
    <t>Anlægsprojekter igangsat senest den 1. marts 2016</t>
  </si>
  <si>
    <t>Anlægsprojekter igangsat senest den 1. marts 2016 i alt</t>
  </si>
  <si>
    <t>Ingen tilknyttet aktivitet</t>
  </si>
  <si>
    <t>Ingen bortfald eller nedsættelse</t>
  </si>
  <si>
    <t>Prisfremskrivning til 2017-prisniveau af korrektion af periodevise driftsomkostninger i de økonomiske rammer for 2019</t>
  </si>
  <si>
    <t>Byggemodninger i 2017 og 2018</t>
  </si>
  <si>
    <t>Ingen engangstillæg</t>
  </si>
  <si>
    <t>Spildevandsafgift</t>
  </si>
  <si>
    <t>Afgift til Forsyningssekretariatet</t>
  </si>
  <si>
    <t>Køb af ydelser og produkter fra andre vandselskaber reguleret af vandsektorloven</t>
  </si>
  <si>
    <t>Ejendomsskatter</t>
  </si>
  <si>
    <t>Erstatninger</t>
  </si>
  <si>
    <t>Ledningsnet ≤ Ø 200 mm</t>
  </si>
  <si>
    <t>Ø 200 mm &lt; Ledningsnet ≤ Ø 500 mm</t>
  </si>
  <si>
    <t>Brønde</t>
  </si>
  <si>
    <t>Ø 500 mm &lt; Ledningsnet ≤ Ø 800 mm</t>
  </si>
  <si>
    <t>Strømpeforing ≤ Ø 200 mm</t>
  </si>
  <si>
    <t>Anlægsprojekter igangsat senest 1. marts 2016</t>
  </si>
  <si>
    <t>Videreførte omkostninger fra den økonomiske ramme for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</si>
</sst>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3" fontId="10" fillId="4" borderId="1" xfId="0" applyNumberFormat="1" applyFont="1" applyFill="1" applyBorder="1" applyProtection="1"/>
    <xf numFmtId="0" fontId="0" fillId="2" borderId="0" xfId="0" applyFill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3" fontId="8" fillId="9" borderId="1" xfId="0" applyNumberFormat="1" applyFont="1" applyFill="1" applyBorder="1" applyAlignment="1" applyProtection="1"/>
    <xf numFmtId="10" fontId="8" fillId="9" borderId="1" xfId="4" applyNumberFormat="1" applyFont="1" applyFill="1" applyBorder="1" applyProtection="1"/>
    <xf numFmtId="165" fontId="8" fillId="9" borderId="1" xfId="1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10" fontId="8" fillId="9" borderId="1" xfId="4" applyNumberFormat="1" applyFont="1" applyFill="1" applyBorder="1" applyAlignment="1" applyProtection="1"/>
    <xf numFmtId="0" fontId="17" fillId="0" borderId="2" xfId="0" applyFont="1" applyFill="1" applyBorder="1" applyAlignment="1" applyProtection="1"/>
    <xf numFmtId="3" fontId="17" fillId="0" borderId="1" xfId="0" applyNumberFormat="1" applyFont="1" applyFill="1" applyBorder="1" applyProtection="1"/>
    <xf numFmtId="0" fontId="17" fillId="0" borderId="1" xfId="0" applyFont="1" applyFill="1" applyBorder="1" applyProtection="1"/>
    <xf numFmtId="0" fontId="8" fillId="9" borderId="2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7" fillId="3" borderId="6" xfId="0" applyFont="1" applyFill="1" applyBorder="1" applyAlignment="1" applyProtection="1"/>
    <xf numFmtId="0" fontId="8" fillId="9" borderId="2" xfId="0" applyFont="1" applyFill="1" applyBorder="1" applyAlignment="1" applyProtection="1">
      <alignment wrapText="1"/>
    </xf>
    <xf numFmtId="3" fontId="7" fillId="3" borderId="2" xfId="0" applyNumberFormat="1" applyFont="1" applyFill="1" applyBorder="1" applyAlignment="1" applyProtection="1"/>
    <xf numFmtId="0" fontId="7" fillId="3" borderId="1" xfId="0" applyFont="1" applyFill="1" applyBorder="1" applyAlignment="1" applyProtection="1"/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8" fillId="9" borderId="1" xfId="0" applyFont="1" applyFill="1" applyBorder="1" applyAlignment="1" applyProtection="1"/>
    <xf numFmtId="10" fontId="8" fillId="0" borderId="3" xfId="4" applyNumberFormat="1" applyFont="1" applyFill="1" applyBorder="1" applyAlignment="1" applyProtection="1"/>
    <xf numFmtId="10" fontId="8" fillId="0" borderId="1" xfId="4" applyNumberFormat="1" applyFont="1" applyFill="1" applyBorder="1" applyProtection="1"/>
    <xf numFmtId="3" fontId="8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Protection="1"/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0" fontId="1" fillId="8" borderId="4" xfId="2" applyFont="1" applyFill="1" applyBorder="1" applyAlignment="1" applyProtection="1">
      <alignment horizontal="center"/>
    </xf>
    <xf numFmtId="0" fontId="1" fillId="8" borderId="0" xfId="2" applyFont="1" applyFill="1" applyBorder="1" applyAlignment="1" applyProtection="1">
      <alignment horizontal="center"/>
    </xf>
    <xf numFmtId="0" fontId="1" fillId="8" borderId="5" xfId="2" applyFont="1" applyFill="1" applyBorder="1" applyAlignment="1" applyProtection="1">
      <alignment horizontal="center"/>
    </xf>
    <xf numFmtId="0" fontId="1" fillId="10" borderId="4" xfId="2" applyFont="1" applyFill="1" applyBorder="1" applyAlignment="1" applyProtection="1">
      <alignment horizontal="center"/>
    </xf>
    <xf numFmtId="0" fontId="1" fillId="10" borderId="0" xfId="2" applyFont="1" applyFill="1" applyBorder="1" applyAlignment="1" applyProtection="1">
      <alignment horizontal="center"/>
    </xf>
    <xf numFmtId="0" fontId="1" fillId="10" borderId="5" xfId="2" applyFont="1" applyFill="1" applyBorder="1" applyAlignment="1" applyProtection="1">
      <alignment horizontal="center"/>
    </xf>
    <xf numFmtId="0" fontId="1" fillId="5" borderId="4" xfId="2" applyFont="1" applyFill="1" applyBorder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1" fillId="5" borderId="5" xfId="2" applyFont="1" applyFill="1" applyBorder="1" applyAlignment="1" applyProtection="1">
      <alignment horizontal="center"/>
    </xf>
    <xf numFmtId="0" fontId="13" fillId="7" borderId="4" xfId="2" applyFont="1" applyFill="1" applyBorder="1" applyAlignment="1" applyProtection="1">
      <alignment horizontal="center"/>
    </xf>
    <xf numFmtId="0" fontId="13" fillId="7" borderId="0" xfId="2" applyFont="1" applyFill="1" applyBorder="1" applyAlignment="1" applyProtection="1">
      <alignment horizontal="center"/>
    </xf>
    <xf numFmtId="0" fontId="13" fillId="7" borderId="5" xfId="2" applyFont="1" applyFill="1" applyBorder="1" applyAlignment="1" applyProtection="1">
      <alignment horizontal="center"/>
    </xf>
    <xf numFmtId="0" fontId="1" fillId="3" borderId="4" xfId="2" applyFont="1" applyFill="1" applyBorder="1" applyAlignment="1" applyProtection="1">
      <alignment horizontal="center"/>
    </xf>
    <xf numFmtId="0" fontId="1" fillId="3" borderId="0" xfId="2" applyFont="1" applyFill="1" applyBorder="1" applyAlignment="1" applyProtection="1">
      <alignment horizontal="center"/>
    </xf>
    <xf numFmtId="0" fontId="1" fillId="3" borderId="5" xfId="2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13" fillId="6" borderId="4" xfId="2" applyFont="1" applyFill="1" applyBorder="1" applyAlignment="1" applyProtection="1">
      <alignment horizontal="center"/>
    </xf>
    <xf numFmtId="0" fontId="13" fillId="6" borderId="0" xfId="2" applyFont="1" applyFill="1" applyBorder="1" applyAlignment="1" applyProtection="1">
      <alignment horizontal="center"/>
    </xf>
    <xf numFmtId="0" fontId="13" fillId="6" borderId="5" xfId="2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8" fillId="9" borderId="2" xfId="0" applyFont="1" applyFill="1" applyBorder="1" applyAlignment="1" applyProtection="1">
      <alignment horizontal="left" wrapText="1"/>
    </xf>
    <xf numFmtId="0" fontId="8" fillId="9" borderId="6" xfId="0" applyFont="1" applyFill="1" applyBorder="1" applyAlignment="1" applyProtection="1">
      <alignment horizontal="left" wrapText="1"/>
    </xf>
    <xf numFmtId="0" fontId="8" fillId="9" borderId="3" xfId="0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6" xfId="0" quotePrefix="1" applyFont="1" applyFill="1" applyBorder="1" applyAlignment="1" applyProtection="1">
      <alignment horizontal="left" wrapText="1"/>
    </xf>
    <xf numFmtId="0" fontId="8" fillId="9" borderId="3" xfId="0" quotePrefix="1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>
      <alignment horizontal="left"/>
    </xf>
    <xf numFmtId="0" fontId="8" fillId="9" borderId="6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/>
    <xf numFmtId="0" fontId="8" fillId="9" borderId="6" xfId="0" applyFont="1" applyFill="1" applyBorder="1" applyAlignment="1" applyProtection="1"/>
    <xf numFmtId="0" fontId="8" fillId="9" borderId="3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 wrapText="1"/>
    </xf>
    <xf numFmtId="0" fontId="8" fillId="9" borderId="2" xfId="0" quotePrefix="1" applyFont="1" applyFill="1" applyBorder="1" applyAlignment="1" applyProtection="1">
      <alignment horizontal="left"/>
    </xf>
    <xf numFmtId="0" fontId="8" fillId="9" borderId="6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49" fontId="8" fillId="9" borderId="6" xfId="0" applyNumberFormat="1" applyFont="1" applyFill="1" applyBorder="1" applyAlignment="1" applyProtection="1">
      <alignment horizontal="left" wrapText="1"/>
    </xf>
    <xf numFmtId="49" fontId="8" fillId="9" borderId="3" xfId="0" applyNumberFormat="1" applyFont="1" applyFill="1" applyBorder="1" applyAlignment="1" applyProtection="1">
      <alignment horizontal="left" wrapText="1"/>
    </xf>
    <xf numFmtId="0" fontId="10" fillId="4" borderId="2" xfId="0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</cellXfs>
  <cellStyles count="5">
    <cellStyle name="Komma" xfId="1" builtinId="3"/>
    <cellStyle name="Link" xfId="2" builtinId="8"/>
    <cellStyle name="Normal" xfId="0" builtinId="0"/>
    <cellStyle name="Normal 12" xfId="3"/>
    <cellStyle name="Procent" xfId="4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8"/>
  <sheetViews>
    <sheetView showGridLines="0" tabSelected="1" view="pageLayout" zoomScaleNormal="100" workbookViewId="0"/>
  </sheetViews>
  <sheetFormatPr defaultColWidth="9.140625" defaultRowHeight="15" x14ac:dyDescent="0.25"/>
  <cols>
    <col min="1" max="1" width="9.140625" style="2"/>
    <col min="2" max="2" width="5.8554687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2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72" t="s">
        <v>4</v>
      </c>
      <c r="E6" s="72"/>
      <c r="F6" s="72"/>
      <c r="G6" s="72"/>
      <c r="H6" s="3"/>
      <c r="I6" s="1"/>
    </row>
    <row r="7" spans="1:9" ht="15" customHeight="1" x14ac:dyDescent="0.25">
      <c r="A7" s="1"/>
      <c r="B7" s="1"/>
      <c r="C7" s="3"/>
      <c r="D7" s="72"/>
      <c r="E7" s="72"/>
      <c r="F7" s="72"/>
      <c r="G7" s="72"/>
      <c r="H7" s="3"/>
      <c r="I7" s="1"/>
    </row>
    <row r="8" spans="1:9" ht="15.75" x14ac:dyDescent="0.25">
      <c r="A8" s="1"/>
      <c r="B8" s="1"/>
      <c r="C8" s="4"/>
      <c r="D8" s="77" t="s">
        <v>172</v>
      </c>
      <c r="E8" s="77"/>
      <c r="F8" s="77"/>
      <c r="G8" s="77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76" t="s">
        <v>5</v>
      </c>
      <c r="E11" s="76"/>
      <c r="F11" s="76"/>
      <c r="G11" s="76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69" t="s">
        <v>52</v>
      </c>
      <c r="E13" s="70"/>
      <c r="F13" s="70"/>
      <c r="G13" s="71"/>
      <c r="H13" s="1"/>
      <c r="I13" s="1"/>
    </row>
    <row r="14" spans="1:9" x14ac:dyDescent="0.25">
      <c r="A14" s="1"/>
      <c r="B14" s="1"/>
      <c r="C14" s="6" t="s">
        <v>23</v>
      </c>
      <c r="D14" s="69" t="s">
        <v>54</v>
      </c>
      <c r="E14" s="70"/>
      <c r="F14" s="70"/>
      <c r="G14" s="71"/>
      <c r="H14" s="1"/>
      <c r="I14" s="1"/>
    </row>
    <row r="15" spans="1:9" x14ac:dyDescent="0.25">
      <c r="A15" s="1"/>
      <c r="B15" s="1"/>
      <c r="C15" s="6" t="s">
        <v>51</v>
      </c>
      <c r="D15" s="69" t="s">
        <v>135</v>
      </c>
      <c r="E15" s="70"/>
      <c r="F15" s="70"/>
      <c r="G15" s="71"/>
      <c r="H15" s="1"/>
      <c r="I15" s="1"/>
    </row>
    <row r="16" spans="1:9" x14ac:dyDescent="0.25">
      <c r="A16" s="1"/>
      <c r="B16" s="1"/>
      <c r="C16" s="6" t="s">
        <v>53</v>
      </c>
      <c r="D16" s="69" t="s">
        <v>136</v>
      </c>
      <c r="E16" s="70"/>
      <c r="F16" s="70"/>
      <c r="G16" s="71"/>
      <c r="H16" s="1"/>
      <c r="I16" s="1"/>
    </row>
    <row r="17" spans="1:9" x14ac:dyDescent="0.25">
      <c r="A17" s="1"/>
      <c r="B17" s="1"/>
      <c r="C17" s="6" t="s">
        <v>241</v>
      </c>
      <c r="D17" s="69" t="s">
        <v>63</v>
      </c>
      <c r="E17" s="70"/>
      <c r="F17" s="70"/>
      <c r="G17" s="71"/>
      <c r="H17" s="1"/>
      <c r="I17" s="1"/>
    </row>
    <row r="18" spans="1:9" x14ac:dyDescent="0.25">
      <c r="A18" s="1"/>
      <c r="B18" s="1"/>
      <c r="C18" s="6" t="s">
        <v>212</v>
      </c>
      <c r="D18" s="63" t="s">
        <v>180</v>
      </c>
      <c r="E18" s="64"/>
      <c r="F18" s="64"/>
      <c r="G18" s="65"/>
      <c r="H18" s="1"/>
      <c r="I18" s="1"/>
    </row>
    <row r="19" spans="1:9" x14ac:dyDescent="0.25">
      <c r="A19" s="1"/>
      <c r="B19" s="1"/>
      <c r="C19" s="6" t="s">
        <v>213</v>
      </c>
      <c r="D19" s="63" t="s">
        <v>181</v>
      </c>
      <c r="E19" s="64"/>
      <c r="F19" s="64"/>
      <c r="G19" s="65"/>
      <c r="H19" s="1"/>
      <c r="I19" s="1"/>
    </row>
    <row r="20" spans="1:9" x14ac:dyDescent="0.25">
      <c r="A20" s="1"/>
      <c r="B20" s="1"/>
      <c r="C20" s="6" t="s">
        <v>7</v>
      </c>
      <c r="D20" s="63" t="s">
        <v>10</v>
      </c>
      <c r="E20" s="64"/>
      <c r="F20" s="64"/>
      <c r="G20" s="65"/>
      <c r="H20" s="1"/>
      <c r="I20" s="1"/>
    </row>
    <row r="21" spans="1:9" x14ac:dyDescent="0.25">
      <c r="A21" s="1"/>
      <c r="B21" s="1"/>
      <c r="C21" s="6" t="s">
        <v>214</v>
      </c>
      <c r="D21" s="73" t="s">
        <v>17</v>
      </c>
      <c r="E21" s="74"/>
      <c r="F21" s="74"/>
      <c r="G21" s="75"/>
      <c r="H21" s="1"/>
      <c r="I21" s="1"/>
    </row>
    <row r="22" spans="1:9" x14ac:dyDescent="0.25">
      <c r="A22" s="1"/>
      <c r="B22" s="1"/>
      <c r="C22" s="6" t="s">
        <v>142</v>
      </c>
      <c r="D22" s="57" t="s">
        <v>176</v>
      </c>
      <c r="E22" s="58"/>
      <c r="F22" s="58"/>
      <c r="G22" s="59"/>
      <c r="H22" s="1"/>
      <c r="I22" s="1"/>
    </row>
    <row r="23" spans="1:9" x14ac:dyDescent="0.25">
      <c r="A23" s="1"/>
      <c r="B23" s="1"/>
      <c r="C23" s="6" t="s">
        <v>8</v>
      </c>
      <c r="D23" s="57" t="s">
        <v>249</v>
      </c>
      <c r="E23" s="58"/>
      <c r="F23" s="58"/>
      <c r="G23" s="59"/>
      <c r="H23" s="1"/>
      <c r="I23" s="1"/>
    </row>
    <row r="24" spans="1:9" x14ac:dyDescent="0.25">
      <c r="A24" s="1"/>
      <c r="B24" s="1"/>
      <c r="C24" s="6" t="s">
        <v>9</v>
      </c>
      <c r="D24" s="57" t="s">
        <v>55</v>
      </c>
      <c r="E24" s="58"/>
      <c r="F24" s="58"/>
      <c r="G24" s="59"/>
      <c r="H24" s="1"/>
      <c r="I24" s="1"/>
    </row>
    <row r="25" spans="1:9" x14ac:dyDescent="0.25">
      <c r="A25" s="1"/>
      <c r="B25" s="1"/>
      <c r="C25" s="6" t="s">
        <v>215</v>
      </c>
      <c r="D25" s="57" t="s">
        <v>143</v>
      </c>
      <c r="E25" s="58"/>
      <c r="F25" s="58"/>
      <c r="G25" s="59"/>
      <c r="H25" s="1"/>
      <c r="I25" s="1"/>
    </row>
    <row r="26" spans="1:9" x14ac:dyDescent="0.25">
      <c r="A26" s="1"/>
      <c r="B26" s="1"/>
      <c r="C26" s="6" t="s">
        <v>216</v>
      </c>
      <c r="D26" s="57" t="s">
        <v>144</v>
      </c>
      <c r="E26" s="58"/>
      <c r="F26" s="58"/>
      <c r="G26" s="59"/>
      <c r="H26" s="1"/>
      <c r="I26" s="1"/>
    </row>
    <row r="27" spans="1:9" x14ac:dyDescent="0.25">
      <c r="A27" s="1"/>
      <c r="B27" s="1"/>
      <c r="C27" s="6" t="s">
        <v>217</v>
      </c>
      <c r="D27" s="57" t="s">
        <v>145</v>
      </c>
      <c r="E27" s="58"/>
      <c r="F27" s="58"/>
      <c r="G27" s="59"/>
      <c r="H27" s="1"/>
      <c r="I27" s="1"/>
    </row>
    <row r="28" spans="1:9" x14ac:dyDescent="0.25">
      <c r="A28" s="1"/>
      <c r="B28" s="1"/>
      <c r="C28" s="6" t="s">
        <v>22</v>
      </c>
      <c r="D28" s="57" t="s">
        <v>56</v>
      </c>
      <c r="E28" s="58"/>
      <c r="F28" s="58"/>
      <c r="G28" s="59"/>
      <c r="H28" s="1"/>
      <c r="I28" s="1"/>
    </row>
    <row r="29" spans="1:9" x14ac:dyDescent="0.25">
      <c r="A29" s="1"/>
      <c r="B29" s="1"/>
      <c r="C29" s="6" t="s">
        <v>58</v>
      </c>
      <c r="D29" s="57" t="s">
        <v>57</v>
      </c>
      <c r="E29" s="58"/>
      <c r="F29" s="58"/>
      <c r="G29" s="59"/>
      <c r="H29" s="1"/>
      <c r="I29" s="1"/>
    </row>
    <row r="30" spans="1:9" x14ac:dyDescent="0.25">
      <c r="A30" s="1"/>
      <c r="B30" s="1"/>
      <c r="C30" s="6" t="s">
        <v>59</v>
      </c>
      <c r="D30" s="66" t="s">
        <v>11</v>
      </c>
      <c r="E30" s="67"/>
      <c r="F30" s="67"/>
      <c r="G30" s="68"/>
      <c r="H30" s="1"/>
      <c r="I30" s="1"/>
    </row>
    <row r="31" spans="1:9" x14ac:dyDescent="0.25">
      <c r="A31" s="1"/>
      <c r="B31" s="1"/>
      <c r="C31" s="6" t="s">
        <v>175</v>
      </c>
      <c r="D31" s="60" t="s">
        <v>207</v>
      </c>
      <c r="E31" s="61"/>
      <c r="F31" s="61"/>
      <c r="G31" s="62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algorithmName="SHA-512" hashValue="hi/pYVq80lpyKdhS/ZgllKpI+GUc1tEZqZbgV4x4YeM/3eHWI5DObwQ5DmryRrBN3ClT6T9TaxPQMIc/g5oqeg==" saltValue="Aosk9SHcPVGYOJdIgKJk2Q==" spinCount="100000" sheet="1" objects="1" scenarios="1"/>
  <mergeCells count="22">
    <mergeCell ref="D14:G14"/>
    <mergeCell ref="D6:G7"/>
    <mergeCell ref="D21:G21"/>
    <mergeCell ref="D22:G22"/>
    <mergeCell ref="D11:G11"/>
    <mergeCell ref="D8:G8"/>
    <mergeCell ref="D15:G15"/>
    <mergeCell ref="D16:G16"/>
    <mergeCell ref="D19:G19"/>
    <mergeCell ref="D13:G13"/>
    <mergeCell ref="D17:G17"/>
    <mergeCell ref="D20:G20"/>
    <mergeCell ref="D29:G29"/>
    <mergeCell ref="D31:G31"/>
    <mergeCell ref="D18:G18"/>
    <mergeCell ref="D24:G24"/>
    <mergeCell ref="D25:G25"/>
    <mergeCell ref="D28:G28"/>
    <mergeCell ref="D26:G26"/>
    <mergeCell ref="D27:G27"/>
    <mergeCell ref="D23:G23"/>
    <mergeCell ref="D30:G30"/>
  </mergeCells>
  <hyperlinks>
    <hyperlink ref="D14:G14" location="'Fane 2.2. Økonomisk ramme 2021'!A1" display="Samlet økonomisk ramme for 2021"/>
    <hyperlink ref="D25:G25" location="'Fane 10.1. Varige tillæg'!A1" display="Varige tillæg"/>
    <hyperlink ref="D28:G28" location="'Fane 12. Tilknyttet aktivitet'!A1" display="Tilknyttet aktivitet"/>
    <hyperlink ref="D29:G29" location="'Fane 13. Bortfald'!A1" display="Bortfald"/>
    <hyperlink ref="D13:G13" location="'Fane 2.1. Økonomisk ramme 2020'!A1" display="Samlet økonomisk ramme for 2020"/>
    <hyperlink ref="D16:G16" location="'Fane 2.4. Økonomisk ramme 2023'!A1" display="Samlet økonomisk ramme for 2023"/>
    <hyperlink ref="D15:G15" location="'Fane 2.3. Økonomisk ramme 2022'!A1" display="Samlet økonomisk ramme for 2022"/>
    <hyperlink ref="D22:G22" location="'Fane 7. Kontrol af ØR2018'!A1" display="Kontrol af den økonomiske ramme for 2018"/>
    <hyperlink ref="D24:G24" location="'Fane 9. Anlægsprojekter'!A1" display="Anlægsprojekter"/>
    <hyperlink ref="D31:G31" location="'Fane 15. Nøgletal'!A1" display="Nøgletal"/>
    <hyperlink ref="D17:G17" location="'Fane 3. Omkostninger i ØR2019'!A1" display="Omkostninger i ØR2019"/>
    <hyperlink ref="D26:G26" location="'Fane 10.2. Engangstillæg'!A1" display="Engangstillæg"/>
    <hyperlink ref="D27:G27" location="'Fane 11. Periodevise driftsomk.'!A1" display="Periodevise driftsomkostninger"/>
    <hyperlink ref="D30:G30" location="'Fane 14. Hist. over-underdæk.'!A1" display="Historisk over- eller underdækning"/>
    <hyperlink ref="D21:G21" location="'Fane 6. Ikke-påvirkelige omk.'!A1" display="Ikke-påvirkelige omkostninger"/>
    <hyperlink ref="D18:G18" location="'Fane 4.1. Gen. krav - drift'!A1" display="Generelt effektiviseringskrav på drift"/>
    <hyperlink ref="D20:G20" location="'Fane 5. Individuelt eff. krav'!A1" display="Individuelt effektiviseringskrav"/>
    <hyperlink ref="D19:G19" location="'Fane 4.2. Gen. krav - anlæg'!A1" display="Generelt effektiviseringskrav på anlæg"/>
    <hyperlink ref="D23" location="'Fane 8. Korrektioner'!A1" display="Korrektion af tidligere rammer"/>
  </hyperlinks>
  <pageMargins left="0.71875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F51"/>
  <sheetViews>
    <sheetView showGridLines="0" view="pageLayout" zoomScaleNormal="100" workbookViewId="0"/>
  </sheetViews>
  <sheetFormatPr defaultColWidth="9.140625" defaultRowHeight="15" x14ac:dyDescent="0.25"/>
  <cols>
    <col min="1" max="1" width="8.140625" style="2" customWidth="1"/>
    <col min="2" max="2" width="38" style="2" customWidth="1"/>
    <col min="3" max="3" width="24.85546875" style="2" customWidth="1"/>
    <col min="4" max="4" width="3.28515625" style="2" customWidth="1"/>
    <col min="5" max="5" width="7.85546875" style="2" customWidth="1"/>
    <col min="6" max="6" width="4" style="2" customWidth="1"/>
    <col min="7" max="16384" width="9.1406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78" t="s">
        <v>220</v>
      </c>
      <c r="C3" s="78"/>
      <c r="D3" s="78"/>
      <c r="E3" s="1"/>
      <c r="F3" s="1"/>
    </row>
    <row r="4" spans="1:6" ht="15" customHeight="1" x14ac:dyDescent="0.25">
      <c r="A4" s="1"/>
      <c r="B4" s="78"/>
      <c r="C4" s="78"/>
      <c r="D4" s="78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83" t="s">
        <v>66</v>
      </c>
      <c r="C8" s="84"/>
      <c r="D8" s="85"/>
      <c r="E8" s="1"/>
      <c r="F8" s="1"/>
    </row>
    <row r="9" spans="1:6" ht="15" customHeight="1" x14ac:dyDescent="0.25">
      <c r="A9" s="1"/>
      <c r="B9" s="33" t="s">
        <v>49</v>
      </c>
      <c r="C9" s="11" t="s">
        <v>67</v>
      </c>
      <c r="D9" s="11"/>
      <c r="E9" s="1"/>
      <c r="F9" s="1"/>
    </row>
    <row r="10" spans="1:6" x14ac:dyDescent="0.25">
      <c r="A10" s="1"/>
      <c r="B10" s="54" t="s">
        <v>261</v>
      </c>
      <c r="C10" s="9">
        <v>1023778</v>
      </c>
      <c r="D10" s="14" t="s">
        <v>3</v>
      </c>
      <c r="E10" s="1"/>
      <c r="F10" s="1"/>
    </row>
    <row r="11" spans="1:6" x14ac:dyDescent="0.25">
      <c r="A11" s="1"/>
      <c r="B11" s="54" t="s">
        <v>262</v>
      </c>
      <c r="C11" s="9">
        <v>45432</v>
      </c>
      <c r="D11" s="14" t="s">
        <v>3</v>
      </c>
      <c r="E11" s="1"/>
      <c r="F11" s="1"/>
    </row>
    <row r="12" spans="1:6" ht="26.25" x14ac:dyDescent="0.25">
      <c r="A12" s="1"/>
      <c r="B12" s="35" t="s">
        <v>263</v>
      </c>
      <c r="C12" s="9">
        <v>214224</v>
      </c>
      <c r="D12" s="14" t="s">
        <v>3</v>
      </c>
      <c r="E12" s="1"/>
      <c r="F12" s="1"/>
    </row>
    <row r="13" spans="1:6" x14ac:dyDescent="0.25">
      <c r="A13" s="1"/>
      <c r="B13" s="54" t="s">
        <v>264</v>
      </c>
      <c r="C13" s="9">
        <v>93571.18</v>
      </c>
      <c r="D13" s="14" t="s">
        <v>3</v>
      </c>
      <c r="E13" s="1"/>
      <c r="F13" s="1"/>
    </row>
    <row r="14" spans="1:6" x14ac:dyDescent="0.25">
      <c r="A14" s="1"/>
      <c r="B14" s="54" t="s">
        <v>265</v>
      </c>
      <c r="C14" s="9">
        <v>13965.44</v>
      </c>
      <c r="D14" s="14" t="s">
        <v>3</v>
      </c>
      <c r="E14" s="1"/>
      <c r="F14" s="1"/>
    </row>
    <row r="15" spans="1:6" x14ac:dyDescent="0.25">
      <c r="A15" s="1"/>
      <c r="B15" s="40" t="s">
        <v>68</v>
      </c>
      <c r="C15" s="12">
        <f>SUM(C10:C14)</f>
        <v>1390970.6199999999</v>
      </c>
      <c r="D15" s="13" t="s">
        <v>3</v>
      </c>
      <c r="E15" s="1"/>
      <c r="F15" s="1"/>
    </row>
    <row r="16" spans="1:6" x14ac:dyDescent="0.25">
      <c r="A16" s="1"/>
      <c r="B16" s="40" t="s">
        <v>69</v>
      </c>
      <c r="C16" s="12">
        <f>C15*(1+'Fane 15. Nøgletal'!C12)^2</f>
        <v>1446314.6842159159</v>
      </c>
      <c r="D16" s="13" t="s">
        <v>3</v>
      </c>
      <c r="E16" s="1"/>
      <c r="F16" s="1"/>
    </row>
    <row r="17" spans="1:6" x14ac:dyDescent="0.25">
      <c r="A17" s="1"/>
      <c r="B17" s="16"/>
      <c r="C17" s="15"/>
      <c r="D17" s="15"/>
      <c r="E17" s="1"/>
      <c r="F17" s="1"/>
    </row>
    <row r="18" spans="1:6" x14ac:dyDescent="0.25">
      <c r="A18" s="1"/>
      <c r="B18" s="16"/>
      <c r="C18" s="15"/>
      <c r="D18" s="15"/>
      <c r="E18" s="1"/>
      <c r="F18" s="1"/>
    </row>
    <row r="19" spans="1:6" x14ac:dyDescent="0.25">
      <c r="A19" s="1"/>
      <c r="B19" s="83" t="s">
        <v>236</v>
      </c>
      <c r="C19" s="84"/>
      <c r="D19" s="85"/>
      <c r="E19" s="1"/>
      <c r="F19" s="1"/>
    </row>
    <row r="20" spans="1:6" x14ac:dyDescent="0.25">
      <c r="A20" s="1"/>
      <c r="B20" s="54" t="s">
        <v>197</v>
      </c>
      <c r="C20" s="9">
        <v>407366</v>
      </c>
      <c r="D20" s="14" t="s">
        <v>3</v>
      </c>
      <c r="E20" s="1"/>
      <c r="F20" s="1"/>
    </row>
    <row r="21" spans="1:6" x14ac:dyDescent="0.25">
      <c r="A21" s="1"/>
      <c r="B21" s="54" t="s">
        <v>198</v>
      </c>
      <c r="C21" s="9">
        <v>407366</v>
      </c>
      <c r="D21" s="14" t="s">
        <v>3</v>
      </c>
      <c r="E21" s="1"/>
      <c r="F21" s="1"/>
    </row>
    <row r="22" spans="1:6" x14ac:dyDescent="0.25">
      <c r="A22" s="1"/>
      <c r="B22" s="54" t="s">
        <v>199</v>
      </c>
      <c r="C22" s="9">
        <v>407366</v>
      </c>
      <c r="D22" s="14" t="s">
        <v>3</v>
      </c>
      <c r="E22" s="1"/>
      <c r="F22" s="1"/>
    </row>
    <row r="23" spans="1:6" x14ac:dyDescent="0.25">
      <c r="A23" s="1"/>
      <c r="B23" s="54" t="s">
        <v>200</v>
      </c>
      <c r="C23" s="9">
        <v>407366</v>
      </c>
      <c r="D23" s="14" t="s">
        <v>3</v>
      </c>
      <c r="E23" s="1"/>
      <c r="F23" s="1"/>
    </row>
    <row r="24" spans="1:6" x14ac:dyDescent="0.25">
      <c r="A24" s="1"/>
      <c r="B24" s="83"/>
      <c r="C24" s="84"/>
      <c r="D24" s="85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83" t="s">
        <v>196</v>
      </c>
      <c r="C27" s="84"/>
      <c r="D27" s="85"/>
      <c r="E27" s="1"/>
      <c r="F27" s="1"/>
    </row>
    <row r="28" spans="1:6" x14ac:dyDescent="0.25">
      <c r="A28" s="1"/>
      <c r="B28" s="54" t="s">
        <v>197</v>
      </c>
      <c r="C28" s="9">
        <v>1109313</v>
      </c>
      <c r="D28" s="14" t="s">
        <v>3</v>
      </c>
      <c r="E28" s="1"/>
      <c r="F28" s="1"/>
    </row>
    <row r="29" spans="1:6" x14ac:dyDescent="0.25">
      <c r="A29" s="1"/>
      <c r="B29" s="54" t="s">
        <v>198</v>
      </c>
      <c r="C29" s="9">
        <v>1109313</v>
      </c>
      <c r="D29" s="14" t="s">
        <v>3</v>
      </c>
      <c r="E29" s="1"/>
      <c r="F29" s="1"/>
    </row>
    <row r="30" spans="1:6" x14ac:dyDescent="0.25">
      <c r="A30" s="1"/>
      <c r="B30" s="54" t="s">
        <v>199</v>
      </c>
      <c r="C30" s="9">
        <v>0</v>
      </c>
      <c r="D30" s="14" t="s">
        <v>3</v>
      </c>
      <c r="E30" s="1"/>
      <c r="F30" s="1"/>
    </row>
    <row r="31" spans="1:6" x14ac:dyDescent="0.25">
      <c r="A31" s="1"/>
      <c r="B31" s="54" t="s">
        <v>200</v>
      </c>
      <c r="C31" s="9">
        <v>0</v>
      </c>
      <c r="D31" s="14" t="s">
        <v>3</v>
      </c>
      <c r="E31" s="1"/>
      <c r="F31" s="1"/>
    </row>
    <row r="32" spans="1:6" x14ac:dyDescent="0.25">
      <c r="A32" s="1"/>
      <c r="B32" s="83"/>
      <c r="C32" s="84"/>
      <c r="D32" s="85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</sheetData>
  <sheetProtection algorithmName="SHA-512" hashValue="aGW5GT2TEfljFag5S32ITnsPs0HqfbWVK/qzKhgc0sqOdY6B5y4E956LM1PeHsfcRW5hGMPoH7CetDqBW+bwiw==" saltValue="UbLGRisAnidK7L2wmY+8Kg==" spinCount="100000" sheet="1" objects="1" scenarios="1"/>
  <mergeCells count="6">
    <mergeCell ref="B32:D32"/>
    <mergeCell ref="B3:D4"/>
    <mergeCell ref="B8:D8"/>
    <mergeCell ref="B19:D19"/>
    <mergeCell ref="B27:D27"/>
    <mergeCell ref="B24:D24"/>
  </mergeCells>
  <pageMargins left="0.75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8554687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92" t="s">
        <v>226</v>
      </c>
      <c r="C3" s="92"/>
      <c r="D3" s="92"/>
      <c r="E3" s="92"/>
      <c r="F3" s="92"/>
      <c r="G3" s="1"/>
    </row>
    <row r="4" spans="1:7" ht="15" customHeight="1" x14ac:dyDescent="0.25">
      <c r="A4" s="1"/>
      <c r="B4" s="92"/>
      <c r="C4" s="92"/>
      <c r="D4" s="92"/>
      <c r="E4" s="92"/>
      <c r="F4" s="92"/>
      <c r="G4" s="1"/>
    </row>
    <row r="5" spans="1:7" ht="15" customHeight="1" x14ac:dyDescent="0.25">
      <c r="A5" s="1"/>
      <c r="B5" s="47"/>
      <c r="C5" s="47"/>
      <c r="D5" s="47"/>
      <c r="E5" s="47"/>
      <c r="F5" s="47"/>
      <c r="G5" s="1"/>
    </row>
    <row r="6" spans="1:7" ht="15" customHeight="1" x14ac:dyDescent="0.25">
      <c r="A6" s="1"/>
      <c r="B6" s="47"/>
      <c r="C6" s="47"/>
      <c r="D6" s="47"/>
      <c r="E6" s="47"/>
      <c r="F6" s="47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3" t="s">
        <v>183</v>
      </c>
      <c r="C8" s="84"/>
      <c r="D8" s="84"/>
      <c r="E8" s="84"/>
      <c r="F8" s="85"/>
      <c r="G8" s="1"/>
    </row>
    <row r="9" spans="1:7" x14ac:dyDescent="0.25">
      <c r="A9" s="1"/>
      <c r="B9" s="96" t="s">
        <v>184</v>
      </c>
      <c r="C9" s="97"/>
      <c r="D9" s="98"/>
      <c r="E9" s="9">
        <v>79839450.342766389</v>
      </c>
      <c r="F9" s="14" t="s">
        <v>3</v>
      </c>
      <c r="G9" s="1"/>
    </row>
    <row r="10" spans="1:7" x14ac:dyDescent="0.25">
      <c r="A10" s="1"/>
      <c r="B10" s="96" t="s">
        <v>185</v>
      </c>
      <c r="C10" s="97"/>
      <c r="D10" s="98"/>
      <c r="E10" s="9">
        <v>57810918</v>
      </c>
      <c r="F10" s="14" t="s">
        <v>3</v>
      </c>
      <c r="G10" s="1"/>
    </row>
    <row r="11" spans="1:7" x14ac:dyDescent="0.25">
      <c r="A11" s="1"/>
      <c r="B11" s="96" t="s">
        <v>50</v>
      </c>
      <c r="C11" s="97"/>
      <c r="D11" s="98"/>
      <c r="E11" s="9">
        <v>149455</v>
      </c>
      <c r="F11" s="14" t="s">
        <v>3</v>
      </c>
      <c r="G11" s="1"/>
    </row>
    <row r="12" spans="1:7" x14ac:dyDescent="0.25">
      <c r="A12" s="1"/>
      <c r="B12" s="86" t="s">
        <v>186</v>
      </c>
      <c r="C12" s="87"/>
      <c r="D12" s="88"/>
      <c r="E12" s="10">
        <f>E9-(E10-E11)</f>
        <v>22177987.342766389</v>
      </c>
      <c r="F12" s="17" t="s">
        <v>3</v>
      </c>
      <c r="G12" s="1"/>
    </row>
    <row r="13" spans="1:7" x14ac:dyDescent="0.25">
      <c r="A13" s="1"/>
      <c r="B13" s="40"/>
      <c r="C13" s="34"/>
      <c r="D13" s="34"/>
      <c r="E13" s="34"/>
      <c r="F13" s="22"/>
      <c r="G13" s="1"/>
    </row>
    <row r="14" spans="1:7" ht="27" customHeight="1" x14ac:dyDescent="0.25">
      <c r="A14" s="1"/>
      <c r="B14" s="80" t="s">
        <v>208</v>
      </c>
      <c r="C14" s="81"/>
      <c r="D14" s="81"/>
      <c r="E14" s="81"/>
      <c r="F14" s="82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83" t="s">
        <v>73</v>
      </c>
      <c r="C17" s="84"/>
      <c r="D17" s="84"/>
      <c r="E17" s="84"/>
      <c r="F17" s="85"/>
      <c r="G17" s="1"/>
    </row>
    <row r="18" spans="1:7" x14ac:dyDescent="0.25">
      <c r="A18" s="1"/>
      <c r="B18" s="96" t="s">
        <v>74</v>
      </c>
      <c r="C18" s="97"/>
      <c r="D18" s="98"/>
      <c r="E18" s="9">
        <v>77194557.693242073</v>
      </c>
      <c r="F18" s="14" t="s">
        <v>3</v>
      </c>
      <c r="G18" s="1"/>
    </row>
    <row r="19" spans="1:7" x14ac:dyDescent="0.25">
      <c r="A19" s="1"/>
      <c r="B19" s="96" t="s">
        <v>75</v>
      </c>
      <c r="C19" s="97"/>
      <c r="D19" s="98"/>
      <c r="E19" s="9">
        <v>69543834</v>
      </c>
      <c r="F19" s="14" t="s">
        <v>3</v>
      </c>
      <c r="G19" s="1"/>
    </row>
    <row r="20" spans="1:7" x14ac:dyDescent="0.25">
      <c r="A20" s="1"/>
      <c r="B20" s="96" t="s">
        <v>50</v>
      </c>
      <c r="C20" s="97"/>
      <c r="D20" s="98"/>
      <c r="E20" s="9">
        <v>150000</v>
      </c>
      <c r="F20" s="14" t="s">
        <v>3</v>
      </c>
      <c r="G20" s="1"/>
    </row>
    <row r="21" spans="1:7" x14ac:dyDescent="0.25">
      <c r="A21" s="1"/>
      <c r="B21" s="86" t="s">
        <v>76</v>
      </c>
      <c r="C21" s="87"/>
      <c r="D21" s="88"/>
      <c r="E21" s="10">
        <f>E18-(E19-E20)</f>
        <v>7800723.6932420731</v>
      </c>
      <c r="F21" s="17" t="s">
        <v>3</v>
      </c>
      <c r="G21" s="1"/>
    </row>
    <row r="22" spans="1:7" x14ac:dyDescent="0.25">
      <c r="A22" s="1"/>
      <c r="B22" s="40"/>
      <c r="C22" s="34"/>
      <c r="D22" s="34"/>
      <c r="E22" s="34"/>
      <c r="F22" s="22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83" t="s">
        <v>179</v>
      </c>
      <c r="C25" s="84"/>
      <c r="D25" s="84"/>
      <c r="E25" s="84"/>
      <c r="F25" s="85"/>
      <c r="G25" s="1"/>
    </row>
    <row r="26" spans="1:7" x14ac:dyDescent="0.25">
      <c r="A26" s="1"/>
      <c r="B26" s="104" t="s">
        <v>174</v>
      </c>
      <c r="C26" s="105"/>
      <c r="D26" s="106"/>
      <c r="E26" s="9">
        <f>IF(E12+E21&lt;0,E12+E21,0)</f>
        <v>0</v>
      </c>
      <c r="F26" s="14" t="s">
        <v>3</v>
      </c>
      <c r="G26" s="1"/>
    </row>
    <row r="27" spans="1:7" x14ac:dyDescent="0.25">
      <c r="A27" s="1"/>
      <c r="B27" s="104" t="s">
        <v>204</v>
      </c>
      <c r="C27" s="105"/>
      <c r="D27" s="106"/>
      <c r="E27" s="9">
        <v>2</v>
      </c>
      <c r="F27" s="14" t="s">
        <v>28</v>
      </c>
      <c r="G27" s="1"/>
    </row>
    <row r="28" spans="1:7" x14ac:dyDescent="0.25">
      <c r="A28" s="1"/>
      <c r="B28" s="86" t="s">
        <v>251</v>
      </c>
      <c r="C28" s="87"/>
      <c r="D28" s="88"/>
      <c r="E28" s="10">
        <f>E26/E27</f>
        <v>0</v>
      </c>
      <c r="F28" s="17" t="s">
        <v>3</v>
      </c>
      <c r="G28" s="1"/>
    </row>
    <row r="29" spans="1:7" x14ac:dyDescent="0.25">
      <c r="A29" s="1"/>
      <c r="B29" s="107"/>
      <c r="C29" s="108"/>
      <c r="D29" s="108"/>
      <c r="E29" s="108"/>
      <c r="F29" s="109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rDGpJgN8am6N05aTtcVkhujFkgbmcnZR6VogMMAzdLUaBcIonuWehUiQQGQg2aW8EF4wXY7MDt/Kz1FoJTNHKQ==" saltValue="dpWkVR0JmVbvGjM17cTMAA==" spinCount="100000" sheet="1" objects="1" scenarios="1"/>
  <mergeCells count="17">
    <mergeCell ref="B21:D21"/>
    <mergeCell ref="B3:F4"/>
    <mergeCell ref="B17:F17"/>
    <mergeCell ref="B18:D18"/>
    <mergeCell ref="B19:D19"/>
    <mergeCell ref="B20:D20"/>
    <mergeCell ref="B8:F8"/>
    <mergeCell ref="B9:D9"/>
    <mergeCell ref="B10:D10"/>
    <mergeCell ref="B11:D11"/>
    <mergeCell ref="B12:D12"/>
    <mergeCell ref="B14:F14"/>
    <mergeCell ref="B25:F25"/>
    <mergeCell ref="B26:D26"/>
    <mergeCell ref="B29:F29"/>
    <mergeCell ref="B27:D27"/>
    <mergeCell ref="B28:D28"/>
  </mergeCells>
  <pageMargins left="0.79166666666666663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5703125" style="2" customWidth="1"/>
    <col min="5" max="5" width="12.7109375" style="2" bestFit="1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92" t="s">
        <v>252</v>
      </c>
      <c r="C3" s="92"/>
      <c r="D3" s="92"/>
      <c r="E3" s="92"/>
      <c r="F3" s="92"/>
      <c r="G3" s="1"/>
    </row>
    <row r="4" spans="1:7" ht="15" customHeight="1" x14ac:dyDescent="0.25">
      <c r="A4" s="1"/>
      <c r="B4" s="92"/>
      <c r="C4" s="92"/>
      <c r="D4" s="92"/>
      <c r="E4" s="92"/>
      <c r="F4" s="92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" customHeight="1" x14ac:dyDescent="0.25">
      <c r="A9" s="1"/>
      <c r="B9" s="83" t="s">
        <v>177</v>
      </c>
      <c r="C9" s="84"/>
      <c r="D9" s="84"/>
      <c r="E9" s="84"/>
      <c r="F9" s="84"/>
      <c r="G9" s="1"/>
    </row>
    <row r="10" spans="1:7" x14ac:dyDescent="0.25">
      <c r="A10" s="1"/>
      <c r="B10" s="80" t="s">
        <v>201</v>
      </c>
      <c r="C10" s="81"/>
      <c r="D10" s="82"/>
      <c r="E10" s="7">
        <v>0</v>
      </c>
      <c r="F10" s="8" t="s">
        <v>3</v>
      </c>
      <c r="G10" s="1"/>
    </row>
    <row r="11" spans="1:7" x14ac:dyDescent="0.25">
      <c r="A11" s="1"/>
      <c r="B11" s="96" t="s">
        <v>202</v>
      </c>
      <c r="C11" s="97"/>
      <c r="D11" s="98"/>
      <c r="E11" s="7">
        <v>0</v>
      </c>
      <c r="F11" s="8" t="s">
        <v>3</v>
      </c>
      <c r="G11" s="1"/>
    </row>
    <row r="12" spans="1:7" x14ac:dyDescent="0.25">
      <c r="A12" s="1"/>
      <c r="B12" s="86" t="s">
        <v>203</v>
      </c>
      <c r="C12" s="87"/>
      <c r="D12" s="88"/>
      <c r="E12" s="10">
        <f>E11-E10</f>
        <v>0</v>
      </c>
      <c r="F12" s="11" t="s">
        <v>3</v>
      </c>
      <c r="G12" s="1"/>
    </row>
    <row r="13" spans="1:7" x14ac:dyDescent="0.25">
      <c r="A13" s="1"/>
      <c r="B13" s="83" t="s">
        <v>178</v>
      </c>
      <c r="C13" s="84"/>
      <c r="D13" s="84"/>
      <c r="E13" s="84"/>
      <c r="F13" s="84"/>
      <c r="G13" s="1"/>
    </row>
    <row r="14" spans="1:7" x14ac:dyDescent="0.25">
      <c r="A14" s="1"/>
      <c r="B14" s="96" t="s">
        <v>210</v>
      </c>
      <c r="C14" s="97"/>
      <c r="D14" s="98"/>
      <c r="E14" s="9">
        <v>0</v>
      </c>
      <c r="F14" s="8" t="s">
        <v>3</v>
      </c>
      <c r="G14" s="1"/>
    </row>
    <row r="15" spans="1:7" x14ac:dyDescent="0.25">
      <c r="A15" s="1"/>
      <c r="B15" s="80" t="s">
        <v>211</v>
      </c>
      <c r="C15" s="81"/>
      <c r="D15" s="82"/>
      <c r="E15" s="9">
        <v>0</v>
      </c>
      <c r="F15" s="8" t="s">
        <v>3</v>
      </c>
      <c r="G15" s="1"/>
    </row>
    <row r="16" spans="1:7" x14ac:dyDescent="0.25">
      <c r="A16" s="1"/>
      <c r="B16" s="86" t="s">
        <v>203</v>
      </c>
      <c r="C16" s="87"/>
      <c r="D16" s="88"/>
      <c r="E16" s="10">
        <f>E15-E14</f>
        <v>0</v>
      </c>
      <c r="F16" s="11" t="s">
        <v>3</v>
      </c>
      <c r="G16" s="1"/>
    </row>
    <row r="17" spans="1:7" ht="15" customHeight="1" x14ac:dyDescent="0.25">
      <c r="A17" s="1"/>
      <c r="B17" s="83" t="s">
        <v>173</v>
      </c>
      <c r="C17" s="84"/>
      <c r="D17" s="84"/>
      <c r="E17" s="84"/>
      <c r="F17" s="84"/>
      <c r="G17" s="1"/>
    </row>
    <row r="18" spans="1:7" ht="28.15" customHeight="1" x14ac:dyDescent="0.25">
      <c r="A18" s="1"/>
      <c r="B18" s="80" t="s">
        <v>258</v>
      </c>
      <c r="C18" s="81"/>
      <c r="D18" s="82"/>
      <c r="E18" s="9">
        <v>0</v>
      </c>
      <c r="F18" s="8" t="s">
        <v>3</v>
      </c>
      <c r="G18" s="1"/>
    </row>
    <row r="19" spans="1:7" ht="29.25" customHeight="1" x14ac:dyDescent="0.25">
      <c r="A19" s="1"/>
      <c r="B19" s="89" t="s">
        <v>182</v>
      </c>
      <c r="C19" s="90"/>
      <c r="D19" s="91"/>
      <c r="E19" s="10">
        <f>IF('Fane 3. Omkostninger i ØR2019'!E28-'Fane 3. Omkostninger i ØR2019'!E28/(1+'Fane 15. Nøgletal'!C11)^2+E18&lt;0,-('Fane 3. Omkostninger i ØR2019'!E28-'Fane 3. Omkostninger i ØR2019'!E28/(1+'Fane 15. Nøgletal'!C11)^2+E18),0)</f>
        <v>12570.584587020916</v>
      </c>
      <c r="F19" s="11" t="s">
        <v>3</v>
      </c>
      <c r="G19" s="1"/>
    </row>
    <row r="20" spans="1:7" x14ac:dyDescent="0.25">
      <c r="A20" s="1"/>
      <c r="B20" s="40" t="s">
        <v>194</v>
      </c>
      <c r="C20" s="34"/>
      <c r="D20" s="34"/>
      <c r="E20" s="12">
        <f>E12+E16+E19</f>
        <v>12570.584587020916</v>
      </c>
      <c r="F20" s="13" t="s">
        <v>3</v>
      </c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YIAAst+x+GdMbLXbkSQiwyaeHpfbSvFKlj1fbarJruKhFKRtwAx8AtEhh+w+ntlycR0cAYYT3z5ercsRTgD6jQ==" saltValue="Vcp4Uj68H8woEo7heM1ewQ==" spinCount="100000" sheet="1" objects="1" scenarios="1"/>
  <mergeCells count="12">
    <mergeCell ref="B13:F13"/>
    <mergeCell ref="B17:F17"/>
    <mergeCell ref="B16:D16"/>
    <mergeCell ref="B19:D19"/>
    <mergeCell ref="B3:F4"/>
    <mergeCell ref="B10:D10"/>
    <mergeCell ref="B11:D11"/>
    <mergeCell ref="B14:D14"/>
    <mergeCell ref="B15:D15"/>
    <mergeCell ref="B9:F9"/>
    <mergeCell ref="B12:D12"/>
    <mergeCell ref="B18:D18"/>
  </mergeCells>
  <pageMargins left="0.79166666666666663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56"/>
  <sheetViews>
    <sheetView showGridLines="0" view="pageLayout" zoomScaleNormal="100" workbookViewId="0"/>
  </sheetViews>
  <sheetFormatPr defaultColWidth="9.140625" defaultRowHeight="15" x14ac:dyDescent="0.25"/>
  <cols>
    <col min="1" max="1" width="4.7109375" style="2" customWidth="1"/>
    <col min="2" max="2" width="22.5703125" style="2" customWidth="1"/>
    <col min="3" max="3" width="8.28515625" style="2" customWidth="1"/>
    <col min="4" max="6" width="10.7109375" style="2" customWidth="1"/>
    <col min="7" max="7" width="11.140625" style="2" customWidth="1"/>
    <col min="8" max="8" width="3.28515625" style="2" customWidth="1"/>
    <col min="9" max="9" width="4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8" t="s">
        <v>253</v>
      </c>
      <c r="C3" s="78"/>
      <c r="D3" s="78"/>
      <c r="E3" s="78"/>
      <c r="F3" s="78"/>
      <c r="G3" s="78"/>
      <c r="H3" s="78"/>
      <c r="I3" s="1"/>
    </row>
    <row r="4" spans="1:9" ht="15" customHeight="1" x14ac:dyDescent="0.25">
      <c r="A4" s="1"/>
      <c r="B4" s="78"/>
      <c r="C4" s="78"/>
      <c r="D4" s="78"/>
      <c r="E4" s="78"/>
      <c r="F4" s="78"/>
      <c r="G4" s="78"/>
      <c r="H4" s="78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83" t="s">
        <v>254</v>
      </c>
      <c r="C8" s="84"/>
      <c r="D8" s="84"/>
      <c r="E8" s="84"/>
      <c r="F8" s="84"/>
      <c r="G8" s="84"/>
      <c r="H8" s="85"/>
      <c r="I8" s="1"/>
    </row>
    <row r="9" spans="1:9" ht="39.75" customHeight="1" x14ac:dyDescent="0.25">
      <c r="A9" s="1"/>
      <c r="B9" s="21" t="s">
        <v>0</v>
      </c>
      <c r="C9" s="21" t="s">
        <v>1</v>
      </c>
      <c r="D9" s="21" t="s">
        <v>14</v>
      </c>
      <c r="E9" s="11" t="s">
        <v>2</v>
      </c>
      <c r="F9" s="11" t="s">
        <v>16</v>
      </c>
      <c r="G9" s="11" t="s">
        <v>47</v>
      </c>
      <c r="H9" s="39"/>
      <c r="I9" s="1"/>
    </row>
    <row r="10" spans="1:9" x14ac:dyDescent="0.25">
      <c r="A10" s="1"/>
      <c r="B10" s="56" t="s">
        <v>266</v>
      </c>
      <c r="C10" s="45">
        <v>75</v>
      </c>
      <c r="D10" s="9">
        <v>513139</v>
      </c>
      <c r="E10" s="9">
        <f>IFERROR(D10/C10,0)</f>
        <v>6841.8533333333335</v>
      </c>
      <c r="F10" s="9">
        <v>0</v>
      </c>
      <c r="G10" s="9">
        <v>0</v>
      </c>
      <c r="H10" s="14" t="s">
        <v>3</v>
      </c>
      <c r="I10" s="1"/>
    </row>
    <row r="11" spans="1:9" ht="26.25" x14ac:dyDescent="0.25">
      <c r="A11" s="1"/>
      <c r="B11" s="56" t="s">
        <v>267</v>
      </c>
      <c r="C11" s="45">
        <v>75</v>
      </c>
      <c r="D11" s="9">
        <v>1145640</v>
      </c>
      <c r="E11" s="9">
        <f t="shared" ref="E11:E18" si="0">IFERROR(D11/C11,0)</f>
        <v>15275.2</v>
      </c>
      <c r="F11" s="9">
        <v>0</v>
      </c>
      <c r="G11" s="9">
        <v>0</v>
      </c>
      <c r="H11" s="14" t="s">
        <v>3</v>
      </c>
      <c r="I11" s="1"/>
    </row>
    <row r="12" spans="1:9" x14ac:dyDescent="0.25">
      <c r="A12" s="1"/>
      <c r="B12" s="56" t="s">
        <v>268</v>
      </c>
      <c r="C12" s="45">
        <v>75</v>
      </c>
      <c r="D12" s="9">
        <v>593702</v>
      </c>
      <c r="E12" s="9">
        <f t="shared" si="0"/>
        <v>7916.0266666666666</v>
      </c>
      <c r="F12" s="9">
        <v>0</v>
      </c>
      <c r="G12" s="9">
        <v>0</v>
      </c>
      <c r="H12" s="14" t="s">
        <v>3</v>
      </c>
      <c r="I12" s="1"/>
    </row>
    <row r="13" spans="1:9" x14ac:dyDescent="0.25">
      <c r="A13" s="1"/>
      <c r="B13" s="56" t="s">
        <v>266</v>
      </c>
      <c r="C13" s="45">
        <v>75</v>
      </c>
      <c r="D13" s="9">
        <v>95590</v>
      </c>
      <c r="E13" s="9">
        <f t="shared" si="0"/>
        <v>1274.5333333333333</v>
      </c>
      <c r="F13" s="9">
        <v>0</v>
      </c>
      <c r="G13" s="9">
        <v>0</v>
      </c>
      <c r="H13" s="14" t="s">
        <v>3</v>
      </c>
      <c r="I13" s="1"/>
    </row>
    <row r="14" spans="1:9" ht="26.25" x14ac:dyDescent="0.25">
      <c r="A14" s="1"/>
      <c r="B14" s="56" t="s">
        <v>267</v>
      </c>
      <c r="C14" s="45">
        <v>75</v>
      </c>
      <c r="D14" s="9">
        <v>420496</v>
      </c>
      <c r="E14" s="9">
        <f t="shared" si="0"/>
        <v>5606.6133333333337</v>
      </c>
      <c r="F14" s="9">
        <v>0</v>
      </c>
      <c r="G14" s="9">
        <v>0</v>
      </c>
      <c r="H14" s="14" t="s">
        <v>3</v>
      </c>
      <c r="I14" s="1"/>
    </row>
    <row r="15" spans="1:9" x14ac:dyDescent="0.25">
      <c r="A15" s="1"/>
      <c r="B15" s="56" t="s">
        <v>268</v>
      </c>
      <c r="C15" s="45">
        <v>75</v>
      </c>
      <c r="D15" s="9">
        <v>229814</v>
      </c>
      <c r="E15" s="9">
        <f t="shared" ref="E15" si="1">IFERROR(D15/C15,0)</f>
        <v>3064.1866666666665</v>
      </c>
      <c r="F15" s="9">
        <v>0</v>
      </c>
      <c r="G15" s="9">
        <v>0</v>
      </c>
      <c r="H15" s="14" t="s">
        <v>3</v>
      </c>
      <c r="I15" s="1"/>
    </row>
    <row r="16" spans="1:9" x14ac:dyDescent="0.25">
      <c r="A16" s="1"/>
      <c r="B16" s="56" t="s">
        <v>266</v>
      </c>
      <c r="C16" s="45">
        <v>75</v>
      </c>
      <c r="D16" s="9">
        <v>857399</v>
      </c>
      <c r="E16" s="9">
        <f t="shared" si="0"/>
        <v>11431.986666666666</v>
      </c>
      <c r="F16" s="9">
        <v>0</v>
      </c>
      <c r="G16" s="9">
        <v>0</v>
      </c>
      <c r="H16" s="14" t="s">
        <v>3</v>
      </c>
      <c r="I16" s="1"/>
    </row>
    <row r="17" spans="1:9" ht="26.25" x14ac:dyDescent="0.25">
      <c r="A17" s="1"/>
      <c r="B17" s="56" t="s">
        <v>267</v>
      </c>
      <c r="C17" s="45">
        <v>75</v>
      </c>
      <c r="D17" s="9">
        <v>901019</v>
      </c>
      <c r="E17" s="9">
        <f t="shared" si="0"/>
        <v>12013.586666666666</v>
      </c>
      <c r="F17" s="9">
        <v>0</v>
      </c>
      <c r="G17" s="9">
        <v>0</v>
      </c>
      <c r="H17" s="14" t="s">
        <v>3</v>
      </c>
      <c r="I17" s="1"/>
    </row>
    <row r="18" spans="1:9" ht="26.25" x14ac:dyDescent="0.25">
      <c r="A18" s="1"/>
      <c r="B18" s="56" t="s">
        <v>269</v>
      </c>
      <c r="C18" s="45">
        <v>75</v>
      </c>
      <c r="D18" s="9">
        <v>196462</v>
      </c>
      <c r="E18" s="9">
        <f t="shared" si="0"/>
        <v>2619.4933333333333</v>
      </c>
      <c r="F18" s="9">
        <v>0</v>
      </c>
      <c r="G18" s="9">
        <v>0</v>
      </c>
      <c r="H18" s="14" t="s">
        <v>3</v>
      </c>
      <c r="I18" s="1"/>
    </row>
    <row r="19" spans="1:9" x14ac:dyDescent="0.25">
      <c r="A19" s="1"/>
      <c r="B19" s="56" t="s">
        <v>268</v>
      </c>
      <c r="C19" s="45">
        <v>75</v>
      </c>
      <c r="D19" s="9">
        <v>466120</v>
      </c>
      <c r="E19" s="9">
        <f t="shared" ref="E19:E20" si="2">IFERROR(D19/C19,0)</f>
        <v>6214.9333333333334</v>
      </c>
      <c r="F19" s="9">
        <v>0</v>
      </c>
      <c r="G19" s="9">
        <v>0</v>
      </c>
      <c r="H19" s="14" t="s">
        <v>3</v>
      </c>
      <c r="I19" s="1"/>
    </row>
    <row r="20" spans="1:9" x14ac:dyDescent="0.25">
      <c r="A20" s="1"/>
      <c r="B20" s="56" t="s">
        <v>270</v>
      </c>
      <c r="C20" s="45">
        <v>50</v>
      </c>
      <c r="D20" s="9">
        <v>155319</v>
      </c>
      <c r="E20" s="9">
        <f t="shared" si="2"/>
        <v>3106.38</v>
      </c>
      <c r="F20" s="9">
        <v>0</v>
      </c>
      <c r="G20" s="9">
        <v>0</v>
      </c>
      <c r="H20" s="14" t="s">
        <v>3</v>
      </c>
      <c r="I20" s="1"/>
    </row>
    <row r="21" spans="1:9" x14ac:dyDescent="0.25">
      <c r="A21" s="1"/>
      <c r="B21" s="83" t="s">
        <v>255</v>
      </c>
      <c r="C21" s="84"/>
      <c r="D21" s="85"/>
      <c r="E21" s="12">
        <f>SUM(E10:E20)</f>
        <v>75364.793333333335</v>
      </c>
      <c r="F21" s="12">
        <f>SUM(F10:F20)</f>
        <v>0</v>
      </c>
      <c r="G21" s="12">
        <f>SUM(G10:G20)</f>
        <v>0</v>
      </c>
      <c r="H21" s="13" t="s">
        <v>3</v>
      </c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</sheetData>
  <sheetProtection algorithmName="SHA-512" hashValue="L90GaJudwTbNt1tHiGVr7kKYZGEGP85spV54mp5eWelWamCxGS85ezcaoYI/Jk1tHokiDD65sTuluqwvKgngXw==" saltValue="THEzDowv6/RCdxO12R3YnA==" spinCount="100000" sheet="1" objects="1" scenarios="1"/>
  <mergeCells count="3">
    <mergeCell ref="B3:H4"/>
    <mergeCell ref="B21:D21"/>
    <mergeCell ref="B8:H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8" t="s">
        <v>225</v>
      </c>
      <c r="C3" s="78"/>
      <c r="D3" s="78"/>
      <c r="E3" s="78"/>
      <c r="F3" s="78"/>
      <c r="G3" s="1"/>
    </row>
    <row r="4" spans="1:7" ht="15" customHeight="1" x14ac:dyDescent="0.25">
      <c r="A4" s="1"/>
      <c r="B4" s="78"/>
      <c r="C4" s="78"/>
      <c r="D4" s="78"/>
      <c r="E4" s="78"/>
      <c r="F4" s="78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139</v>
      </c>
      <c r="C8" s="34"/>
      <c r="D8" s="34"/>
      <c r="E8" s="34"/>
      <c r="F8" s="22"/>
      <c r="G8" s="1"/>
    </row>
    <row r="9" spans="1:7" ht="17.25" customHeight="1" x14ac:dyDescent="0.25">
      <c r="A9" s="1"/>
      <c r="B9" s="52" t="s">
        <v>25</v>
      </c>
      <c r="C9" s="52" t="s">
        <v>16</v>
      </c>
      <c r="D9" s="53"/>
      <c r="E9" s="52" t="s">
        <v>48</v>
      </c>
      <c r="F9" s="39"/>
      <c r="G9" s="1"/>
    </row>
    <row r="10" spans="1:7" x14ac:dyDescent="0.25">
      <c r="A10" s="1"/>
      <c r="B10" s="27" t="s">
        <v>271</v>
      </c>
      <c r="C10" s="24">
        <f>'Fane 9. Anlægsprojekter'!F21</f>
        <v>0</v>
      </c>
      <c r="D10" s="14" t="s">
        <v>3</v>
      </c>
      <c r="E10" s="9">
        <f>SUM('Fane 9. Anlægsprojekter'!E21,'Fane 9. Anlægsprojekter'!G21)</f>
        <v>75364.793333333335</v>
      </c>
      <c r="F10" s="14" t="s">
        <v>3</v>
      </c>
      <c r="G10" s="1"/>
    </row>
    <row r="11" spans="1:7" x14ac:dyDescent="0.25">
      <c r="A11" s="1"/>
      <c r="B11" s="56" t="s">
        <v>259</v>
      </c>
      <c r="C11" s="24">
        <v>141100</v>
      </c>
      <c r="D11" s="14" t="s">
        <v>3</v>
      </c>
      <c r="E11" s="9">
        <v>205535</v>
      </c>
      <c r="F11" s="14" t="s">
        <v>3</v>
      </c>
      <c r="G11" s="1"/>
    </row>
    <row r="12" spans="1:7" x14ac:dyDescent="0.25">
      <c r="A12" s="1"/>
      <c r="B12" s="40" t="s">
        <v>60</v>
      </c>
      <c r="C12" s="12">
        <f>SUM(C10:C11)</f>
        <v>141100</v>
      </c>
      <c r="D12" s="13" t="s">
        <v>3</v>
      </c>
      <c r="E12" s="12">
        <f>SUM(E10:E11)</f>
        <v>280899.79333333333</v>
      </c>
      <c r="F12" s="13" t="s">
        <v>3</v>
      </c>
      <c r="G12" s="1"/>
    </row>
    <row r="13" spans="1:7" x14ac:dyDescent="0.25">
      <c r="A13" s="1"/>
      <c r="B13" s="40" t="s">
        <v>70</v>
      </c>
      <c r="C13" s="12">
        <f>C12*(1+'Fane 15. Nøgletal'!C12)</f>
        <v>143879.67000000001</v>
      </c>
      <c r="D13" s="13" t="s">
        <v>3</v>
      </c>
      <c r="E13" s="12">
        <f>E12*(1+'Fane 15. Nøgletal'!C12)</f>
        <v>286433.51926199999</v>
      </c>
      <c r="F13" s="13" t="s">
        <v>3</v>
      </c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HBV5xR226ahsFL2kjYxLaSOUbfVHQop74mzNV7A3REJ7LW+XruaeXPzG4zsF9Q6VljEc2awJVpPaFMNHPD7KHw==" saltValue="p9fMCLoPHipTqa0Gv5azXA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G42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42578125" style="2" bestFit="1" customWidth="1"/>
    <col min="5" max="5" width="17.7109375" style="2" bestFit="1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8" t="s">
        <v>224</v>
      </c>
      <c r="C3" s="78"/>
      <c r="D3" s="78"/>
      <c r="E3" s="78"/>
      <c r="F3" s="78"/>
      <c r="G3" s="1"/>
    </row>
    <row r="4" spans="1:7" ht="15" customHeight="1" x14ac:dyDescent="0.25">
      <c r="A4" s="1"/>
      <c r="B4" s="78"/>
      <c r="C4" s="78"/>
      <c r="D4" s="78"/>
      <c r="E4" s="78"/>
      <c r="F4" s="78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3" t="s">
        <v>187</v>
      </c>
      <c r="C8" s="84"/>
      <c r="D8" s="84"/>
      <c r="E8" s="84"/>
      <c r="F8" s="85"/>
      <c r="G8" s="1"/>
    </row>
    <row r="9" spans="1:7" x14ac:dyDescent="0.25">
      <c r="A9" s="1"/>
      <c r="B9" s="52" t="s">
        <v>25</v>
      </c>
      <c r="C9" s="52" t="s">
        <v>16</v>
      </c>
      <c r="D9" s="53"/>
      <c r="E9" s="52" t="s">
        <v>48</v>
      </c>
      <c r="F9" s="39"/>
      <c r="G9" s="1"/>
    </row>
    <row r="10" spans="1:7" x14ac:dyDescent="0.25">
      <c r="A10" s="1"/>
      <c r="B10" s="27" t="s">
        <v>260</v>
      </c>
      <c r="C10" s="24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191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29" t="s">
        <v>10</v>
      </c>
      <c r="C12" s="30">
        <f>-C11*'Fane 5. Individuelt eff. krav'!G11</f>
        <v>0</v>
      </c>
      <c r="D12" s="31" t="s">
        <v>3</v>
      </c>
      <c r="E12" s="30">
        <f>-E11*'Fane 5. Individuelt eff. krav'!G11</f>
        <v>0</v>
      </c>
      <c r="F12" s="31" t="s">
        <v>3</v>
      </c>
      <c r="G12" s="1"/>
    </row>
    <row r="13" spans="1:7" x14ac:dyDescent="0.25">
      <c r="A13" s="1"/>
      <c r="B13" s="29" t="s">
        <v>195</v>
      </c>
      <c r="C13" s="30">
        <f>-C11*'Fane 15. Nøgletal'!C25</f>
        <v>0</v>
      </c>
      <c r="D13" s="31" t="s">
        <v>3</v>
      </c>
      <c r="E13" s="30">
        <f>-E11*'Fane 15. Nøgletal'!C20</f>
        <v>0</v>
      </c>
      <c r="F13" s="31" t="s">
        <v>3</v>
      </c>
      <c r="G13" s="1"/>
    </row>
    <row r="14" spans="1:7" x14ac:dyDescent="0.25">
      <c r="A14" s="1"/>
      <c r="B14" s="40" t="s">
        <v>192</v>
      </c>
      <c r="C14" s="12">
        <f>SUM(C11:C13)*(1+'Fane 15. Nøgletal'!C12)^2</f>
        <v>0</v>
      </c>
      <c r="D14" s="13" t="s">
        <v>3</v>
      </c>
      <c r="E14" s="12">
        <f>SUM(E11:E13)*(1+'Fane 15. Nøgletal'!C12)^2</f>
        <v>0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83" t="s">
        <v>188</v>
      </c>
      <c r="C16" s="84"/>
      <c r="D16" s="84"/>
      <c r="E16" s="84"/>
      <c r="F16" s="85"/>
      <c r="G16" s="1"/>
    </row>
    <row r="17" spans="1:7" x14ac:dyDescent="0.25">
      <c r="A17" s="1"/>
      <c r="B17" s="52" t="s">
        <v>25</v>
      </c>
      <c r="C17" s="52" t="s">
        <v>16</v>
      </c>
      <c r="D17" s="53"/>
      <c r="E17" s="52" t="s">
        <v>48</v>
      </c>
      <c r="F17" s="39"/>
      <c r="G17" s="1"/>
    </row>
    <row r="18" spans="1:7" x14ac:dyDescent="0.25">
      <c r="A18" s="1"/>
      <c r="B18" s="27" t="s">
        <v>260</v>
      </c>
      <c r="C18" s="24">
        <v>0</v>
      </c>
      <c r="D18" s="14" t="s">
        <v>3</v>
      </c>
      <c r="E18" s="9">
        <v>0</v>
      </c>
      <c r="F18" s="14" t="s">
        <v>3</v>
      </c>
      <c r="G18" s="1"/>
    </row>
    <row r="19" spans="1:7" x14ac:dyDescent="0.25">
      <c r="A19" s="1"/>
      <c r="B19" s="40" t="s">
        <v>191</v>
      </c>
      <c r="C19" s="12">
        <f>SUM(C18:C18)</f>
        <v>0</v>
      </c>
      <c r="D19" s="13" t="s">
        <v>3</v>
      </c>
      <c r="E19" s="12">
        <f>SUM(E18:E18)</f>
        <v>0</v>
      </c>
      <c r="F19" s="13" t="s">
        <v>3</v>
      </c>
      <c r="G19" s="1"/>
    </row>
    <row r="20" spans="1:7" x14ac:dyDescent="0.25">
      <c r="A20" s="1"/>
      <c r="B20" s="29" t="s">
        <v>10</v>
      </c>
      <c r="C20" s="30">
        <f>-C19*'Fane 5. Individuelt eff. krav'!G11</f>
        <v>0</v>
      </c>
      <c r="D20" s="31" t="s">
        <v>3</v>
      </c>
      <c r="E20" s="30">
        <f>-E19*'Fane 5. Individuelt eff. krav'!G11</f>
        <v>0</v>
      </c>
      <c r="F20" s="31" t="s">
        <v>3</v>
      </c>
      <c r="G20" s="1"/>
    </row>
    <row r="21" spans="1:7" x14ac:dyDescent="0.25">
      <c r="A21" s="1"/>
      <c r="B21" s="29" t="s">
        <v>195</v>
      </c>
      <c r="C21" s="30">
        <f>-C19*'Fane 15. Nøgletal'!C25</f>
        <v>0</v>
      </c>
      <c r="D21" s="31" t="s">
        <v>3</v>
      </c>
      <c r="E21" s="30">
        <f>-E19*'Fane 15. Nøgletal'!C20</f>
        <v>0</v>
      </c>
      <c r="F21" s="31" t="s">
        <v>3</v>
      </c>
      <c r="G21" s="1"/>
    </row>
    <row r="22" spans="1:7" x14ac:dyDescent="0.25">
      <c r="A22" s="1"/>
      <c r="B22" s="40" t="s">
        <v>193</v>
      </c>
      <c r="C22" s="12">
        <f>SUM(C19:C21)*(1+'Fane 15. Nøgletal'!C12)^3</f>
        <v>0</v>
      </c>
      <c r="D22" s="13" t="s">
        <v>3</v>
      </c>
      <c r="E22" s="12">
        <f>SUM(E19:E21)*(1+'Fane 15. Nøgletal'!C12)^3</f>
        <v>0</v>
      </c>
      <c r="F22" s="13" t="s">
        <v>3</v>
      </c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83" t="s">
        <v>189</v>
      </c>
      <c r="C24" s="84"/>
      <c r="D24" s="84"/>
      <c r="E24" s="84"/>
      <c r="F24" s="85"/>
      <c r="G24" s="1"/>
    </row>
    <row r="25" spans="1:7" x14ac:dyDescent="0.25">
      <c r="A25" s="1"/>
      <c r="B25" s="52" t="s">
        <v>25</v>
      </c>
      <c r="C25" s="52" t="s">
        <v>16</v>
      </c>
      <c r="D25" s="53"/>
      <c r="E25" s="52" t="s">
        <v>48</v>
      </c>
      <c r="F25" s="39"/>
      <c r="G25" s="1"/>
    </row>
    <row r="26" spans="1:7" x14ac:dyDescent="0.25">
      <c r="A26" s="1"/>
      <c r="B26" s="27" t="s">
        <v>260</v>
      </c>
      <c r="C26" s="24">
        <v>0</v>
      </c>
      <c r="D26" s="14" t="s">
        <v>3</v>
      </c>
      <c r="E26" s="9">
        <v>0</v>
      </c>
      <c r="F26" s="14" t="s">
        <v>3</v>
      </c>
      <c r="G26" s="1"/>
    </row>
    <row r="27" spans="1:7" x14ac:dyDescent="0.25">
      <c r="A27" s="1"/>
      <c r="B27" s="40" t="s">
        <v>191</v>
      </c>
      <c r="C27" s="12">
        <f>SUM(C26:C26)</f>
        <v>0</v>
      </c>
      <c r="D27" s="13" t="s">
        <v>3</v>
      </c>
      <c r="E27" s="12">
        <f>SUM(E26:E26)</f>
        <v>0</v>
      </c>
      <c r="F27" s="13" t="s">
        <v>3</v>
      </c>
      <c r="G27" s="1"/>
    </row>
    <row r="28" spans="1:7" x14ac:dyDescent="0.25">
      <c r="A28" s="1"/>
      <c r="B28" s="29" t="s">
        <v>10</v>
      </c>
      <c r="C28" s="30">
        <f>-C27*'Fane 5. Individuelt eff. krav'!G11</f>
        <v>0</v>
      </c>
      <c r="D28" s="31" t="s">
        <v>3</v>
      </c>
      <c r="E28" s="30">
        <f>-E27*'Fane 5. Individuelt eff. krav'!G11</f>
        <v>0</v>
      </c>
      <c r="F28" s="31" t="s">
        <v>3</v>
      </c>
      <c r="G28" s="1"/>
    </row>
    <row r="29" spans="1:7" x14ac:dyDescent="0.25">
      <c r="A29" s="1"/>
      <c r="B29" s="29" t="s">
        <v>195</v>
      </c>
      <c r="C29" s="30">
        <f>-C27*'Fane 15. Nøgletal'!C25</f>
        <v>0</v>
      </c>
      <c r="D29" s="31" t="s">
        <v>3</v>
      </c>
      <c r="E29" s="30">
        <f>-E27*'Fane 15. Nøgletal'!C20</f>
        <v>0</v>
      </c>
      <c r="F29" s="31" t="s">
        <v>3</v>
      </c>
      <c r="G29" s="1"/>
    </row>
    <row r="30" spans="1:7" x14ac:dyDescent="0.25">
      <c r="A30" s="1"/>
      <c r="B30" s="40" t="s">
        <v>193</v>
      </c>
      <c r="C30" s="12">
        <f>SUM(C27:C29)*(1+'Fane 15. Nøgletal'!C12)^4</f>
        <v>0</v>
      </c>
      <c r="D30" s="13" t="s">
        <v>3</v>
      </c>
      <c r="E30" s="12">
        <f>SUM(E27:E29)*(1+'Fane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83" t="s">
        <v>190</v>
      </c>
      <c r="C32" s="84"/>
      <c r="D32" s="84"/>
      <c r="E32" s="84"/>
      <c r="F32" s="85"/>
      <c r="G32" s="1"/>
    </row>
    <row r="33" spans="1:7" x14ac:dyDescent="0.25">
      <c r="A33" s="1"/>
      <c r="B33" s="52" t="s">
        <v>25</v>
      </c>
      <c r="C33" s="52" t="s">
        <v>16</v>
      </c>
      <c r="D33" s="53"/>
      <c r="E33" s="52" t="s">
        <v>48</v>
      </c>
      <c r="F33" s="39"/>
      <c r="G33" s="1"/>
    </row>
    <row r="34" spans="1:7" x14ac:dyDescent="0.25">
      <c r="A34" s="1"/>
      <c r="B34" s="27" t="s">
        <v>260</v>
      </c>
      <c r="C34" s="24">
        <v>0</v>
      </c>
      <c r="D34" s="14" t="s">
        <v>3</v>
      </c>
      <c r="E34" s="9">
        <v>0</v>
      </c>
      <c r="F34" s="14" t="s">
        <v>3</v>
      </c>
      <c r="G34" s="1"/>
    </row>
    <row r="35" spans="1:7" x14ac:dyDescent="0.25">
      <c r="A35" s="1"/>
      <c r="B35" s="40" t="s">
        <v>191</v>
      </c>
      <c r="C35" s="12">
        <f>SUM(C34:C34)</f>
        <v>0</v>
      </c>
      <c r="D35" s="13" t="s">
        <v>3</v>
      </c>
      <c r="E35" s="12">
        <f>SUM(E34:E34)</f>
        <v>0</v>
      </c>
      <c r="F35" s="13" t="s">
        <v>3</v>
      </c>
      <c r="G35" s="1"/>
    </row>
    <row r="36" spans="1:7" x14ac:dyDescent="0.25">
      <c r="A36" s="1"/>
      <c r="B36" s="29" t="s">
        <v>10</v>
      </c>
      <c r="C36" s="30">
        <f>-C35*'Fane 5. Individuelt eff. krav'!G11</f>
        <v>0</v>
      </c>
      <c r="D36" s="31" t="s">
        <v>3</v>
      </c>
      <c r="E36" s="30">
        <f>-E35*'Fane 5. Individuelt eff. krav'!G11</f>
        <v>0</v>
      </c>
      <c r="F36" s="31" t="s">
        <v>3</v>
      </c>
      <c r="G36" s="1"/>
    </row>
    <row r="37" spans="1:7" x14ac:dyDescent="0.25">
      <c r="A37" s="1"/>
      <c r="B37" s="29" t="s">
        <v>195</v>
      </c>
      <c r="C37" s="30">
        <f>-C35*'Fane 15. Nøgletal'!C25</f>
        <v>0</v>
      </c>
      <c r="D37" s="31" t="s">
        <v>3</v>
      </c>
      <c r="E37" s="30">
        <f>-E35*'Fane 15. Nøgletal'!C20</f>
        <v>0</v>
      </c>
      <c r="F37" s="31" t="s">
        <v>3</v>
      </c>
      <c r="G37" s="1"/>
    </row>
    <row r="38" spans="1:7" x14ac:dyDescent="0.25">
      <c r="A38" s="1"/>
      <c r="B38" s="40" t="s">
        <v>193</v>
      </c>
      <c r="C38" s="12">
        <f>SUM(C35:C37)*(1+'Fane 15. Nøgletal'!C12)^5</f>
        <v>0</v>
      </c>
      <c r="D38" s="13" t="s">
        <v>3</v>
      </c>
      <c r="E38" s="12">
        <f>SUM(E35:E37)*(1+'Fane 15. Nøgletal'!C12)^5</f>
        <v>0</v>
      </c>
      <c r="F38" s="13" t="s">
        <v>3</v>
      </c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</sheetData>
  <sheetProtection algorithmName="SHA-512" hashValue="ZnP61/fnNXW8Shtz0a7MPC3uirwAKjzIRa4NGedVT/BDd2nd0Kh6Bf/xXhH7wA+Qf2XlHPGr7tuL7akgrne1Fg==" saltValue="O5qAxNYclLNohbMxGtndTQ==" spinCount="100000" sheet="1" objects="1" scenarios="1"/>
  <mergeCells count="5">
    <mergeCell ref="B3:F4"/>
    <mergeCell ref="B8:F8"/>
    <mergeCell ref="B16:F16"/>
    <mergeCell ref="B24:F24"/>
    <mergeCell ref="B32:F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2" t="s">
        <v>227</v>
      </c>
      <c r="C3" s="92"/>
      <c r="D3" s="92"/>
      <c r="E3" s="92"/>
      <c r="F3" s="92"/>
      <c r="G3" s="1"/>
    </row>
    <row r="4" spans="1:7" ht="15" customHeight="1" x14ac:dyDescent="0.25">
      <c r="A4" s="1"/>
      <c r="B4" s="92"/>
      <c r="C4" s="92"/>
      <c r="D4" s="92"/>
      <c r="E4" s="92"/>
      <c r="F4" s="92"/>
      <c r="G4" s="1"/>
    </row>
    <row r="5" spans="1:7" x14ac:dyDescent="0.25">
      <c r="A5" s="1"/>
      <c r="B5" s="92"/>
      <c r="C5" s="92"/>
      <c r="D5" s="92"/>
      <c r="E5" s="92"/>
      <c r="F5" s="92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3" t="s">
        <v>160</v>
      </c>
      <c r="C8" s="84"/>
      <c r="D8" s="84"/>
      <c r="E8" s="84"/>
      <c r="F8" s="85"/>
      <c r="G8" s="1"/>
    </row>
    <row r="9" spans="1:7" x14ac:dyDescent="0.25">
      <c r="A9" s="1"/>
      <c r="B9" s="110" t="s">
        <v>159</v>
      </c>
      <c r="C9" s="111"/>
      <c r="D9" s="112"/>
      <c r="E9" s="9">
        <v>481091.78345799999</v>
      </c>
      <c r="F9" s="14" t="s">
        <v>3</v>
      </c>
      <c r="G9" s="1"/>
    </row>
    <row r="10" spans="1:7" x14ac:dyDescent="0.25">
      <c r="A10" s="1"/>
      <c r="B10" s="93" t="s">
        <v>10</v>
      </c>
      <c r="C10" s="94"/>
      <c r="D10" s="95"/>
      <c r="E10" s="9">
        <f>-E9*'Fane 5. Individuelt eff. krav'!G11</f>
        <v>-1777.6397350196446</v>
      </c>
      <c r="F10" s="14" t="s">
        <v>3</v>
      </c>
      <c r="G10" s="1"/>
    </row>
    <row r="11" spans="1:7" x14ac:dyDescent="0.25">
      <c r="A11" s="1"/>
      <c r="B11" s="93" t="s">
        <v>39</v>
      </c>
      <c r="C11" s="94"/>
      <c r="D11" s="95"/>
      <c r="E11" s="9">
        <f>-E9*'Fane 15. Nøgletal'!C25</f>
        <v>-9621.8356691600002</v>
      </c>
      <c r="F11" s="14" t="s">
        <v>3</v>
      </c>
      <c r="G11" s="1"/>
    </row>
    <row r="12" spans="1:7" x14ac:dyDescent="0.25">
      <c r="A12" s="1"/>
      <c r="B12" s="83" t="s">
        <v>164</v>
      </c>
      <c r="C12" s="84"/>
      <c r="D12" s="85"/>
      <c r="E12" s="12">
        <f>SUM(E9:E11)*(1+'Fane 15. Nøgletal'!C12)^2</f>
        <v>488380.46787897346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83" t="s">
        <v>161</v>
      </c>
      <c r="C14" s="84"/>
      <c r="D14" s="84"/>
      <c r="E14" s="84"/>
      <c r="F14" s="85"/>
      <c r="G14" s="1"/>
    </row>
    <row r="15" spans="1:7" x14ac:dyDescent="0.25">
      <c r="A15" s="1"/>
      <c r="B15" s="110" t="s">
        <v>159</v>
      </c>
      <c r="C15" s="111"/>
      <c r="D15" s="112"/>
      <c r="E15" s="9">
        <v>481091.78345799999</v>
      </c>
      <c r="F15" s="14" t="s">
        <v>3</v>
      </c>
      <c r="G15" s="1"/>
    </row>
    <row r="16" spans="1:7" x14ac:dyDescent="0.25">
      <c r="A16" s="1"/>
      <c r="B16" s="93" t="s">
        <v>10</v>
      </c>
      <c r="C16" s="94"/>
      <c r="D16" s="95"/>
      <c r="E16" s="9">
        <f>-E15*'Fane 5. Individuelt eff. krav'!G11</f>
        <v>-1777.6397350196446</v>
      </c>
      <c r="F16" s="14" t="s">
        <v>3</v>
      </c>
      <c r="G16" s="1"/>
    </row>
    <row r="17" spans="1:7" x14ac:dyDescent="0.25">
      <c r="A17" s="1"/>
      <c r="B17" s="93" t="s">
        <v>39</v>
      </c>
      <c r="C17" s="94"/>
      <c r="D17" s="95"/>
      <c r="E17" s="9">
        <f>-E15*'Fane 15. Nøgletal'!C25</f>
        <v>-9621.8356691600002</v>
      </c>
      <c r="F17" s="14" t="s">
        <v>3</v>
      </c>
      <c r="G17" s="1"/>
    </row>
    <row r="18" spans="1:7" x14ac:dyDescent="0.25">
      <c r="A18" s="1"/>
      <c r="B18" s="83" t="s">
        <v>165</v>
      </c>
      <c r="C18" s="84"/>
      <c r="D18" s="85"/>
      <c r="E18" s="12">
        <f>SUM(E15:E17)*(1+'Fane 15. Nøgletal'!C12)^3</f>
        <v>498001.56309618923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83" t="s">
        <v>162</v>
      </c>
      <c r="C20" s="84"/>
      <c r="D20" s="84"/>
      <c r="E20" s="84"/>
      <c r="F20" s="85"/>
      <c r="G20" s="1"/>
    </row>
    <row r="21" spans="1:7" x14ac:dyDescent="0.25">
      <c r="A21" s="1"/>
      <c r="B21" s="110" t="s">
        <v>159</v>
      </c>
      <c r="C21" s="111"/>
      <c r="D21" s="112"/>
      <c r="E21" s="9">
        <v>481091.78345799999</v>
      </c>
      <c r="F21" s="14" t="s">
        <v>3</v>
      </c>
      <c r="G21" s="1"/>
    </row>
    <row r="22" spans="1:7" x14ac:dyDescent="0.25">
      <c r="A22" s="1"/>
      <c r="B22" s="93" t="s">
        <v>10</v>
      </c>
      <c r="C22" s="94"/>
      <c r="D22" s="95"/>
      <c r="E22" s="9">
        <f>-E21*'Fane 5. Individuelt eff. krav'!G11</f>
        <v>-1777.6397350196446</v>
      </c>
      <c r="F22" s="14" t="s">
        <v>3</v>
      </c>
      <c r="G22" s="1"/>
    </row>
    <row r="23" spans="1:7" x14ac:dyDescent="0.25">
      <c r="A23" s="1"/>
      <c r="B23" s="93" t="s">
        <v>39</v>
      </c>
      <c r="C23" s="94"/>
      <c r="D23" s="95"/>
      <c r="E23" s="9">
        <f>-E21*'Fane 15. Nøgletal'!C25</f>
        <v>-9621.8356691600002</v>
      </c>
      <c r="F23" s="14" t="s">
        <v>3</v>
      </c>
      <c r="G23" s="1"/>
    </row>
    <row r="24" spans="1:7" x14ac:dyDescent="0.25">
      <c r="A24" s="1"/>
      <c r="B24" s="83" t="s">
        <v>166</v>
      </c>
      <c r="C24" s="84"/>
      <c r="D24" s="85"/>
      <c r="E24" s="12">
        <f>SUM(E21:E23)*(1+'Fane 15. Nøgletal'!C12)^4</f>
        <v>507812.19388918427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83" t="s">
        <v>163</v>
      </c>
      <c r="C26" s="84"/>
      <c r="D26" s="84"/>
      <c r="E26" s="84"/>
      <c r="F26" s="85"/>
      <c r="G26" s="1"/>
    </row>
    <row r="27" spans="1:7" x14ac:dyDescent="0.25">
      <c r="A27" s="1"/>
      <c r="B27" s="110" t="s">
        <v>159</v>
      </c>
      <c r="C27" s="111"/>
      <c r="D27" s="112"/>
      <c r="E27" s="9">
        <v>481091.78345799999</v>
      </c>
      <c r="F27" s="14" t="s">
        <v>3</v>
      </c>
      <c r="G27" s="1"/>
    </row>
    <row r="28" spans="1:7" x14ac:dyDescent="0.25">
      <c r="A28" s="1"/>
      <c r="B28" s="93" t="s">
        <v>10</v>
      </c>
      <c r="C28" s="94"/>
      <c r="D28" s="95"/>
      <c r="E28" s="9">
        <f>-E27*'Fane 5. Individuelt eff. krav'!G11</f>
        <v>-1777.6397350196446</v>
      </c>
      <c r="F28" s="14" t="s">
        <v>3</v>
      </c>
      <c r="G28" s="1"/>
    </row>
    <row r="29" spans="1:7" x14ac:dyDescent="0.25">
      <c r="A29" s="1"/>
      <c r="B29" s="93" t="s">
        <v>39</v>
      </c>
      <c r="C29" s="94"/>
      <c r="D29" s="95"/>
      <c r="E29" s="9">
        <f>-E27*'Fane 15. Nøgletal'!C25</f>
        <v>-9621.8356691600002</v>
      </c>
      <c r="F29" s="14" t="s">
        <v>3</v>
      </c>
      <c r="G29" s="1"/>
    </row>
    <row r="30" spans="1:7" x14ac:dyDescent="0.25">
      <c r="A30" s="1"/>
      <c r="B30" s="83" t="s">
        <v>167</v>
      </c>
      <c r="C30" s="84"/>
      <c r="D30" s="85"/>
      <c r="E30" s="12">
        <f>SUM(E27:E29)*(1+'Fane 15. Nøgletal'!C12)^5</f>
        <v>517816.09410880122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NUCo5sXplBR7WUDPu4VLXDNHplAAtW2U4m7Dm/Rle4R6PzhYEXGSrQRQ+Aqn7SmhMLase7ApbigRncFBPfLxLA==" saltValue="z6toAJD+Uqkthz9aN0qO6A==" spinCount="100000" sheet="1" objects="1" scenarios="1"/>
  <mergeCells count="21">
    <mergeCell ref="B30:D30"/>
    <mergeCell ref="B26:F26"/>
    <mergeCell ref="B27:D27"/>
    <mergeCell ref="B24:D24"/>
    <mergeCell ref="B21:D21"/>
    <mergeCell ref="B22:D22"/>
    <mergeCell ref="B23:D23"/>
    <mergeCell ref="B28:D28"/>
    <mergeCell ref="B29:D29"/>
    <mergeCell ref="B3:F5"/>
    <mergeCell ref="B8:F8"/>
    <mergeCell ref="B9:D9"/>
    <mergeCell ref="B18:D18"/>
    <mergeCell ref="B20:F20"/>
    <mergeCell ref="B14:F14"/>
    <mergeCell ref="B15:D15"/>
    <mergeCell ref="B12:D12"/>
    <mergeCell ref="B10:D10"/>
    <mergeCell ref="B11:D11"/>
    <mergeCell ref="B16:D16"/>
    <mergeCell ref="B17:D1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G46"/>
  <sheetViews>
    <sheetView showGridLines="0" view="pageLayout" zoomScaleNormal="100" workbookViewId="0"/>
  </sheetViews>
  <sheetFormatPr defaultColWidth="9.140625" defaultRowHeight="15" x14ac:dyDescent="0.25"/>
  <cols>
    <col min="1" max="1" width="5.42578125" style="2" customWidth="1"/>
    <col min="2" max="2" width="36.42578125" style="2" customWidth="1"/>
    <col min="3" max="3" width="15.5703125" style="2" customWidth="1"/>
    <col min="4" max="4" width="3.28515625" style="2" customWidth="1"/>
    <col min="5" max="5" width="17.140625" style="2" customWidth="1"/>
    <col min="6" max="6" width="3.28515625" style="2" customWidth="1"/>
    <col min="7" max="7" width="5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2" t="s">
        <v>223</v>
      </c>
      <c r="C3" s="92"/>
      <c r="D3" s="92"/>
      <c r="E3" s="92"/>
      <c r="F3" s="92"/>
      <c r="G3" s="1"/>
    </row>
    <row r="4" spans="1:7" ht="25.5" customHeight="1" x14ac:dyDescent="0.25">
      <c r="A4" s="1"/>
      <c r="B4" s="92"/>
      <c r="C4" s="92"/>
      <c r="D4" s="92"/>
      <c r="E4" s="92"/>
      <c r="F4" s="92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3" t="s">
        <v>32</v>
      </c>
      <c r="C8" s="84"/>
      <c r="D8" s="84"/>
      <c r="E8" s="84"/>
      <c r="F8" s="85"/>
      <c r="G8" s="1"/>
    </row>
    <row r="9" spans="1:7" ht="15" customHeight="1" x14ac:dyDescent="0.25">
      <c r="A9" s="1"/>
      <c r="B9" s="38" t="s">
        <v>33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256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ht="28.5" customHeight="1" x14ac:dyDescent="0.25">
      <c r="A11" s="1"/>
      <c r="B11" s="23" t="s">
        <v>34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ht="27" customHeight="1" x14ac:dyDescent="0.25">
      <c r="A12" s="1"/>
      <c r="B12" s="23" t="s">
        <v>72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</sheetData>
  <sheetProtection algorithmName="SHA-512" hashValue="P063VCEMT0dG/wr5CYsFgwYRfyfvDqpnKDIM52Az0zy89c0LyHuk6qiFLS2z/4p5EtvwQ7Em4sqsgKcsZfgklw==" saltValue="8KjY9INgCcnW0gfPncj3Eg==" spinCount="100000" sheet="1" objects="1" scenarios="1"/>
  <mergeCells count="2">
    <mergeCell ref="B3:F4"/>
    <mergeCell ref="B8:F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15.7109375" style="2" customWidth="1"/>
    <col min="4" max="4" width="3.28515625" style="2" customWidth="1"/>
    <col min="5" max="5" width="18.425781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2" t="s">
        <v>222</v>
      </c>
      <c r="C3" s="92"/>
      <c r="D3" s="92"/>
      <c r="E3" s="92"/>
      <c r="F3" s="92"/>
      <c r="G3" s="1"/>
    </row>
    <row r="4" spans="1:7" ht="25.5" customHeight="1" x14ac:dyDescent="0.25">
      <c r="A4" s="1"/>
      <c r="B4" s="92"/>
      <c r="C4" s="92"/>
      <c r="D4" s="92"/>
      <c r="E4" s="92"/>
      <c r="F4" s="92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3" t="s">
        <v>169</v>
      </c>
      <c r="C8" s="84"/>
      <c r="D8" s="84"/>
      <c r="E8" s="84"/>
      <c r="F8" s="85"/>
      <c r="G8" s="1"/>
    </row>
    <row r="9" spans="1:7" ht="15" customHeight="1" x14ac:dyDescent="0.25">
      <c r="A9" s="1"/>
      <c r="B9" s="38" t="s">
        <v>26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257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61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40" t="s">
        <v>71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83" t="s">
        <v>170</v>
      </c>
      <c r="C14" s="84"/>
      <c r="D14" s="84"/>
      <c r="E14" s="84"/>
      <c r="F14" s="85"/>
      <c r="G14" s="1"/>
    </row>
    <row r="15" spans="1:7" ht="26.25" x14ac:dyDescent="0.25">
      <c r="A15" s="1"/>
      <c r="B15" s="38" t="s">
        <v>26</v>
      </c>
      <c r="C15" s="38" t="s">
        <v>16</v>
      </c>
      <c r="D15" s="39"/>
      <c r="E15" s="38" t="s">
        <v>48</v>
      </c>
      <c r="F15" s="39"/>
      <c r="G15" s="1"/>
    </row>
    <row r="16" spans="1:7" x14ac:dyDescent="0.25">
      <c r="A16" s="1"/>
      <c r="B16" s="27" t="s">
        <v>257</v>
      </c>
      <c r="C16" s="9">
        <v>0</v>
      </c>
      <c r="D16" s="14" t="s">
        <v>3</v>
      </c>
      <c r="E16" s="9">
        <v>0</v>
      </c>
      <c r="F16" s="14" t="s">
        <v>3</v>
      </c>
      <c r="G16" s="1"/>
    </row>
    <row r="17" spans="1:7" x14ac:dyDescent="0.25">
      <c r="A17" s="1"/>
      <c r="B17" s="40" t="s">
        <v>61</v>
      </c>
      <c r="C17" s="12">
        <f>SUM(C16:C16)</f>
        <v>0</v>
      </c>
      <c r="D17" s="13" t="s">
        <v>3</v>
      </c>
      <c r="E17" s="12">
        <f>SUM(E16:E16)</f>
        <v>0</v>
      </c>
      <c r="F17" s="13" t="s">
        <v>3</v>
      </c>
      <c r="G17" s="1"/>
    </row>
    <row r="18" spans="1:7" x14ac:dyDescent="0.25">
      <c r="A18" s="1"/>
      <c r="B18" s="40" t="s">
        <v>152</v>
      </c>
      <c r="C18" s="12">
        <f>C17*(1+'Fane 15. Nøgletal'!C12)^2</f>
        <v>0</v>
      </c>
      <c r="D18" s="13" t="s">
        <v>3</v>
      </c>
      <c r="E18" s="12">
        <f>E17*(1+'Fane 15. Nøgletal'!C12)^2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83" t="s">
        <v>168</v>
      </c>
      <c r="C20" s="84"/>
      <c r="D20" s="84"/>
      <c r="E20" s="84"/>
      <c r="F20" s="85"/>
      <c r="G20" s="1"/>
    </row>
    <row r="21" spans="1:7" ht="26.25" x14ac:dyDescent="0.25">
      <c r="A21" s="1"/>
      <c r="B21" s="38" t="s">
        <v>26</v>
      </c>
      <c r="C21" s="38" t="s">
        <v>16</v>
      </c>
      <c r="D21" s="39"/>
      <c r="E21" s="38" t="s">
        <v>48</v>
      </c>
      <c r="F21" s="39"/>
      <c r="G21" s="1"/>
    </row>
    <row r="22" spans="1:7" x14ac:dyDescent="0.25">
      <c r="A22" s="1"/>
      <c r="B22" s="27" t="s">
        <v>257</v>
      </c>
      <c r="C22" s="9">
        <v>0</v>
      </c>
      <c r="D22" s="14" t="s">
        <v>3</v>
      </c>
      <c r="E22" s="9">
        <v>0</v>
      </c>
      <c r="F22" s="14" t="s">
        <v>3</v>
      </c>
      <c r="G22" s="1"/>
    </row>
    <row r="23" spans="1:7" x14ac:dyDescent="0.25">
      <c r="A23" s="1"/>
      <c r="B23" s="40" t="s">
        <v>61</v>
      </c>
      <c r="C23" s="12">
        <f>SUM(C22:C22)</f>
        <v>0</v>
      </c>
      <c r="D23" s="13" t="s">
        <v>3</v>
      </c>
      <c r="E23" s="12">
        <f>SUM(E22:E22)</f>
        <v>0</v>
      </c>
      <c r="F23" s="13" t="s">
        <v>3</v>
      </c>
      <c r="G23" s="1"/>
    </row>
    <row r="24" spans="1:7" x14ac:dyDescent="0.25">
      <c r="A24" s="1"/>
      <c r="B24" s="40" t="s">
        <v>153</v>
      </c>
      <c r="C24" s="12">
        <f>C23*(1+'Fane 15. Nøgletal'!C12)^3</f>
        <v>0</v>
      </c>
      <c r="D24" s="13" t="s">
        <v>3</v>
      </c>
      <c r="E24" s="12">
        <f>E23*(1+'Fane 15. Nøgletal'!C12)^3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83" t="s">
        <v>171</v>
      </c>
      <c r="C26" s="84"/>
      <c r="D26" s="84"/>
      <c r="E26" s="84"/>
      <c r="F26" s="85"/>
      <c r="G26" s="1"/>
    </row>
    <row r="27" spans="1:7" ht="26.25" x14ac:dyDescent="0.25">
      <c r="A27" s="1"/>
      <c r="B27" s="38" t="s">
        <v>26</v>
      </c>
      <c r="C27" s="38" t="s">
        <v>16</v>
      </c>
      <c r="D27" s="39"/>
      <c r="E27" s="38" t="s">
        <v>48</v>
      </c>
      <c r="F27" s="39"/>
      <c r="G27" s="1"/>
    </row>
    <row r="28" spans="1:7" x14ac:dyDescent="0.25">
      <c r="A28" s="1"/>
      <c r="B28" s="27" t="s">
        <v>257</v>
      </c>
      <c r="C28" s="9">
        <v>0</v>
      </c>
      <c r="D28" s="14" t="s">
        <v>3</v>
      </c>
      <c r="E28" s="9">
        <v>0</v>
      </c>
      <c r="F28" s="14" t="s">
        <v>3</v>
      </c>
      <c r="G28" s="1"/>
    </row>
    <row r="29" spans="1:7" x14ac:dyDescent="0.25">
      <c r="A29" s="1"/>
      <c r="B29" s="40" t="s">
        <v>61</v>
      </c>
      <c r="C29" s="12">
        <f>SUM(C28:C28)</f>
        <v>0</v>
      </c>
      <c r="D29" s="13" t="s">
        <v>3</v>
      </c>
      <c r="E29" s="12">
        <f>SUM(E28:E28)</f>
        <v>0</v>
      </c>
      <c r="F29" s="13" t="s">
        <v>3</v>
      </c>
      <c r="G29" s="1"/>
    </row>
    <row r="30" spans="1:7" x14ac:dyDescent="0.25">
      <c r="A30" s="1"/>
      <c r="B30" s="40" t="s">
        <v>154</v>
      </c>
      <c r="C30" s="12">
        <f>C29*(1+'Fane 15. Nøgletal'!C12)^4</f>
        <v>0</v>
      </c>
      <c r="D30" s="13" t="s">
        <v>3</v>
      </c>
      <c r="E30" s="12">
        <f>E29*(1+'Fane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heFopFAE53MeiGdso3FgXxgTlNRUcv0ifa4Zkv5ZRwipbC7QGYVEMsiHs8AlYIOkr5uRFBZlO1aCAOCt5HixVA==" saltValue="LKJTUD6oQMMkHwIZjyM3wA==" spinCount="100000" sheet="1" objects="1" scenarios="1"/>
  <mergeCells count="5">
    <mergeCell ref="B3:F4"/>
    <mergeCell ref="B8:F8"/>
    <mergeCell ref="B14:F14"/>
    <mergeCell ref="B20:F20"/>
    <mergeCell ref="B26:F2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9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8" t="s">
        <v>221</v>
      </c>
      <c r="C3" s="78"/>
      <c r="D3" s="78"/>
      <c r="E3" s="78"/>
      <c r="F3" s="78"/>
      <c r="G3" s="78"/>
      <c r="H3" s="78"/>
      <c r="I3" s="1"/>
    </row>
    <row r="4" spans="1:9" ht="15" customHeight="1" x14ac:dyDescent="0.25">
      <c r="A4" s="1"/>
      <c r="B4" s="78"/>
      <c r="C4" s="78"/>
      <c r="D4" s="78"/>
      <c r="E4" s="78"/>
      <c r="F4" s="78"/>
      <c r="G4" s="78"/>
      <c r="H4" s="78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83" t="s">
        <v>18</v>
      </c>
      <c r="C8" s="84"/>
      <c r="D8" s="84"/>
      <c r="E8" s="84"/>
      <c r="F8" s="84"/>
      <c r="G8" s="84"/>
      <c r="H8" s="85"/>
      <c r="I8" s="1"/>
    </row>
    <row r="9" spans="1:9" x14ac:dyDescent="0.25">
      <c r="A9" s="1"/>
      <c r="B9" s="96" t="s">
        <v>12</v>
      </c>
      <c r="C9" s="97"/>
      <c r="D9" s="97"/>
      <c r="E9" s="97"/>
      <c r="F9" s="98"/>
      <c r="G9" s="9">
        <v>-8297704</v>
      </c>
      <c r="H9" s="14" t="s">
        <v>3</v>
      </c>
      <c r="I9" s="1"/>
    </row>
    <row r="10" spans="1:9" x14ac:dyDescent="0.25">
      <c r="A10" s="1"/>
      <c r="B10" s="96" t="s">
        <v>137</v>
      </c>
      <c r="C10" s="97"/>
      <c r="D10" s="97"/>
      <c r="E10" s="97"/>
      <c r="F10" s="98"/>
      <c r="G10" s="9">
        <v>0</v>
      </c>
      <c r="H10" s="14" t="s">
        <v>3</v>
      </c>
      <c r="I10" s="1"/>
    </row>
    <row r="11" spans="1:9" x14ac:dyDescent="0.25">
      <c r="A11" s="1"/>
      <c r="B11" s="96" t="s">
        <v>77</v>
      </c>
      <c r="C11" s="97"/>
      <c r="D11" s="97"/>
      <c r="E11" s="97"/>
      <c r="F11" s="98"/>
      <c r="G11" s="9">
        <v>7398233.5132275131</v>
      </c>
      <c r="H11" s="14" t="s">
        <v>3</v>
      </c>
      <c r="I11" s="1"/>
    </row>
    <row r="12" spans="1:9" x14ac:dyDescent="0.25">
      <c r="A12" s="1"/>
      <c r="B12" s="113" t="s">
        <v>15</v>
      </c>
      <c r="C12" s="114"/>
      <c r="D12" s="114"/>
      <c r="E12" s="114"/>
      <c r="F12" s="115"/>
      <c r="G12" s="19">
        <f>(G9+G10)+G11</f>
        <v>-899470.48677248694</v>
      </c>
      <c r="H12" s="18" t="s">
        <v>3</v>
      </c>
      <c r="I12" s="1"/>
    </row>
    <row r="13" spans="1:9" x14ac:dyDescent="0.25">
      <c r="A13" s="1"/>
      <c r="B13" s="96" t="s">
        <v>13</v>
      </c>
      <c r="C13" s="97"/>
      <c r="D13" s="97"/>
      <c r="E13" s="97"/>
      <c r="F13" s="98"/>
      <c r="G13" s="9">
        <v>1</v>
      </c>
      <c r="H13" s="14" t="s">
        <v>28</v>
      </c>
      <c r="I13" s="1"/>
    </row>
    <row r="14" spans="1:9" x14ac:dyDescent="0.25">
      <c r="A14" s="1"/>
      <c r="B14" s="83" t="s">
        <v>138</v>
      </c>
      <c r="C14" s="84"/>
      <c r="D14" s="84"/>
      <c r="E14" s="84"/>
      <c r="F14" s="85"/>
      <c r="G14" s="12">
        <f>IF(G13 = 0,0,-G12/G13)</f>
        <v>899470.48677248694</v>
      </c>
      <c r="H14" s="13" t="s">
        <v>3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L56cYh0mhoD5vK3LVFmFDDaQXe/WJmrU8xXpoAA/hJZgbDGFq9qhYA5Feh3PtLEMTK73SAP6dNkm57EkgX6idA==" saltValue="HQ+RQQphBijGSOYivb7wvg==" spinCount="100000" sheet="1" objects="1" scenarios="1"/>
  <mergeCells count="8">
    <mergeCell ref="B13:F13"/>
    <mergeCell ref="B14:F14"/>
    <mergeCell ref="B3:H4"/>
    <mergeCell ref="B8:H8"/>
    <mergeCell ref="B9:F9"/>
    <mergeCell ref="B11:F11"/>
    <mergeCell ref="B12:F12"/>
    <mergeCell ref="B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49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2" width="58.5703125" style="2" customWidth="1"/>
    <col min="3" max="3" width="12.5703125" style="2" customWidth="1"/>
    <col min="4" max="4" width="2.85546875" style="2" bestFit="1" customWidth="1"/>
    <col min="5" max="5" width="6.28515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8" t="s">
        <v>62</v>
      </c>
      <c r="C3" s="78"/>
      <c r="D3" s="78"/>
      <c r="E3" s="1"/>
    </row>
    <row r="4" spans="1:5" ht="15" customHeight="1" x14ac:dyDescent="0.25">
      <c r="A4" s="1"/>
      <c r="B4" s="78"/>
      <c r="C4" s="78"/>
      <c r="D4" s="78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x14ac:dyDescent="0.25">
      <c r="A9" s="1"/>
      <c r="B9" s="35" t="s">
        <v>35</v>
      </c>
      <c r="C9" s="7">
        <f>'Fane 3. Omkostninger i ØR2019'!E20</f>
        <v>67170213.381907105</v>
      </c>
      <c r="D9" s="8" t="s">
        <v>3</v>
      </c>
      <c r="E9" s="1"/>
    </row>
    <row r="10" spans="1:5" ht="17.100000000000001" customHeight="1" x14ac:dyDescent="0.25">
      <c r="A10" s="1"/>
      <c r="B10" s="48" t="s">
        <v>64</v>
      </c>
      <c r="C10" s="7">
        <f>'Fane 10.1. Varige tillæg'!C13</f>
        <v>143879.67000000001</v>
      </c>
      <c r="D10" s="8" t="s">
        <v>3</v>
      </c>
      <c r="E10" s="1"/>
    </row>
    <row r="11" spans="1:5" ht="17.100000000000001" customHeight="1" x14ac:dyDescent="0.25">
      <c r="A11" s="1"/>
      <c r="B11" s="48" t="s">
        <v>65</v>
      </c>
      <c r="C11" s="9">
        <f>'Fane 10.1. Varige tillæg'!E13</f>
        <v>286433.51926199999</v>
      </c>
      <c r="D11" s="8" t="s">
        <v>3</v>
      </c>
      <c r="E11" s="1"/>
    </row>
    <row r="12" spans="1:5" ht="17.100000000000001" customHeight="1" x14ac:dyDescent="0.25">
      <c r="A12" s="1"/>
      <c r="B12" s="48" t="s">
        <v>42</v>
      </c>
      <c r="C12" s="9">
        <f>-'Fane 13. Bortfald'!C12</f>
        <v>0</v>
      </c>
      <c r="D12" s="8" t="s">
        <v>3</v>
      </c>
      <c r="E12" s="1"/>
    </row>
    <row r="13" spans="1:5" ht="17.100000000000001" customHeight="1" x14ac:dyDescent="0.25">
      <c r="A13" s="1"/>
      <c r="B13" s="48" t="s">
        <v>41</v>
      </c>
      <c r="C13" s="9">
        <f>-'Fane 13. Bortfald'!E12</f>
        <v>0</v>
      </c>
      <c r="D13" s="8" t="s">
        <v>3</v>
      </c>
      <c r="E13" s="1"/>
    </row>
    <row r="14" spans="1:5" ht="17.100000000000001" customHeight="1" x14ac:dyDescent="0.25">
      <c r="A14" s="1"/>
      <c r="B14" s="48" t="s">
        <v>44</v>
      </c>
      <c r="C14" s="9">
        <f>'Fane 12. Tilknyttet aktivitet'!C12</f>
        <v>0</v>
      </c>
      <c r="D14" s="8" t="s">
        <v>3</v>
      </c>
      <c r="E14" s="1"/>
    </row>
    <row r="15" spans="1:5" ht="17.100000000000001" customHeight="1" x14ac:dyDescent="0.25">
      <c r="A15" s="1"/>
      <c r="B15" s="48" t="s">
        <v>43</v>
      </c>
      <c r="C15" s="9">
        <f>'Fane 12. Tilknyttet aktivitet'!E12</f>
        <v>0</v>
      </c>
      <c r="D15" s="8" t="s">
        <v>3</v>
      </c>
      <c r="E15" s="1"/>
    </row>
    <row r="16" spans="1:5" ht="17.100000000000001" customHeight="1" x14ac:dyDescent="0.25">
      <c r="A16" s="1"/>
      <c r="B16" s="48" t="s">
        <v>27</v>
      </c>
      <c r="C16" s="9">
        <f>SUM(C9:C15)*'Fane 15. Nøgletal'!C12</f>
        <v>1331730.3734520313</v>
      </c>
      <c r="D16" s="8" t="s">
        <v>3</v>
      </c>
      <c r="E16" s="1"/>
    </row>
    <row r="17" spans="1:5" ht="17.100000000000001" customHeight="1" x14ac:dyDescent="0.25">
      <c r="A17" s="1"/>
      <c r="B17" s="48" t="s">
        <v>10</v>
      </c>
      <c r="C17" s="9">
        <f>-SUM(C9:C16)*'Fane 5. Individuelt eff. krav'!G11</f>
        <v>-254705.4910989558</v>
      </c>
      <c r="D17" s="8" t="s">
        <v>3</v>
      </c>
      <c r="E17" s="1"/>
    </row>
    <row r="18" spans="1:5" ht="17.100000000000001" customHeight="1" x14ac:dyDescent="0.25">
      <c r="A18" s="1"/>
      <c r="B18" s="48" t="s">
        <v>39</v>
      </c>
      <c r="C18" s="9">
        <f>-'Fane 4.1. Gen. krav - drift'!G28</f>
        <v>-454393.66756692255</v>
      </c>
      <c r="D18" s="8" t="s">
        <v>3</v>
      </c>
      <c r="E18" s="1"/>
    </row>
    <row r="19" spans="1:5" ht="17.100000000000001" customHeight="1" x14ac:dyDescent="0.25">
      <c r="A19" s="1"/>
      <c r="B19" s="48" t="s">
        <v>40</v>
      </c>
      <c r="C19" s="9">
        <f>-'Fane 4.2. Gen. krav - anlæg'!G25</f>
        <v>-1361731.4552804758</v>
      </c>
      <c r="D19" s="8" t="s">
        <v>3</v>
      </c>
      <c r="E19" s="1"/>
    </row>
    <row r="20" spans="1:5" ht="17.100000000000001" customHeight="1" x14ac:dyDescent="0.25">
      <c r="A20" s="1"/>
      <c r="B20" s="49" t="s">
        <v>29</v>
      </c>
      <c r="C20" s="10">
        <f>SUM(C9:C19)</f>
        <v>66861426.33067479</v>
      </c>
      <c r="D20" s="11" t="s">
        <v>3</v>
      </c>
      <c r="E20" s="1"/>
    </row>
    <row r="21" spans="1:5" ht="15" customHeight="1" x14ac:dyDescent="0.25">
      <c r="A21" s="1"/>
      <c r="B21" s="40" t="s">
        <v>17</v>
      </c>
      <c r="C21" s="34"/>
      <c r="D21" s="22"/>
      <c r="E21" s="1"/>
    </row>
    <row r="22" spans="1:5" ht="15" customHeight="1" x14ac:dyDescent="0.25">
      <c r="A22" s="1"/>
      <c r="B22" s="38" t="s">
        <v>17</v>
      </c>
      <c r="C22" s="10">
        <f>'Fane 6. Ikke-påvirkelige omk.'!C16+'Fane 6. Ikke-påvirkelige omk.'!C20+'Fane 6. Ikke-påvirkelige omk.'!C28</f>
        <v>2962993.6842159159</v>
      </c>
      <c r="D22" s="11" t="s">
        <v>3</v>
      </c>
      <c r="E22" s="1"/>
    </row>
    <row r="23" spans="1:5" ht="15" customHeight="1" x14ac:dyDescent="0.25">
      <c r="A23" s="1"/>
      <c r="B23" s="40" t="s">
        <v>145</v>
      </c>
      <c r="C23" s="34"/>
      <c r="D23" s="22"/>
      <c r="E23" s="1"/>
    </row>
    <row r="24" spans="1:5" ht="15" customHeight="1" x14ac:dyDescent="0.25">
      <c r="A24" s="1"/>
      <c r="B24" s="49" t="s">
        <v>145</v>
      </c>
      <c r="C24" s="10">
        <f>'Fane 11. Periodevise driftsomk.'!E12</f>
        <v>488380.46787897346</v>
      </c>
      <c r="D24" s="11" t="s">
        <v>3</v>
      </c>
      <c r="E24" s="1"/>
    </row>
    <row r="25" spans="1:5" ht="15" customHeight="1" x14ac:dyDescent="0.25">
      <c r="A25" s="1"/>
      <c r="B25" s="40" t="s">
        <v>144</v>
      </c>
      <c r="C25" s="34"/>
      <c r="D25" s="22"/>
      <c r="E25" s="1"/>
    </row>
    <row r="26" spans="1:5" ht="15" customHeight="1" x14ac:dyDescent="0.25">
      <c r="A26" s="1"/>
      <c r="B26" s="48" t="s">
        <v>140</v>
      </c>
      <c r="C26" s="9">
        <f>'Fane 10.2. Engangstillæg'!C14</f>
        <v>0</v>
      </c>
      <c r="D26" s="8" t="s">
        <v>3</v>
      </c>
      <c r="E26" s="1"/>
    </row>
    <row r="27" spans="1:5" ht="15" customHeight="1" x14ac:dyDescent="0.25">
      <c r="A27" s="1"/>
      <c r="B27" s="48" t="s">
        <v>141</v>
      </c>
      <c r="C27" s="9">
        <f>'Fane 10.2. Engangstillæg'!E14</f>
        <v>0</v>
      </c>
      <c r="D27" s="8" t="s">
        <v>3</v>
      </c>
      <c r="E27" s="1"/>
    </row>
    <row r="28" spans="1:5" x14ac:dyDescent="0.25">
      <c r="A28" s="1"/>
      <c r="B28" s="49" t="s">
        <v>147</v>
      </c>
      <c r="C28" s="10">
        <f>SUM(C26:C27)</f>
        <v>0</v>
      </c>
      <c r="D28" s="11" t="s">
        <v>3</v>
      </c>
      <c r="E28" s="1"/>
    </row>
    <row r="29" spans="1:5" x14ac:dyDescent="0.25">
      <c r="A29" s="1"/>
      <c r="B29" s="40" t="s">
        <v>11</v>
      </c>
      <c r="C29" s="34"/>
      <c r="D29" s="22"/>
      <c r="E29" s="1"/>
    </row>
    <row r="30" spans="1:5" ht="15" customHeight="1" x14ac:dyDescent="0.25">
      <c r="A30" s="1"/>
      <c r="B30" s="38" t="s">
        <v>19</v>
      </c>
      <c r="C30" s="10">
        <f>'Fane 14. Hist. over-underdæk.'!G14</f>
        <v>899470.48677248694</v>
      </c>
      <c r="D30" s="11" t="s">
        <v>3</v>
      </c>
      <c r="E30" s="1"/>
    </row>
    <row r="31" spans="1:5" x14ac:dyDescent="0.25">
      <c r="A31" s="1"/>
      <c r="B31" s="40" t="s">
        <v>174</v>
      </c>
      <c r="C31" s="34"/>
      <c r="D31" s="22"/>
      <c r="E31" s="1"/>
    </row>
    <row r="32" spans="1:5" x14ac:dyDescent="0.25">
      <c r="A32" s="1"/>
      <c r="B32" s="38" t="s">
        <v>209</v>
      </c>
      <c r="C32" s="10">
        <f>'Fane 7. Kontrol af ØR2018'!E28</f>
        <v>0</v>
      </c>
      <c r="D32" s="11" t="s">
        <v>3</v>
      </c>
      <c r="E32" s="1"/>
    </row>
    <row r="33" spans="1:5" ht="15" customHeight="1" x14ac:dyDescent="0.25">
      <c r="A33" s="1"/>
      <c r="B33" s="40" t="s">
        <v>249</v>
      </c>
      <c r="C33" s="34"/>
      <c r="D33" s="22"/>
      <c r="E33" s="1"/>
    </row>
    <row r="34" spans="1:5" x14ac:dyDescent="0.25">
      <c r="A34" s="1"/>
      <c r="B34" s="38" t="s">
        <v>250</v>
      </c>
      <c r="C34" s="10">
        <f>'Fane 8. Korrektioner'!E20</f>
        <v>12570.584587020916</v>
      </c>
      <c r="D34" s="11" t="s">
        <v>3</v>
      </c>
      <c r="E34" s="1"/>
    </row>
    <row r="35" spans="1:5" x14ac:dyDescent="0.25">
      <c r="A35" s="1"/>
      <c r="B35" s="40" t="s">
        <v>36</v>
      </c>
      <c r="C35" s="36">
        <f>SUM(C34,C32,C30,C28,C24,C22,C20)</f>
        <v>71224841.554129183</v>
      </c>
      <c r="D35" s="37" t="s">
        <v>3</v>
      </c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sheetProtection algorithmName="SHA-512" hashValue="ojwjmIaFCuhGwcnyYpcIRoVKRynPkziDUulndHE7YDjN9yMHojQmBBryIyRjz4bjNObWViOzJDTrgw+Sinu0wg==" saltValue="eMX+kGgnEZ7do8L6wuBxRA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D49"/>
  <sheetViews>
    <sheetView showGridLines="0" view="pageLayout" zoomScaleNormal="100" workbookViewId="0"/>
  </sheetViews>
  <sheetFormatPr defaultColWidth="9.140625" defaultRowHeight="15" x14ac:dyDescent="0.25"/>
  <cols>
    <col min="1" max="1" width="11.140625" style="2" customWidth="1"/>
    <col min="2" max="2" width="55.42578125" style="2" customWidth="1"/>
    <col min="3" max="3" width="6.28515625" style="2" customWidth="1"/>
    <col min="4" max="4" width="12.28515625" style="2" customWidth="1"/>
    <col min="5" max="16384" width="9.140625" style="2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5" customHeight="1" x14ac:dyDescent="0.25">
      <c r="A3" s="1"/>
      <c r="B3" s="92" t="s">
        <v>248</v>
      </c>
      <c r="C3" s="92"/>
      <c r="D3" s="1"/>
    </row>
    <row r="4" spans="1:4" ht="25.5" customHeight="1" x14ac:dyDescent="0.25">
      <c r="A4" s="1"/>
      <c r="B4" s="92"/>
      <c r="C4" s="92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40" t="s">
        <v>21</v>
      </c>
      <c r="C8" s="22"/>
      <c r="D8" s="1"/>
    </row>
    <row r="9" spans="1:4" x14ac:dyDescent="0.25">
      <c r="A9" s="1"/>
      <c r="B9" s="54" t="s">
        <v>228</v>
      </c>
      <c r="C9" s="28">
        <v>1.2699999999999999E-2</v>
      </c>
      <c r="D9" s="1"/>
    </row>
    <row r="10" spans="1:4" x14ac:dyDescent="0.25">
      <c r="A10" s="1"/>
      <c r="B10" s="54" t="s">
        <v>229</v>
      </c>
      <c r="C10" s="28">
        <v>1.7500000000000002E-2</v>
      </c>
      <c r="D10" s="1"/>
    </row>
    <row r="11" spans="1:4" x14ac:dyDescent="0.25">
      <c r="A11" s="1"/>
      <c r="B11" s="54" t="s">
        <v>31</v>
      </c>
      <c r="C11" s="28">
        <v>1.6899999999999998E-2</v>
      </c>
      <c r="D11" s="1"/>
    </row>
    <row r="12" spans="1:4" x14ac:dyDescent="0.25">
      <c r="A12" s="1"/>
      <c r="B12" s="41" t="s">
        <v>230</v>
      </c>
      <c r="C12" s="42">
        <v>1.9699999999999999E-2</v>
      </c>
      <c r="D12" s="1"/>
    </row>
    <row r="13" spans="1:4" x14ac:dyDescent="0.25">
      <c r="A13" s="1"/>
      <c r="B13" s="40"/>
      <c r="C13" s="22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40" t="s">
        <v>205</v>
      </c>
      <c r="C16" s="22"/>
      <c r="D16" s="1"/>
    </row>
    <row r="17" spans="1:4" x14ac:dyDescent="0.25">
      <c r="A17" s="1"/>
      <c r="B17" s="54" t="s">
        <v>231</v>
      </c>
      <c r="C17" s="25">
        <v>9.1000000000000004E-3</v>
      </c>
      <c r="D17" s="1"/>
    </row>
    <row r="18" spans="1:4" x14ac:dyDescent="0.25">
      <c r="A18" s="1"/>
      <c r="B18" s="54" t="s">
        <v>232</v>
      </c>
      <c r="C18" s="25">
        <v>1.77E-2</v>
      </c>
      <c r="D18" s="1"/>
    </row>
    <row r="19" spans="1:4" x14ac:dyDescent="0.25">
      <c r="A19" s="1"/>
      <c r="B19" s="54" t="s">
        <v>233</v>
      </c>
      <c r="C19" s="25">
        <v>8.6999999999999994E-3</v>
      </c>
      <c r="D19" s="1"/>
    </row>
    <row r="20" spans="1:4" x14ac:dyDescent="0.25">
      <c r="A20" s="1"/>
      <c r="B20" s="54" t="s">
        <v>234</v>
      </c>
      <c r="C20" s="43">
        <v>2.8400000000000002E-2</v>
      </c>
      <c r="D20" s="1"/>
    </row>
    <row r="21" spans="1:4" x14ac:dyDescent="0.25">
      <c r="A21" s="1"/>
      <c r="B21" s="40"/>
      <c r="C21" s="22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40" t="s">
        <v>206</v>
      </c>
      <c r="C24" s="22"/>
      <c r="D24" s="1"/>
    </row>
    <row r="25" spans="1:4" x14ac:dyDescent="0.25">
      <c r="A25" s="1"/>
      <c r="B25" s="54" t="s">
        <v>235</v>
      </c>
      <c r="C25" s="28">
        <v>0.02</v>
      </c>
      <c r="D25" s="1"/>
    </row>
    <row r="26" spans="1:4" x14ac:dyDescent="0.25">
      <c r="A26" s="1"/>
      <c r="B26" s="40"/>
      <c r="C26" s="22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</sheetData>
  <sheetProtection algorithmName="SHA-512" hashValue="ppHcyFc97TTBGrPVA6mF8jBfohjP+ARYO0cVD8ADoVzUIaB8SMgMVvCh14HWtTTh1FPHJmKnlM4AWU2lLjEo9A==" saltValue="JkuiIYwjVWNUGACz7QzJfw==" spinCount="100000" sheet="1" objects="1" scenarios="1"/>
  <mergeCells count="1">
    <mergeCell ref="B3:C4"/>
  </mergeCells>
  <pageMargins left="0.8125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0.85546875" style="2" customWidth="1"/>
    <col min="3" max="3" width="12.2851562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8" t="s">
        <v>82</v>
      </c>
      <c r="C3" s="78"/>
      <c r="D3" s="78"/>
      <c r="E3" s="1"/>
    </row>
    <row r="4" spans="1:5" ht="15" customHeight="1" x14ac:dyDescent="0.25">
      <c r="A4" s="1"/>
      <c r="B4" s="78"/>
      <c r="C4" s="78"/>
      <c r="D4" s="78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2.1. Økonomisk ramme 2020'!C20</f>
        <v>66861426.33067479</v>
      </c>
      <c r="D9" s="8" t="s">
        <v>3</v>
      </c>
      <c r="E9" s="1"/>
    </row>
    <row r="10" spans="1:5" ht="15" customHeight="1" x14ac:dyDescent="0.25">
      <c r="A10" s="1"/>
      <c r="B10" s="48" t="s">
        <v>42</v>
      </c>
      <c r="C10" s="7">
        <f>-'Fane 13. Bortfald'!C18</f>
        <v>0</v>
      </c>
      <c r="D10" s="8" t="s">
        <v>3</v>
      </c>
      <c r="E10" s="1"/>
    </row>
    <row r="11" spans="1:5" ht="15" customHeight="1" x14ac:dyDescent="0.25">
      <c r="A11" s="1"/>
      <c r="B11" s="48" t="s">
        <v>41</v>
      </c>
      <c r="C11" s="7">
        <f>-'Fane 13. Bortfald'!E18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1317170.0987142932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-251920.70673003123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drift'!G34</f>
        <v>-454078.31836163113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anlæg'!G31</f>
        <v>-1349122.5301049354</v>
      </c>
      <c r="D15" s="8" t="s">
        <v>3</v>
      </c>
      <c r="E15" s="1"/>
    </row>
    <row r="16" spans="1:5" ht="15" customHeight="1" x14ac:dyDescent="0.25">
      <c r="A16" s="1"/>
      <c r="B16" s="33" t="s">
        <v>29</v>
      </c>
      <c r="C16" s="10">
        <f>SUM(C9:C15)</f>
        <v>66123474.874192491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omk.'!C16*(1+'Fane 15. Nøgletal'!C12)+'Fane 6. Ikke-påvirkelige omk.'!C21+'Fane 6. Ikke-påvirkelige omk.'!C29</f>
        <v>2991486.0834949696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9" t="s">
        <v>146</v>
      </c>
      <c r="C20" s="10">
        <f>'Fane 11. Periodevise driftsomk.'!E18</f>
        <v>498001.56309618923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48" t="s">
        <v>140</v>
      </c>
      <c r="C22" s="9">
        <f>'Fane 10.2. Engangstillæg'!C22</f>
        <v>0</v>
      </c>
      <c r="D22" s="8" t="s">
        <v>3</v>
      </c>
      <c r="E22" s="1"/>
    </row>
    <row r="23" spans="1:5" ht="15" customHeight="1" x14ac:dyDescent="0.25">
      <c r="A23" s="1"/>
      <c r="B23" s="48" t="s">
        <v>141</v>
      </c>
      <c r="C23" s="9">
        <f>'Fane 10.2. Engangstillæg'!E22</f>
        <v>0</v>
      </c>
      <c r="D23" s="8" t="s">
        <v>3</v>
      </c>
      <c r="E23" s="1"/>
    </row>
    <row r="24" spans="1:5" ht="15" customHeight="1" x14ac:dyDescent="0.25">
      <c r="A24" s="1"/>
      <c r="B24" s="49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174</v>
      </c>
      <c r="C25" s="34"/>
      <c r="D25" s="22"/>
      <c r="E25" s="1"/>
    </row>
    <row r="26" spans="1:5" ht="15" customHeight="1" x14ac:dyDescent="0.25">
      <c r="A26" s="1"/>
      <c r="B26" s="38" t="s">
        <v>209</v>
      </c>
      <c r="C26" s="10">
        <f>'Fane 2.1. Økonomisk ramme 2020'!C32</f>
        <v>0</v>
      </c>
      <c r="D26" s="11" t="s">
        <v>3</v>
      </c>
      <c r="E26" s="1"/>
    </row>
    <row r="27" spans="1:5" x14ac:dyDescent="0.25">
      <c r="A27" s="1"/>
      <c r="B27" s="40" t="s">
        <v>45</v>
      </c>
      <c r="C27" s="12">
        <f>SUM(C16,C18,C20,C24,C26)</f>
        <v>69612962.520783663</v>
      </c>
      <c r="D27" s="13" t="s">
        <v>3</v>
      </c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CwMUlEUwiIatKcxnpZSWwkX8gjIW2C2E6H1V8Cy6eh4unAvydcYOr9qG2oaVzE8Nyb3ofqdmHydYrecR9QR7NA==" saltValue="LQXCXKpld8wXDu5Db5kUXA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1406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8" t="s">
        <v>246</v>
      </c>
      <c r="C3" s="78"/>
      <c r="D3" s="78"/>
      <c r="E3" s="1"/>
    </row>
    <row r="4" spans="1:5" ht="15" customHeight="1" x14ac:dyDescent="0.25">
      <c r="A4" s="1"/>
      <c r="B4" s="78"/>
      <c r="C4" s="78"/>
      <c r="D4" s="78"/>
      <c r="E4" s="1"/>
    </row>
    <row r="5" spans="1:5" x14ac:dyDescent="0.25">
      <c r="A5" s="1"/>
      <c r="B5" s="79" t="s">
        <v>30</v>
      </c>
      <c r="C5" s="79"/>
      <c r="D5" s="79"/>
      <c r="E5" s="1"/>
    </row>
    <row r="6" spans="1:5" x14ac:dyDescent="0.25">
      <c r="A6" s="1"/>
      <c r="B6" s="46"/>
      <c r="C6" s="46"/>
      <c r="D6" s="46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38</v>
      </c>
      <c r="C9" s="7">
        <f>'Fane 2.2. Økonomisk ramme 2021'!C16</f>
        <v>66123474.874192491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Bortfald'!C24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Bortfald'!E24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1302632.4550215921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-249140.25075336613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drift'!G40</f>
        <v>-453763.18800868816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anlæg'!G37</f>
        <v>-1336630.3570198794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65386573.533432141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omk.'!C16*(1+'Fane 15. Nøgletal'!C12)^2+'Fane 6. Ikke-påvirkelige omk.'!C22+'Fane 6. Ikke-påvirkelige omk.'!C30</f>
        <v>1911226.7830398204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9" t="s">
        <v>146</v>
      </c>
      <c r="C20" s="10">
        <f>'Fane 11. Periodevise driftsomk.'!E24</f>
        <v>507812.19388918427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48" t="s">
        <v>140</v>
      </c>
      <c r="C22" s="9">
        <f>'Fane 10.2. Engangstillæg'!C30</f>
        <v>0</v>
      </c>
      <c r="D22" s="8" t="s">
        <v>3</v>
      </c>
      <c r="E22" s="1"/>
    </row>
    <row r="23" spans="1:5" ht="15" customHeight="1" x14ac:dyDescent="0.25">
      <c r="A23" s="1"/>
      <c r="B23" s="48" t="s">
        <v>141</v>
      </c>
      <c r="C23" s="9">
        <f>'Fane 10.2. Engangstillæg'!E30</f>
        <v>0</v>
      </c>
      <c r="D23" s="8" t="s">
        <v>3</v>
      </c>
      <c r="E23" s="1"/>
    </row>
    <row r="24" spans="1:5" ht="15" customHeight="1" x14ac:dyDescent="0.25">
      <c r="A24" s="1"/>
      <c r="B24" s="49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46</v>
      </c>
      <c r="C25" s="12">
        <f>SUM(C16,C18,C20,C24)</f>
        <v>67805612.51036115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cCnnFb7kQz+uJi1Y+yxHtqeBf2BXos7x/RFbwC85wWPGuCrKL8iHWeWsn7FysZo6U89N7AfmIBAL2HTdnj15DA==" saltValue="fRuXsfBhskJHUAw1nHfU2w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57031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8" t="s">
        <v>247</v>
      </c>
      <c r="C3" s="78"/>
      <c r="D3" s="78"/>
      <c r="E3" s="1"/>
    </row>
    <row r="4" spans="1:5" ht="15" customHeight="1" x14ac:dyDescent="0.25">
      <c r="A4" s="1"/>
      <c r="B4" s="78"/>
      <c r="C4" s="78"/>
      <c r="D4" s="78"/>
      <c r="E4" s="1"/>
    </row>
    <row r="5" spans="1:5" x14ac:dyDescent="0.25">
      <c r="A5" s="1"/>
      <c r="B5" s="79" t="s">
        <v>30</v>
      </c>
      <c r="C5" s="79"/>
      <c r="D5" s="79"/>
      <c r="E5" s="1"/>
    </row>
    <row r="6" spans="1:5" x14ac:dyDescent="0.25">
      <c r="A6" s="1"/>
      <c r="B6" s="46"/>
      <c r="C6" s="46"/>
      <c r="D6" s="46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272</v>
      </c>
      <c r="C9" s="7">
        <f>'Fane 2.3. Økonomisk ramme 2022'!C16</f>
        <v>65386573.533432141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Bortfald'!C30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Bortfald'!E30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C9*'Fane 15. Nøgletal'!C12</f>
        <v>1288115.4986086132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-246363.75140624578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drift'!G46</f>
        <v>-453448.27635621018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anlæg'!G43</f>
        <v>-1324253.8549616609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64650623.149316631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omk.'!C16*(1+'Fane 15. Nøgletal'!C12)^3+'Fane 6. Ikke-påvirkelige omk.'!C23+'Fane 6. Ikke-påvirkelige omk.'!C31</f>
        <v>1940852.8404657049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49" t="s">
        <v>146</v>
      </c>
      <c r="C20" s="10">
        <f>'Fane 11. Periodevise driftsomk.'!E30</f>
        <v>517816.09410880122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48" t="s">
        <v>140</v>
      </c>
      <c r="C22" s="9">
        <f>'Fane 10.2. Engangstillæg'!C38</f>
        <v>0</v>
      </c>
      <c r="D22" s="8" t="s">
        <v>3</v>
      </c>
      <c r="E22" s="1"/>
    </row>
    <row r="23" spans="1:5" ht="15" customHeight="1" x14ac:dyDescent="0.25">
      <c r="A23" s="1"/>
      <c r="B23" s="48" t="s">
        <v>141</v>
      </c>
      <c r="C23" s="9">
        <f>'Fane 10.2. Engangstillæg'!E38</f>
        <v>0</v>
      </c>
      <c r="D23" s="8" t="s">
        <v>3</v>
      </c>
      <c r="E23" s="1"/>
    </row>
    <row r="24" spans="1:5" ht="15" customHeight="1" x14ac:dyDescent="0.25">
      <c r="A24" s="1"/>
      <c r="B24" s="49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158</v>
      </c>
      <c r="C25" s="12">
        <f>SUM(C16,C18,C20,C24)</f>
        <v>67109292.083891138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Tk/lI7jdmiezLIYsjfHdTPymV0ByLe5kAIZ+t6T8JBdey5J9EcRn6IDFLH8mYbNNH/ngx+nQtK0uw6xZfzidjw==" saltValue="Vp2tjgF1oT8uWJrNOjd1/g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2" width="12.28515625" style="2" customWidth="1"/>
    <col min="3" max="3" width="12" style="2" customWidth="1"/>
    <col min="4" max="4" width="31.7109375" style="2" customWidth="1"/>
    <col min="5" max="5" width="10.85546875" style="2" customWidth="1"/>
    <col min="6" max="6" width="3.5703125" style="2" bestFit="1" customWidth="1"/>
    <col min="7" max="7" width="7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2" t="s">
        <v>243</v>
      </c>
      <c r="C3" s="92"/>
      <c r="D3" s="92"/>
      <c r="E3" s="92"/>
      <c r="F3" s="92"/>
      <c r="G3" s="1"/>
    </row>
    <row r="4" spans="1:7" ht="29.25" customHeight="1" x14ac:dyDescent="0.25">
      <c r="A4" s="1"/>
      <c r="B4" s="92"/>
      <c r="C4" s="92"/>
      <c r="D4" s="92"/>
      <c r="E4" s="92"/>
      <c r="F4" s="92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81</v>
      </c>
      <c r="C8" s="34"/>
      <c r="D8" s="34"/>
      <c r="E8" s="34"/>
      <c r="F8" s="22"/>
      <c r="G8" s="1"/>
    </row>
    <row r="9" spans="1:7" ht="15" customHeight="1" x14ac:dyDescent="0.25">
      <c r="A9" s="1"/>
      <c r="B9" s="80" t="s">
        <v>79</v>
      </c>
      <c r="C9" s="81"/>
      <c r="D9" s="82"/>
      <c r="E9" s="7">
        <v>67650752.801158175</v>
      </c>
      <c r="F9" s="8" t="s">
        <v>3</v>
      </c>
      <c r="G9" s="1"/>
    </row>
    <row r="10" spans="1:7" ht="15" customHeight="1" x14ac:dyDescent="0.25">
      <c r="A10" s="1"/>
      <c r="B10" s="93" t="s">
        <v>64</v>
      </c>
      <c r="C10" s="94"/>
      <c r="D10" s="95"/>
      <c r="E10" s="7">
        <v>0</v>
      </c>
      <c r="F10" s="8" t="s">
        <v>3</v>
      </c>
      <c r="G10" s="1"/>
    </row>
    <row r="11" spans="1:7" ht="15" customHeight="1" x14ac:dyDescent="0.25">
      <c r="A11" s="1"/>
      <c r="B11" s="93" t="s">
        <v>65</v>
      </c>
      <c r="C11" s="94"/>
      <c r="D11" s="95"/>
      <c r="E11" s="9">
        <v>189965.05519999997</v>
      </c>
      <c r="F11" s="8" t="s">
        <v>3</v>
      </c>
      <c r="G11" s="1"/>
    </row>
    <row r="12" spans="1:7" ht="15" customHeight="1" x14ac:dyDescent="0.25">
      <c r="A12" s="1"/>
      <c r="B12" s="93" t="s">
        <v>42</v>
      </c>
      <c r="C12" s="94"/>
      <c r="D12" s="95"/>
      <c r="E12" s="9">
        <v>0</v>
      </c>
      <c r="F12" s="8" t="s">
        <v>3</v>
      </c>
      <c r="G12" s="1"/>
    </row>
    <row r="13" spans="1:7" ht="15" customHeight="1" x14ac:dyDescent="0.25">
      <c r="A13" s="1"/>
      <c r="B13" s="80" t="s">
        <v>41</v>
      </c>
      <c r="C13" s="81"/>
      <c r="D13" s="82"/>
      <c r="E13" s="9">
        <v>0</v>
      </c>
      <c r="F13" s="8" t="s">
        <v>3</v>
      </c>
      <c r="G13" s="1"/>
    </row>
    <row r="14" spans="1:7" ht="15" customHeight="1" x14ac:dyDescent="0.25">
      <c r="A14" s="1"/>
      <c r="B14" s="80" t="s">
        <v>44</v>
      </c>
      <c r="C14" s="81"/>
      <c r="D14" s="82"/>
      <c r="E14" s="9">
        <v>0</v>
      </c>
      <c r="F14" s="8" t="s">
        <v>3</v>
      </c>
      <c r="G14" s="1"/>
    </row>
    <row r="15" spans="1:7" ht="15" customHeight="1" x14ac:dyDescent="0.25">
      <c r="A15" s="1"/>
      <c r="B15" s="80" t="s">
        <v>43</v>
      </c>
      <c r="C15" s="81"/>
      <c r="D15" s="82"/>
      <c r="E15" s="9">
        <v>0</v>
      </c>
      <c r="F15" s="8" t="s">
        <v>3</v>
      </c>
      <c r="G15" s="1"/>
    </row>
    <row r="16" spans="1:7" ht="15" customHeight="1" x14ac:dyDescent="0.25">
      <c r="A16" s="1"/>
      <c r="B16" s="80" t="s">
        <v>27</v>
      </c>
      <c r="C16" s="81"/>
      <c r="D16" s="82"/>
      <c r="E16" s="9">
        <f>E9*'Fane 15. Nøgletal'!C10+SUM(E10:E15)*'Fane 15. Nøgletal'!C11</f>
        <v>1187098.5834531484</v>
      </c>
      <c r="F16" s="8" t="s">
        <v>3</v>
      </c>
      <c r="G16" s="1"/>
    </row>
    <row r="17" spans="1:7" ht="15" customHeight="1" x14ac:dyDescent="0.25">
      <c r="A17" s="1"/>
      <c r="B17" s="80" t="s">
        <v>10</v>
      </c>
      <c r="C17" s="81"/>
      <c r="D17" s="82"/>
      <c r="E17" s="9">
        <f>-SUM(E9:E16)*'Fane 5. Individuelt eff. krav'!G10</f>
        <v>-565475.66165039514</v>
      </c>
      <c r="F17" s="8" t="s">
        <v>3</v>
      </c>
      <c r="G17" s="1"/>
    </row>
    <row r="18" spans="1:7" ht="15" customHeight="1" x14ac:dyDescent="0.25">
      <c r="A18" s="1"/>
      <c r="B18" s="80" t="s">
        <v>39</v>
      </c>
      <c r="C18" s="81"/>
      <c r="D18" s="82"/>
      <c r="E18" s="9">
        <f>-'Fane 4.1. Gen. krav - drift'!G22</f>
        <v>-451772.91598063312</v>
      </c>
      <c r="F18" s="8" t="s">
        <v>3</v>
      </c>
      <c r="G18" s="1"/>
    </row>
    <row r="19" spans="1:7" ht="15" customHeight="1" x14ac:dyDescent="0.25">
      <c r="A19" s="1"/>
      <c r="B19" s="80" t="s">
        <v>40</v>
      </c>
      <c r="C19" s="81"/>
      <c r="D19" s="82"/>
      <c r="E19" s="9">
        <f>-'Fane 4.2. Gen. krav - anlæg'!G19</f>
        <v>-840354.48027318867</v>
      </c>
      <c r="F19" s="8" t="s">
        <v>3</v>
      </c>
      <c r="G19" s="1"/>
    </row>
    <row r="20" spans="1:7" ht="15" customHeight="1" x14ac:dyDescent="0.25">
      <c r="A20" s="1"/>
      <c r="B20" s="49" t="s">
        <v>29</v>
      </c>
      <c r="C20" s="50"/>
      <c r="D20" s="51"/>
      <c r="E20" s="10">
        <f>SUM(E9:E19)</f>
        <v>67170213.381907105</v>
      </c>
      <c r="F20" s="11" t="s">
        <v>3</v>
      </c>
      <c r="G20" s="1"/>
    </row>
    <row r="21" spans="1:7" ht="15" customHeight="1" x14ac:dyDescent="0.25">
      <c r="A21" s="1"/>
      <c r="B21" s="83" t="s">
        <v>145</v>
      </c>
      <c r="C21" s="84"/>
      <c r="D21" s="84"/>
      <c r="E21" s="84"/>
      <c r="F21" s="85"/>
      <c r="G21" s="1"/>
    </row>
    <row r="22" spans="1:7" ht="15" customHeight="1" x14ac:dyDescent="0.25">
      <c r="A22" s="1"/>
      <c r="B22" s="80" t="s">
        <v>239</v>
      </c>
      <c r="C22" s="81"/>
      <c r="D22" s="82"/>
      <c r="E22" s="44">
        <v>489511.11000000004</v>
      </c>
      <c r="F22" s="8" t="s">
        <v>3</v>
      </c>
      <c r="G22" s="1"/>
    </row>
    <row r="23" spans="1:7" ht="15" customHeight="1" x14ac:dyDescent="0.25">
      <c r="A23" s="1"/>
      <c r="B23" s="80" t="s">
        <v>238</v>
      </c>
      <c r="C23" s="81"/>
      <c r="D23" s="82"/>
      <c r="E23" s="44">
        <f>-E22*('Fane 15. Nøgletal'!C25+'Fane 5. Individuelt eff. krav'!G10)</f>
        <v>-13800.295719475014</v>
      </c>
      <c r="F23" s="8" t="s">
        <v>3</v>
      </c>
      <c r="G23" s="1"/>
    </row>
    <row r="24" spans="1:7" ht="15" customHeight="1" x14ac:dyDescent="0.25">
      <c r="A24" s="1"/>
      <c r="B24" s="86" t="s">
        <v>240</v>
      </c>
      <c r="C24" s="87"/>
      <c r="D24" s="88"/>
      <c r="E24" s="10">
        <f>SUM(E22:E23)</f>
        <v>475710.81428052502</v>
      </c>
      <c r="F24" s="11" t="s">
        <v>3</v>
      </c>
      <c r="G24" s="1"/>
    </row>
    <row r="25" spans="1:7" x14ac:dyDescent="0.25">
      <c r="A25" s="1"/>
      <c r="B25" s="40" t="s">
        <v>17</v>
      </c>
      <c r="C25" s="34"/>
      <c r="D25" s="34"/>
      <c r="E25" s="34"/>
      <c r="F25" s="22"/>
      <c r="G25" s="1"/>
    </row>
    <row r="26" spans="1:7" ht="15" customHeight="1" x14ac:dyDescent="0.25">
      <c r="A26" s="1"/>
      <c r="B26" s="86" t="s">
        <v>17</v>
      </c>
      <c r="C26" s="87"/>
      <c r="D26" s="88"/>
      <c r="E26" s="10">
        <v>4614982.6502193194</v>
      </c>
      <c r="F26" s="11" t="s">
        <v>3</v>
      </c>
      <c r="G26" s="1"/>
    </row>
    <row r="27" spans="1:7" x14ac:dyDescent="0.25">
      <c r="A27" s="1"/>
      <c r="B27" s="40" t="s">
        <v>80</v>
      </c>
      <c r="C27" s="34"/>
      <c r="D27" s="34"/>
      <c r="E27" s="34"/>
      <c r="F27" s="22"/>
      <c r="G27" s="1"/>
    </row>
    <row r="28" spans="1:7" ht="27" customHeight="1" x14ac:dyDescent="0.25">
      <c r="A28" s="1"/>
      <c r="B28" s="89" t="s">
        <v>134</v>
      </c>
      <c r="C28" s="90"/>
      <c r="D28" s="91"/>
      <c r="E28" s="10">
        <v>-381365.05788590026</v>
      </c>
      <c r="F28" s="11" t="s">
        <v>3</v>
      </c>
      <c r="G28" s="1"/>
    </row>
    <row r="29" spans="1:7" x14ac:dyDescent="0.25">
      <c r="A29" s="1"/>
      <c r="B29" s="40" t="s">
        <v>11</v>
      </c>
      <c r="C29" s="34"/>
      <c r="D29" s="34"/>
      <c r="E29" s="34"/>
      <c r="F29" s="22"/>
      <c r="G29" s="1"/>
    </row>
    <row r="30" spans="1:7" ht="15" customHeight="1" x14ac:dyDescent="0.25">
      <c r="A30" s="1"/>
      <c r="B30" s="89" t="s">
        <v>19</v>
      </c>
      <c r="C30" s="90"/>
      <c r="D30" s="91"/>
      <c r="E30" s="10">
        <v>899471</v>
      </c>
      <c r="F30" s="11" t="s">
        <v>3</v>
      </c>
      <c r="G30" s="1"/>
    </row>
    <row r="31" spans="1:7" x14ac:dyDescent="0.25">
      <c r="A31" s="1"/>
      <c r="B31" s="83" t="s">
        <v>24</v>
      </c>
      <c r="C31" s="84"/>
      <c r="D31" s="85"/>
      <c r="E31" s="12">
        <f>SUM(E30,E28,E26,E20,E24)</f>
        <v>72779012.788521051</v>
      </c>
      <c r="F31" s="13" t="s">
        <v>3</v>
      </c>
      <c r="G31" s="1"/>
    </row>
    <row r="32" spans="1:7" ht="27" customHeight="1" x14ac:dyDescent="0.25">
      <c r="A32" s="1"/>
      <c r="B32" s="80" t="s">
        <v>208</v>
      </c>
      <c r="C32" s="81"/>
      <c r="D32" s="81"/>
      <c r="E32" s="81"/>
      <c r="F32" s="82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0qY3hz5zPKfDkmsI4nWT6xV0liidBB+EZ0hXisr6IxfkLzNr4A6ebxcQ5rmbrpfiiwzK41giyfAZDk2Q9Uqmuw==" saltValue="iJDoqI29EJdwHJmU2AzU/Q==" spinCount="100000" sheet="1" objects="1" scenarios="1"/>
  <mergeCells count="21">
    <mergeCell ref="B32:F32"/>
    <mergeCell ref="B3:F4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6:D26"/>
    <mergeCell ref="B28:D28"/>
    <mergeCell ref="B31:D31"/>
    <mergeCell ref="B22:D22"/>
    <mergeCell ref="B23:D23"/>
    <mergeCell ref="B21:F21"/>
    <mergeCell ref="B24:D24"/>
    <mergeCell ref="B30:D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1"/>
      <c r="B2" s="78" t="s">
        <v>218</v>
      </c>
      <c r="C2" s="78"/>
      <c r="D2" s="78"/>
      <c r="E2" s="78"/>
      <c r="F2" s="78"/>
      <c r="G2" s="78"/>
      <c r="H2" s="78"/>
      <c r="I2" s="1"/>
    </row>
    <row r="3" spans="1:9" ht="15" customHeight="1" x14ac:dyDescent="0.25">
      <c r="A3" s="1"/>
      <c r="B3" s="78"/>
      <c r="C3" s="78"/>
      <c r="D3" s="78"/>
      <c r="E3" s="78"/>
      <c r="F3" s="78"/>
      <c r="G3" s="78"/>
      <c r="H3" s="78"/>
      <c r="I3" s="1"/>
    </row>
    <row r="4" spans="1:9" ht="15" customHeight="1" x14ac:dyDescent="0.25">
      <c r="A4" s="1"/>
      <c r="B4" s="78"/>
      <c r="C4" s="78"/>
      <c r="D4" s="78"/>
      <c r="E4" s="78"/>
      <c r="F4" s="78"/>
      <c r="G4" s="78"/>
      <c r="H4" s="78"/>
      <c r="I4" s="1"/>
    </row>
    <row r="5" spans="1:9" x14ac:dyDescent="0.25">
      <c r="A5" s="1"/>
      <c r="B5" s="83" t="s">
        <v>94</v>
      </c>
      <c r="C5" s="84"/>
      <c r="D5" s="84"/>
      <c r="E5" s="84"/>
      <c r="F5" s="84"/>
      <c r="G5" s="84"/>
      <c r="H5" s="85"/>
      <c r="I5" s="1"/>
    </row>
    <row r="6" spans="1:9" x14ac:dyDescent="0.25">
      <c r="A6" s="1"/>
      <c r="B6" s="96" t="s">
        <v>83</v>
      </c>
      <c r="C6" s="97"/>
      <c r="D6" s="97"/>
      <c r="E6" s="97"/>
      <c r="F6" s="98"/>
      <c r="G6" s="26">
        <v>22792929.192677006</v>
      </c>
      <c r="H6" s="14" t="s">
        <v>3</v>
      </c>
      <c r="I6" s="1"/>
    </row>
    <row r="7" spans="1:9" x14ac:dyDescent="0.25">
      <c r="A7" s="1"/>
      <c r="B7" s="80" t="s">
        <v>242</v>
      </c>
      <c r="C7" s="81"/>
      <c r="D7" s="81"/>
      <c r="E7" s="81"/>
      <c r="F7" s="82"/>
      <c r="G7" s="26">
        <v>472818</v>
      </c>
      <c r="H7" s="14" t="s">
        <v>3</v>
      </c>
      <c r="I7" s="1"/>
    </row>
    <row r="8" spans="1:9" x14ac:dyDescent="0.25">
      <c r="A8" s="1"/>
      <c r="B8" s="96" t="s">
        <v>84</v>
      </c>
      <c r="C8" s="97"/>
      <c r="D8" s="97"/>
      <c r="E8" s="97"/>
      <c r="F8" s="98"/>
      <c r="G8" s="26">
        <f>SUM(G6:G7)*'Fane 15. Nøgletal'!C25</f>
        <v>465314.94385354011</v>
      </c>
      <c r="H8" s="14" t="s">
        <v>3</v>
      </c>
      <c r="I8" s="1"/>
    </row>
    <row r="9" spans="1:9" x14ac:dyDescent="0.25">
      <c r="A9" s="1"/>
      <c r="B9" s="40"/>
      <c r="C9" s="34"/>
      <c r="D9" s="34"/>
      <c r="E9" s="34"/>
      <c r="F9" s="34"/>
      <c r="G9" s="34"/>
      <c r="H9" s="22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83" t="s">
        <v>95</v>
      </c>
      <c r="C11" s="84"/>
      <c r="D11" s="84"/>
      <c r="E11" s="84"/>
      <c r="F11" s="84"/>
      <c r="G11" s="84"/>
      <c r="H11" s="85"/>
      <c r="I11" s="1"/>
    </row>
    <row r="12" spans="1:9" x14ac:dyDescent="0.25">
      <c r="A12" s="1"/>
      <c r="B12" s="96" t="s">
        <v>85</v>
      </c>
      <c r="C12" s="97"/>
      <c r="D12" s="97"/>
      <c r="E12" s="97"/>
      <c r="F12" s="98"/>
      <c r="G12" s="26">
        <f>(G6-G8)*(1+'Fane 15. Nøgletal'!C10)</f>
        <v>22718347.498177879</v>
      </c>
      <c r="H12" s="14" t="s">
        <v>3</v>
      </c>
      <c r="I12" s="1"/>
    </row>
    <row r="13" spans="1:9" x14ac:dyDescent="0.25">
      <c r="A13" s="1"/>
      <c r="B13" s="96" t="s">
        <v>244</v>
      </c>
      <c r="C13" s="97"/>
      <c r="D13" s="97"/>
      <c r="E13" s="97"/>
      <c r="F13" s="98"/>
      <c r="G13" s="26">
        <v>-55321.868196651849</v>
      </c>
      <c r="H13" s="14" t="s">
        <v>3</v>
      </c>
      <c r="I13" s="1"/>
    </row>
    <row r="14" spans="1:9" ht="15" customHeight="1" x14ac:dyDescent="0.25">
      <c r="A14" s="1"/>
      <c r="B14" s="80" t="s">
        <v>237</v>
      </c>
      <c r="C14" s="81"/>
      <c r="D14" s="81"/>
      <c r="E14" s="81"/>
      <c r="F14" s="82"/>
      <c r="G14" s="26">
        <v>481091.29750000004</v>
      </c>
      <c r="H14" s="14" t="s">
        <v>3</v>
      </c>
      <c r="I14" s="1"/>
    </row>
    <row r="15" spans="1:9" x14ac:dyDescent="0.25">
      <c r="A15" s="1"/>
      <c r="B15" s="99" t="s">
        <v>86</v>
      </c>
      <c r="C15" s="100"/>
      <c r="D15" s="100"/>
      <c r="E15" s="100"/>
      <c r="F15" s="101"/>
      <c r="G15" s="26">
        <v>0</v>
      </c>
      <c r="H15" s="14" t="s">
        <v>3</v>
      </c>
      <c r="I15" s="1"/>
    </row>
    <row r="16" spans="1:9" x14ac:dyDescent="0.25">
      <c r="A16" s="1"/>
      <c r="B16" s="96" t="s">
        <v>87</v>
      </c>
      <c r="C16" s="97"/>
      <c r="D16" s="97"/>
      <c r="E16" s="97"/>
      <c r="F16" s="98"/>
      <c r="G16" s="26">
        <f>SUM(G12:G15)*'Fane 15. Nøgletal'!C25</f>
        <v>462882.33854962455</v>
      </c>
      <c r="H16" s="14" t="s">
        <v>3</v>
      </c>
      <c r="I16" s="1"/>
    </row>
    <row r="17" spans="1:9" x14ac:dyDescent="0.25">
      <c r="A17" s="1"/>
      <c r="B17" s="40"/>
      <c r="C17" s="34"/>
      <c r="D17" s="34"/>
      <c r="E17" s="34"/>
      <c r="F17" s="34"/>
      <c r="G17" s="34"/>
      <c r="H17" s="22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83" t="s">
        <v>96</v>
      </c>
      <c r="C19" s="84"/>
      <c r="D19" s="84"/>
      <c r="E19" s="84"/>
      <c r="F19" s="84"/>
      <c r="G19" s="84"/>
      <c r="H19" s="85"/>
      <c r="I19" s="1"/>
    </row>
    <row r="20" spans="1:9" x14ac:dyDescent="0.25">
      <c r="A20" s="1"/>
      <c r="B20" s="96" t="s">
        <v>88</v>
      </c>
      <c r="C20" s="97"/>
      <c r="D20" s="97"/>
      <c r="E20" s="97"/>
      <c r="F20" s="98"/>
      <c r="G20" s="26">
        <f>(SUM(G12:G13,G15)-(G16))*(1+'Fane 15. Nøgletal'!C10)</f>
        <v>22588645.799031656</v>
      </c>
      <c r="H20" s="14" t="s">
        <v>3</v>
      </c>
      <c r="I20" s="1"/>
    </row>
    <row r="21" spans="1:9" x14ac:dyDescent="0.25">
      <c r="A21" s="1"/>
      <c r="B21" s="99" t="s">
        <v>89</v>
      </c>
      <c r="C21" s="100"/>
      <c r="D21" s="100"/>
      <c r="E21" s="100"/>
      <c r="F21" s="101"/>
      <c r="G21" s="26">
        <v>0</v>
      </c>
      <c r="H21" s="14" t="s">
        <v>3</v>
      </c>
      <c r="I21" s="1"/>
    </row>
    <row r="22" spans="1:9" x14ac:dyDescent="0.25">
      <c r="A22" s="1"/>
      <c r="B22" s="96" t="s">
        <v>90</v>
      </c>
      <c r="C22" s="97"/>
      <c r="D22" s="97"/>
      <c r="E22" s="97"/>
      <c r="F22" s="98"/>
      <c r="G22" s="26">
        <f>SUM(G20:G21)*'Fane 15. Nøgletal'!C25</f>
        <v>451772.91598063312</v>
      </c>
      <c r="H22" s="14" t="s">
        <v>3</v>
      </c>
      <c r="I22" s="1"/>
    </row>
    <row r="23" spans="1:9" x14ac:dyDescent="0.25">
      <c r="A23" s="1"/>
      <c r="B23" s="40"/>
      <c r="C23" s="34"/>
      <c r="D23" s="34"/>
      <c r="E23" s="34"/>
      <c r="F23" s="34"/>
      <c r="G23" s="34"/>
      <c r="H23" s="22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83" t="s">
        <v>97</v>
      </c>
      <c r="C25" s="84"/>
      <c r="D25" s="84"/>
      <c r="E25" s="84"/>
      <c r="F25" s="84"/>
      <c r="G25" s="84"/>
      <c r="H25" s="85"/>
      <c r="I25" s="1"/>
    </row>
    <row r="26" spans="1:9" x14ac:dyDescent="0.25">
      <c r="A26" s="1"/>
      <c r="B26" s="96" t="s">
        <v>91</v>
      </c>
      <c r="C26" s="97"/>
      <c r="D26" s="97"/>
      <c r="E26" s="97"/>
      <c r="F26" s="98"/>
      <c r="G26" s="26">
        <f>(G20+G21-G22)*(1+'Fane 15. Nøgletal'!C12)</f>
        <v>22572969.278847128</v>
      </c>
      <c r="H26" s="14" t="s">
        <v>3</v>
      </c>
      <c r="I26" s="1"/>
    </row>
    <row r="27" spans="1:9" x14ac:dyDescent="0.25">
      <c r="A27" s="1"/>
      <c r="B27" s="99" t="s">
        <v>92</v>
      </c>
      <c r="C27" s="100"/>
      <c r="D27" s="100"/>
      <c r="E27" s="100"/>
      <c r="F27" s="101"/>
      <c r="G27" s="26">
        <f>('Fane 2.1. Økonomisk ramme 2020'!C10+'Fane 2.1. Økonomisk ramme 2020'!C12+'Fane 2.1. Økonomisk ramme 2020'!C14)*(1+'Fane 15. Nøgletal'!C12)</f>
        <v>146714.09949900003</v>
      </c>
      <c r="H27" s="14" t="s">
        <v>3</v>
      </c>
      <c r="I27" s="1"/>
    </row>
    <row r="28" spans="1:9" x14ac:dyDescent="0.25">
      <c r="A28" s="1"/>
      <c r="B28" s="96" t="s">
        <v>93</v>
      </c>
      <c r="C28" s="97"/>
      <c r="D28" s="97"/>
      <c r="E28" s="97"/>
      <c r="F28" s="98"/>
      <c r="G28" s="26">
        <f>(G26+G27)*'Fane 15. Nøgletal'!C25</f>
        <v>454393.66756692255</v>
      </c>
      <c r="H28" s="14" t="s">
        <v>3</v>
      </c>
      <c r="I28" s="1"/>
    </row>
    <row r="29" spans="1:9" x14ac:dyDescent="0.25">
      <c r="A29" s="1"/>
      <c r="B29" s="40"/>
      <c r="C29" s="34"/>
      <c r="D29" s="34"/>
      <c r="E29" s="34"/>
      <c r="F29" s="34"/>
      <c r="G29" s="34"/>
      <c r="H29" s="22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83" t="s">
        <v>100</v>
      </c>
      <c r="C31" s="84"/>
      <c r="D31" s="84"/>
      <c r="E31" s="84"/>
      <c r="F31" s="84"/>
      <c r="G31" s="84"/>
      <c r="H31" s="85"/>
      <c r="I31" s="1"/>
    </row>
    <row r="32" spans="1:9" x14ac:dyDescent="0.25">
      <c r="A32" s="1"/>
      <c r="B32" s="96" t="s">
        <v>101</v>
      </c>
      <c r="C32" s="97"/>
      <c r="D32" s="97"/>
      <c r="E32" s="97"/>
      <c r="F32" s="98"/>
      <c r="G32" s="26">
        <f>(G26+G27-G28)*(1+'Fane 15. Nøgletal'!C12)</f>
        <v>22703915.918081556</v>
      </c>
      <c r="H32" s="14" t="s">
        <v>3</v>
      </c>
      <c r="I32" s="1"/>
    </row>
    <row r="33" spans="1:9" x14ac:dyDescent="0.25">
      <c r="A33" s="1"/>
      <c r="B33" s="96" t="s">
        <v>149</v>
      </c>
      <c r="C33" s="97"/>
      <c r="D33" s="97"/>
      <c r="E33" s="97"/>
      <c r="F33" s="98"/>
      <c r="G33" s="26">
        <f>-'Fane 13. Bortfald'!C18*(1+'Fane 15. Nøgletal'!C12)</f>
        <v>0</v>
      </c>
      <c r="H33" s="14" t="s">
        <v>3</v>
      </c>
      <c r="I33" s="1"/>
    </row>
    <row r="34" spans="1:9" x14ac:dyDescent="0.25">
      <c r="A34" s="1"/>
      <c r="B34" s="96" t="s">
        <v>102</v>
      </c>
      <c r="C34" s="97"/>
      <c r="D34" s="97"/>
      <c r="E34" s="97"/>
      <c r="F34" s="98"/>
      <c r="G34" s="26">
        <f>(G32+G33)*'Fane 15. Nøgletal'!C25</f>
        <v>454078.31836163113</v>
      </c>
      <c r="H34" s="14" t="s">
        <v>3</v>
      </c>
      <c r="I34" s="1"/>
    </row>
    <row r="35" spans="1:9" x14ac:dyDescent="0.25">
      <c r="A35" s="1"/>
      <c r="B35" s="40"/>
      <c r="C35" s="34"/>
      <c r="D35" s="34"/>
      <c r="E35" s="34"/>
      <c r="F35" s="34"/>
      <c r="G35" s="34"/>
      <c r="H35" s="22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83" t="s">
        <v>127</v>
      </c>
      <c r="C37" s="84"/>
      <c r="D37" s="84"/>
      <c r="E37" s="84"/>
      <c r="F37" s="84"/>
      <c r="G37" s="84"/>
      <c r="H37" s="85"/>
      <c r="I37" s="1"/>
    </row>
    <row r="38" spans="1:9" x14ac:dyDescent="0.25">
      <c r="A38" s="1"/>
      <c r="B38" s="96" t="s">
        <v>126</v>
      </c>
      <c r="C38" s="97"/>
      <c r="D38" s="97"/>
      <c r="E38" s="97"/>
      <c r="F38" s="98"/>
      <c r="G38" s="26">
        <f>(G32-G34)*(1+'Fane 15. Nøgletal'!C12)</f>
        <v>22688159.400434408</v>
      </c>
      <c r="H38" s="14" t="s">
        <v>3</v>
      </c>
      <c r="I38" s="1"/>
    </row>
    <row r="39" spans="1:9" x14ac:dyDescent="0.25">
      <c r="A39" s="1"/>
      <c r="B39" s="96" t="s">
        <v>150</v>
      </c>
      <c r="C39" s="97"/>
      <c r="D39" s="97"/>
      <c r="E39" s="97"/>
      <c r="F39" s="98"/>
      <c r="G39" s="26">
        <f>-'Fane 13. Bortfald'!C24*(1+'Fane 15. Nøgletal'!C12)</f>
        <v>0</v>
      </c>
      <c r="H39" s="14" t="s">
        <v>3</v>
      </c>
      <c r="I39" s="1"/>
    </row>
    <row r="40" spans="1:9" x14ac:dyDescent="0.25">
      <c r="A40" s="1"/>
      <c r="B40" s="96" t="s">
        <v>103</v>
      </c>
      <c r="C40" s="97"/>
      <c r="D40" s="97"/>
      <c r="E40" s="97"/>
      <c r="F40" s="98"/>
      <c r="G40" s="26">
        <f>(G38+G39)*'Fane 15. Nøgletal'!C25</f>
        <v>453763.18800868816</v>
      </c>
      <c r="H40" s="14" t="s">
        <v>3</v>
      </c>
      <c r="I40" s="1"/>
    </row>
    <row r="41" spans="1:9" x14ac:dyDescent="0.25">
      <c r="A41" s="1"/>
      <c r="B41" s="40"/>
      <c r="C41" s="34"/>
      <c r="D41" s="34"/>
      <c r="E41" s="34"/>
      <c r="F41" s="34"/>
      <c r="G41" s="34"/>
      <c r="H41" s="22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83" t="s">
        <v>128</v>
      </c>
      <c r="C43" s="84"/>
      <c r="D43" s="84"/>
      <c r="E43" s="84"/>
      <c r="F43" s="84"/>
      <c r="G43" s="84"/>
      <c r="H43" s="85"/>
      <c r="I43" s="1"/>
    </row>
    <row r="44" spans="1:9" x14ac:dyDescent="0.25">
      <c r="A44" s="1"/>
      <c r="B44" s="96" t="s">
        <v>125</v>
      </c>
      <c r="C44" s="97"/>
      <c r="D44" s="97"/>
      <c r="E44" s="97"/>
      <c r="F44" s="98"/>
      <c r="G44" s="26">
        <f>(G38-G40)*(1+'Fane 15. Nøgletal'!C12)</f>
        <v>22672413.817810509</v>
      </c>
      <c r="H44" s="14" t="s">
        <v>3</v>
      </c>
      <c r="I44" s="1"/>
    </row>
    <row r="45" spans="1:9" x14ac:dyDescent="0.25">
      <c r="A45" s="1"/>
      <c r="B45" s="96" t="s">
        <v>151</v>
      </c>
      <c r="C45" s="97"/>
      <c r="D45" s="97"/>
      <c r="E45" s="97"/>
      <c r="F45" s="98"/>
      <c r="G45" s="26">
        <f>-'Fane 13. Bortfald'!C30*(1+'Fane 15. Nøgletal'!C12)</f>
        <v>0</v>
      </c>
      <c r="H45" s="14" t="s">
        <v>3</v>
      </c>
      <c r="I45" s="1"/>
    </row>
    <row r="46" spans="1:9" x14ac:dyDescent="0.25">
      <c r="A46" s="1"/>
      <c r="B46" s="96" t="s">
        <v>104</v>
      </c>
      <c r="C46" s="97"/>
      <c r="D46" s="97"/>
      <c r="E46" s="97"/>
      <c r="F46" s="98"/>
      <c r="G46" s="26">
        <f>(G44+G45)*'Fane 15. Nøgletal'!C25</f>
        <v>453448.27635621018</v>
      </c>
      <c r="H46" s="14" t="s">
        <v>3</v>
      </c>
      <c r="I46" s="1"/>
    </row>
    <row r="47" spans="1:9" x14ac:dyDescent="0.25">
      <c r="A47" s="1"/>
      <c r="B47" s="40"/>
      <c r="C47" s="34"/>
      <c r="D47" s="34"/>
      <c r="E47" s="34"/>
      <c r="F47" s="34"/>
      <c r="G47" s="34"/>
      <c r="H47" s="22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dWlhR4b975Rnco/oGMTUqMt9mbUQZJQ25nu8iL2VZt6aYu12xAJexBp6n9Llomz3ClcdwCVQF9szGoGy7uTI/g==" saltValue="Jy5eGF2Ow7M8vio5hGzKLg==" spinCount="100000" sheet="1" objects="1" scenarios="1"/>
  <mergeCells count="31">
    <mergeCell ref="B2:H4"/>
    <mergeCell ref="B5:H5"/>
    <mergeCell ref="B6:F6"/>
    <mergeCell ref="B8:F8"/>
    <mergeCell ref="B12:F12"/>
    <mergeCell ref="B11:H11"/>
    <mergeCell ref="B7:F7"/>
    <mergeCell ref="B44:F44"/>
    <mergeCell ref="B46:F46"/>
    <mergeCell ref="B39:F39"/>
    <mergeCell ref="B45:F45"/>
    <mergeCell ref="B40:F40"/>
    <mergeCell ref="B38:F38"/>
    <mergeCell ref="B33:F33"/>
    <mergeCell ref="B34:F34"/>
    <mergeCell ref="B25:H25"/>
    <mergeCell ref="B43:H43"/>
    <mergeCell ref="B13:F13"/>
    <mergeCell ref="B14:F14"/>
    <mergeCell ref="B31:H31"/>
    <mergeCell ref="B32:F32"/>
    <mergeCell ref="B37:H37"/>
    <mergeCell ref="B19:H19"/>
    <mergeCell ref="B15:F15"/>
    <mergeCell ref="B16:F16"/>
    <mergeCell ref="B20:F20"/>
    <mergeCell ref="B21:F21"/>
    <mergeCell ref="B22:F22"/>
    <mergeCell ref="B26:F26"/>
    <mergeCell ref="B27:F27"/>
    <mergeCell ref="B28:F2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.75" x14ac:dyDescent="0.3">
      <c r="A2" s="1"/>
      <c r="B2" s="102" t="s">
        <v>219</v>
      </c>
      <c r="C2" s="102"/>
      <c r="D2" s="102"/>
      <c r="E2" s="102"/>
      <c r="F2" s="102"/>
      <c r="G2" s="102"/>
      <c r="H2" s="102"/>
      <c r="I2" s="1"/>
    </row>
    <row r="3" spans="1:9" ht="18.75" x14ac:dyDescent="0.3">
      <c r="A3" s="1"/>
      <c r="B3" s="55"/>
      <c r="C3" s="55"/>
      <c r="D3" s="55"/>
      <c r="E3" s="55"/>
      <c r="F3" s="55"/>
      <c r="G3" s="55"/>
      <c r="H3" s="55"/>
      <c r="I3" s="1"/>
    </row>
    <row r="4" spans="1:9" x14ac:dyDescent="0.25">
      <c r="A4" s="1"/>
      <c r="B4" s="83" t="s">
        <v>98</v>
      </c>
      <c r="C4" s="84"/>
      <c r="D4" s="84"/>
      <c r="E4" s="84"/>
      <c r="F4" s="84"/>
      <c r="G4" s="84"/>
      <c r="H4" s="85"/>
      <c r="I4" s="1"/>
    </row>
    <row r="5" spans="1:9" x14ac:dyDescent="0.25">
      <c r="A5" s="1"/>
      <c r="B5" s="96" t="s">
        <v>105</v>
      </c>
      <c r="C5" s="97"/>
      <c r="D5" s="97"/>
      <c r="E5" s="97"/>
      <c r="F5" s="98"/>
      <c r="G5" s="26">
        <v>46913485.86690855</v>
      </c>
      <c r="H5" s="14" t="s">
        <v>3</v>
      </c>
      <c r="I5" s="1"/>
    </row>
    <row r="6" spans="1:9" x14ac:dyDescent="0.25">
      <c r="A6" s="1"/>
      <c r="B6" s="96" t="s">
        <v>99</v>
      </c>
      <c r="C6" s="97"/>
      <c r="D6" s="97"/>
      <c r="E6" s="97"/>
      <c r="F6" s="98"/>
      <c r="G6" s="26">
        <f>G5*'Fane 15. Nøgletal'!C17</f>
        <v>426912.72138886782</v>
      </c>
      <c r="H6" s="14" t="s">
        <v>3</v>
      </c>
      <c r="I6" s="1"/>
    </row>
    <row r="7" spans="1:9" x14ac:dyDescent="0.25">
      <c r="A7" s="1"/>
      <c r="B7" s="40"/>
      <c r="C7" s="34"/>
      <c r="D7" s="34"/>
      <c r="E7" s="34"/>
      <c r="F7" s="34"/>
      <c r="G7" s="34"/>
      <c r="H7" s="22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83" t="s">
        <v>106</v>
      </c>
      <c r="C9" s="84"/>
      <c r="D9" s="84"/>
      <c r="E9" s="84"/>
      <c r="F9" s="84"/>
      <c r="G9" s="84"/>
      <c r="H9" s="85"/>
      <c r="I9" s="1"/>
    </row>
    <row r="10" spans="1:9" x14ac:dyDescent="0.25">
      <c r="A10" s="1"/>
      <c r="B10" s="96" t="s">
        <v>107</v>
      </c>
      <c r="C10" s="97"/>
      <c r="D10" s="97"/>
      <c r="E10" s="97"/>
      <c r="F10" s="98"/>
      <c r="G10" s="26">
        <f>(G5-G6)*(1+'Fane 15. Nøgletal'!C10)</f>
        <v>47300088.175566278</v>
      </c>
      <c r="H10" s="14" t="s">
        <v>3</v>
      </c>
      <c r="I10" s="1"/>
    </row>
    <row r="11" spans="1:9" x14ac:dyDescent="0.25">
      <c r="A11" s="1"/>
      <c r="B11" s="96" t="s">
        <v>245</v>
      </c>
      <c r="C11" s="97"/>
      <c r="D11" s="97"/>
      <c r="E11" s="97"/>
      <c r="F11" s="98"/>
      <c r="G11" s="26">
        <v>105245.71748111911</v>
      </c>
      <c r="H11" s="14" t="s">
        <v>3</v>
      </c>
      <c r="I11" s="1"/>
    </row>
    <row r="12" spans="1:9" x14ac:dyDescent="0.25">
      <c r="A12" s="1"/>
      <c r="B12" s="99" t="s">
        <v>108</v>
      </c>
      <c r="C12" s="100"/>
      <c r="D12" s="100"/>
      <c r="E12" s="100"/>
      <c r="F12" s="101"/>
      <c r="G12" s="26">
        <v>1535.3591687500002</v>
      </c>
      <c r="H12" s="14" t="s">
        <v>3</v>
      </c>
      <c r="I12" s="1"/>
    </row>
    <row r="13" spans="1:9" x14ac:dyDescent="0.25">
      <c r="A13" s="1"/>
      <c r="B13" s="96" t="s">
        <v>109</v>
      </c>
      <c r="C13" s="97"/>
      <c r="D13" s="97"/>
      <c r="E13" s="97"/>
      <c r="F13" s="98"/>
      <c r="G13" s="26">
        <f>SUM(G10:G12)*'Fane 15. Nøgletal'!C18</f>
        <v>839101.58576422592</v>
      </c>
      <c r="H13" s="14" t="s">
        <v>3</v>
      </c>
      <c r="I13" s="1"/>
    </row>
    <row r="14" spans="1:9" x14ac:dyDescent="0.25">
      <c r="A14" s="1"/>
      <c r="B14" s="40"/>
      <c r="C14" s="34"/>
      <c r="D14" s="34"/>
      <c r="E14" s="34"/>
      <c r="F14" s="34"/>
      <c r="G14" s="34"/>
      <c r="H14" s="2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83" t="s">
        <v>110</v>
      </c>
      <c r="C16" s="84"/>
      <c r="D16" s="84"/>
      <c r="E16" s="84"/>
      <c r="F16" s="84"/>
      <c r="G16" s="84"/>
      <c r="H16" s="85"/>
      <c r="I16" s="1"/>
    </row>
    <row r="17" spans="1:9" x14ac:dyDescent="0.25">
      <c r="A17" s="1"/>
      <c r="B17" s="96" t="s">
        <v>111</v>
      </c>
      <c r="C17" s="97"/>
      <c r="D17" s="97"/>
      <c r="E17" s="97"/>
      <c r="F17" s="98"/>
      <c r="G17" s="26">
        <f>(SUM(G10:G12)-G13)*(1+'Fane 15. Nøgletal'!C10)</f>
        <v>47382703.600614838</v>
      </c>
      <c r="H17" s="14" t="s">
        <v>3</v>
      </c>
      <c r="I17" s="1"/>
    </row>
    <row r="18" spans="1:9" x14ac:dyDescent="0.25">
      <c r="A18" s="1"/>
      <c r="B18" s="99" t="s">
        <v>112</v>
      </c>
      <c r="C18" s="100"/>
      <c r="D18" s="100"/>
      <c r="E18" s="100"/>
      <c r="F18" s="101"/>
      <c r="G18" s="26">
        <v>193175.46463287994</v>
      </c>
      <c r="H18" s="14" t="s">
        <v>3</v>
      </c>
      <c r="I18" s="1"/>
    </row>
    <row r="19" spans="1:9" x14ac:dyDescent="0.25">
      <c r="A19" s="1"/>
      <c r="B19" s="96" t="s">
        <v>113</v>
      </c>
      <c r="C19" s="97"/>
      <c r="D19" s="97"/>
      <c r="E19" s="97"/>
      <c r="F19" s="98"/>
      <c r="G19" s="26">
        <f>G17*'Fane 15. Nøgletal'!C18+G18*'Fane 15. Nøgletal'!C19</f>
        <v>840354.48027318867</v>
      </c>
      <c r="H19" s="14" t="s">
        <v>3</v>
      </c>
      <c r="I19" s="1"/>
    </row>
    <row r="20" spans="1:9" x14ac:dyDescent="0.25">
      <c r="A20" s="1"/>
      <c r="B20" s="40"/>
      <c r="C20" s="34"/>
      <c r="D20" s="34"/>
      <c r="E20" s="34"/>
      <c r="F20" s="34"/>
      <c r="G20" s="34"/>
      <c r="H20" s="22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83" t="s">
        <v>114</v>
      </c>
      <c r="C22" s="84"/>
      <c r="D22" s="84"/>
      <c r="E22" s="84"/>
      <c r="F22" s="84"/>
      <c r="G22" s="84"/>
      <c r="H22" s="85"/>
      <c r="I22" s="1"/>
    </row>
    <row r="23" spans="1:9" x14ac:dyDescent="0.25">
      <c r="A23" s="1"/>
      <c r="B23" s="96" t="s">
        <v>115</v>
      </c>
      <c r="C23" s="97"/>
      <c r="D23" s="97"/>
      <c r="E23" s="97"/>
      <c r="F23" s="98"/>
      <c r="G23" s="26">
        <f>(G17+G18-G19)*(1+'Fane 15. Nøgletal'!C12)</f>
        <v>47656214.41929853</v>
      </c>
      <c r="H23" s="14" t="s">
        <v>3</v>
      </c>
      <c r="I23" s="1"/>
    </row>
    <row r="24" spans="1:9" x14ac:dyDescent="0.25">
      <c r="A24" s="1"/>
      <c r="B24" s="99" t="s">
        <v>116</v>
      </c>
      <c r="C24" s="100"/>
      <c r="D24" s="100"/>
      <c r="E24" s="100"/>
      <c r="F24" s="101"/>
      <c r="G24" s="26">
        <f>('Fane 2.1. Økonomisk ramme 2020'!C11+'Fane 2.1. Økonomisk ramme 2020'!C13+'Fane 2.1. Økonomisk ramme 2020'!C15)*(1+'Fane 15. Nøgletal'!C12)</f>
        <v>292076.25959146139</v>
      </c>
      <c r="H24" s="14" t="s">
        <v>3</v>
      </c>
      <c r="I24" s="1"/>
    </row>
    <row r="25" spans="1:9" x14ac:dyDescent="0.25">
      <c r="A25" s="1"/>
      <c r="B25" s="96" t="s">
        <v>117</v>
      </c>
      <c r="C25" s="97"/>
      <c r="D25" s="97"/>
      <c r="E25" s="97"/>
      <c r="F25" s="98"/>
      <c r="G25" s="26">
        <f>(G23+G24)*'Fane 15. Nøgletal'!C20</f>
        <v>1361731.4552804758</v>
      </c>
      <c r="H25" s="14" t="s">
        <v>3</v>
      </c>
      <c r="I25" s="1"/>
    </row>
    <row r="26" spans="1:9" x14ac:dyDescent="0.25">
      <c r="A26" s="1"/>
      <c r="B26" s="40"/>
      <c r="C26" s="34"/>
      <c r="D26" s="34"/>
      <c r="E26" s="34"/>
      <c r="F26" s="34"/>
      <c r="G26" s="34"/>
      <c r="H26" s="22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83" t="s">
        <v>118</v>
      </c>
      <c r="C28" s="84"/>
      <c r="D28" s="84"/>
      <c r="E28" s="84"/>
      <c r="F28" s="84"/>
      <c r="G28" s="84"/>
      <c r="H28" s="85"/>
      <c r="I28" s="1"/>
    </row>
    <row r="29" spans="1:9" x14ac:dyDescent="0.25">
      <c r="A29" s="1"/>
      <c r="B29" s="96" t="s">
        <v>119</v>
      </c>
      <c r="C29" s="97"/>
      <c r="D29" s="97"/>
      <c r="E29" s="97"/>
      <c r="F29" s="98"/>
      <c r="G29" s="26">
        <f>(G23+G24-G25)*(1+'Fane 15. Nøgletal'!C12)</f>
        <v>47504314.440314621</v>
      </c>
      <c r="H29" s="14" t="s">
        <v>3</v>
      </c>
      <c r="I29" s="1"/>
    </row>
    <row r="30" spans="1:9" x14ac:dyDescent="0.25">
      <c r="A30" s="1"/>
      <c r="B30" s="96" t="s">
        <v>155</v>
      </c>
      <c r="C30" s="97"/>
      <c r="D30" s="97"/>
      <c r="E30" s="97"/>
      <c r="F30" s="98"/>
      <c r="G30" s="26">
        <f>-'Fane 13. Bortfald'!E18*(1+'Fane 15. Nøgletal'!C12)</f>
        <v>0</v>
      </c>
      <c r="H30" s="14" t="s">
        <v>3</v>
      </c>
      <c r="I30" s="1"/>
    </row>
    <row r="31" spans="1:9" x14ac:dyDescent="0.25">
      <c r="A31" s="1"/>
      <c r="B31" s="96" t="s">
        <v>120</v>
      </c>
      <c r="C31" s="97"/>
      <c r="D31" s="97"/>
      <c r="E31" s="97"/>
      <c r="F31" s="98"/>
      <c r="G31" s="26">
        <f>(G29+G30)*'Fane 15. Nøgletal'!C20</f>
        <v>1349122.5301049354</v>
      </c>
      <c r="H31" s="14" t="s">
        <v>3</v>
      </c>
      <c r="I31" s="1"/>
    </row>
    <row r="32" spans="1:9" x14ac:dyDescent="0.25">
      <c r="A32" s="1"/>
      <c r="B32" s="40"/>
      <c r="C32" s="34"/>
      <c r="D32" s="34"/>
      <c r="E32" s="34"/>
      <c r="F32" s="34"/>
      <c r="G32" s="34"/>
      <c r="H32" s="22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83" t="s">
        <v>129</v>
      </c>
      <c r="C34" s="84"/>
      <c r="D34" s="84"/>
      <c r="E34" s="84"/>
      <c r="F34" s="84"/>
      <c r="G34" s="84"/>
      <c r="H34" s="85"/>
      <c r="I34" s="1"/>
    </row>
    <row r="35" spans="1:9" x14ac:dyDescent="0.25">
      <c r="A35" s="1"/>
      <c r="B35" s="96" t="s">
        <v>124</v>
      </c>
      <c r="C35" s="97"/>
      <c r="D35" s="97"/>
      <c r="E35" s="97"/>
      <c r="F35" s="98"/>
      <c r="G35" s="26">
        <f>(G29+G30-G31)*(1+'Fane 15. Nøgletal'!C12)</f>
        <v>47064449.190840818</v>
      </c>
      <c r="H35" s="14" t="s">
        <v>3</v>
      </c>
      <c r="I35" s="1"/>
    </row>
    <row r="36" spans="1:9" x14ac:dyDescent="0.25">
      <c r="A36" s="1"/>
      <c r="B36" s="96" t="s">
        <v>156</v>
      </c>
      <c r="C36" s="97"/>
      <c r="D36" s="97"/>
      <c r="E36" s="97"/>
      <c r="F36" s="98"/>
      <c r="G36" s="26">
        <f>-'Fane 13. Bortfald'!E24*(1+'Fane 15. Nøgletal'!C12)</f>
        <v>0</v>
      </c>
      <c r="H36" s="14" t="s">
        <v>3</v>
      </c>
      <c r="I36" s="1"/>
    </row>
    <row r="37" spans="1:9" x14ac:dyDescent="0.25">
      <c r="A37" s="1"/>
      <c r="B37" s="96" t="s">
        <v>121</v>
      </c>
      <c r="C37" s="97"/>
      <c r="D37" s="97"/>
      <c r="E37" s="97"/>
      <c r="F37" s="98"/>
      <c r="G37" s="26">
        <f>(G35+G36)*'Fane 15. Nøgletal'!C20</f>
        <v>1336630.3570198794</v>
      </c>
      <c r="H37" s="14" t="s">
        <v>3</v>
      </c>
      <c r="I37" s="1"/>
    </row>
    <row r="38" spans="1:9" x14ac:dyDescent="0.25">
      <c r="A38" s="1"/>
      <c r="B38" s="40"/>
      <c r="C38" s="34"/>
      <c r="D38" s="34"/>
      <c r="E38" s="34"/>
      <c r="F38" s="34"/>
      <c r="G38" s="34"/>
      <c r="H38" s="22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83" t="s">
        <v>130</v>
      </c>
      <c r="C40" s="84"/>
      <c r="D40" s="84"/>
      <c r="E40" s="84"/>
      <c r="F40" s="84"/>
      <c r="G40" s="84"/>
      <c r="H40" s="85"/>
      <c r="I40" s="1"/>
    </row>
    <row r="41" spans="1:9" x14ac:dyDescent="0.25">
      <c r="A41" s="1"/>
      <c r="B41" s="96" t="s">
        <v>123</v>
      </c>
      <c r="C41" s="97"/>
      <c r="D41" s="97"/>
      <c r="E41" s="97"/>
      <c r="F41" s="98"/>
      <c r="G41" s="26">
        <f>(G35+G36-G37)*(1+'Fane 15. Nøgletal'!C12)</f>
        <v>46628656.864847213</v>
      </c>
      <c r="H41" s="14" t="s">
        <v>3</v>
      </c>
      <c r="I41" s="1"/>
    </row>
    <row r="42" spans="1:9" x14ac:dyDescent="0.25">
      <c r="A42" s="1"/>
      <c r="B42" s="96" t="s">
        <v>157</v>
      </c>
      <c r="C42" s="97"/>
      <c r="D42" s="97"/>
      <c r="E42" s="97"/>
      <c r="F42" s="98"/>
      <c r="G42" s="26">
        <f>-'Fane 13. Bortfald'!E30*(1+'Fane 15. Nøgletal'!C12)</f>
        <v>0</v>
      </c>
      <c r="H42" s="14" t="s">
        <v>3</v>
      </c>
      <c r="I42" s="1"/>
    </row>
    <row r="43" spans="1:9" x14ac:dyDescent="0.25">
      <c r="A43" s="1"/>
      <c r="B43" s="96" t="s">
        <v>122</v>
      </c>
      <c r="C43" s="97"/>
      <c r="D43" s="97"/>
      <c r="E43" s="97"/>
      <c r="F43" s="98"/>
      <c r="G43" s="26">
        <f>(G41+G42)*'Fane 15. Nøgletal'!C20</f>
        <v>1324253.8549616609</v>
      </c>
      <c r="H43" s="14" t="s">
        <v>3</v>
      </c>
      <c r="I43" s="1"/>
    </row>
    <row r="44" spans="1:9" x14ac:dyDescent="0.25">
      <c r="A44" s="1"/>
      <c r="B44" s="40"/>
      <c r="C44" s="34"/>
      <c r="D44" s="34"/>
      <c r="E44" s="34"/>
      <c r="F44" s="34"/>
      <c r="G44" s="34"/>
      <c r="H44" s="22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EP+fUPcWM9Kf1SOFh7xwKP1633+Di+1DJrG3yqPr1teHCW/nn667z3uY+CkC3hQtuCFs7jkIsvP+M2bYwjppSQ==" saltValue="N/PmddQuTdDzBQ39PXWuiQ==" spinCount="100000" sheet="1" objects="1" scenarios="1"/>
  <mergeCells count="29">
    <mergeCell ref="B2:H2"/>
    <mergeCell ref="B35:F35"/>
    <mergeCell ref="B43:F43"/>
    <mergeCell ref="B19:F19"/>
    <mergeCell ref="B4:H4"/>
    <mergeCell ref="B5:F5"/>
    <mergeCell ref="B6:F6"/>
    <mergeCell ref="B9:H9"/>
    <mergeCell ref="B10:F10"/>
    <mergeCell ref="B12:F12"/>
    <mergeCell ref="B13:F13"/>
    <mergeCell ref="B16:H16"/>
    <mergeCell ref="B17:F17"/>
    <mergeCell ref="B18:F18"/>
    <mergeCell ref="B30:F30"/>
    <mergeCell ref="B22:H22"/>
    <mergeCell ref="B11:F11"/>
    <mergeCell ref="B42:F42"/>
    <mergeCell ref="B23:F23"/>
    <mergeCell ref="B24:F24"/>
    <mergeCell ref="B25:F25"/>
    <mergeCell ref="B37:F37"/>
    <mergeCell ref="B40:H40"/>
    <mergeCell ref="B41:F41"/>
    <mergeCell ref="B28:H28"/>
    <mergeCell ref="B29:F29"/>
    <mergeCell ref="B31:F31"/>
    <mergeCell ref="B34:H34"/>
    <mergeCell ref="B36:F3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5" width="9.140625" style="2"/>
    <col min="6" max="6" width="19.85546875" style="2" customWidth="1"/>
    <col min="7" max="7" width="10.285156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8" t="s">
        <v>148</v>
      </c>
      <c r="C3" s="78"/>
      <c r="D3" s="78"/>
      <c r="E3" s="78"/>
      <c r="F3" s="78"/>
      <c r="G3" s="78"/>
      <c r="H3" s="78"/>
      <c r="I3" s="1"/>
    </row>
    <row r="4" spans="1:9" ht="15" customHeight="1" x14ac:dyDescent="0.25">
      <c r="A4" s="1"/>
      <c r="B4" s="78"/>
      <c r="C4" s="78"/>
      <c r="D4" s="78"/>
      <c r="E4" s="78"/>
      <c r="F4" s="78"/>
      <c r="G4" s="78"/>
      <c r="H4" s="78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83" t="s">
        <v>10</v>
      </c>
      <c r="C8" s="84"/>
      <c r="D8" s="84"/>
      <c r="E8" s="84"/>
      <c r="F8" s="84"/>
      <c r="G8" s="84"/>
      <c r="H8" s="85"/>
      <c r="I8" s="1"/>
    </row>
    <row r="9" spans="1:9" x14ac:dyDescent="0.25">
      <c r="A9" s="1"/>
      <c r="B9" s="96" t="s">
        <v>131</v>
      </c>
      <c r="C9" s="97"/>
      <c r="D9" s="97"/>
      <c r="E9" s="97"/>
      <c r="F9" s="98"/>
      <c r="G9" s="25">
        <v>7.9199737765736026E-3</v>
      </c>
      <c r="H9" s="14"/>
      <c r="I9" s="1"/>
    </row>
    <row r="10" spans="1:9" x14ac:dyDescent="0.25">
      <c r="A10" s="1"/>
      <c r="B10" s="96" t="s">
        <v>132</v>
      </c>
      <c r="C10" s="97"/>
      <c r="D10" s="97"/>
      <c r="E10" s="97"/>
      <c r="F10" s="98"/>
      <c r="G10" s="25">
        <v>8.1919969487005383E-3</v>
      </c>
      <c r="H10" s="14"/>
      <c r="I10" s="1"/>
    </row>
    <row r="11" spans="1:9" x14ac:dyDescent="0.25">
      <c r="A11" s="1"/>
      <c r="B11" s="96" t="s">
        <v>133</v>
      </c>
      <c r="C11" s="97"/>
      <c r="D11" s="97"/>
      <c r="E11" s="97"/>
      <c r="F11" s="98"/>
      <c r="G11" s="43">
        <v>3.695011630093315E-3</v>
      </c>
      <c r="H11" s="14"/>
      <c r="I11" s="1"/>
    </row>
    <row r="12" spans="1:9" x14ac:dyDescent="0.25">
      <c r="A12" s="1"/>
      <c r="B12" s="40"/>
      <c r="C12" s="34"/>
      <c r="D12" s="34"/>
      <c r="E12" s="34"/>
      <c r="F12" s="34"/>
      <c r="G12" s="34"/>
      <c r="H12" s="22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30.75" customHeight="1" x14ac:dyDescent="0.25">
      <c r="A14" s="20"/>
      <c r="B14" s="103" t="s">
        <v>78</v>
      </c>
      <c r="C14" s="103"/>
      <c r="D14" s="103"/>
      <c r="E14" s="103"/>
      <c r="F14" s="103"/>
      <c r="G14" s="103"/>
      <c r="H14" s="103"/>
      <c r="I14" s="20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XxI3+5Tma8JWN4CdxLbasFLLTmHnKYhJFIhl5im8AjUNXXVnZKx1kubpEYnCC188wpD7kjNTyNOu+WiW25om0Q==" saltValue="AA8jBdFkMcshzJaTww+b+A==" spinCount="100000" sheet="1" objects="1" scenarios="1"/>
  <mergeCells count="6">
    <mergeCell ref="B3:H4"/>
    <mergeCell ref="B14:H14"/>
    <mergeCell ref="B9:F9"/>
    <mergeCell ref="B8:H8"/>
    <mergeCell ref="B10:F10"/>
    <mergeCell ref="B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1. Forside</vt:lpstr>
      <vt:lpstr>Fane 2.1. Økonomisk ramme 2020</vt:lpstr>
      <vt:lpstr>Fane 2.2. Økonomisk ramme 2021</vt:lpstr>
      <vt:lpstr>Fane 2.3. Økonomisk ramme 2022</vt:lpstr>
      <vt:lpstr>Fane 2.4. Økonomisk ramme 2023</vt:lpstr>
      <vt:lpstr>Fane 3. Omkostninger i ØR2019</vt:lpstr>
      <vt:lpstr>Fane 4.1. Gen. krav - drift</vt:lpstr>
      <vt:lpstr>Fane 4.2. Gen. krav - anlæg</vt:lpstr>
      <vt:lpstr>Fane 5. Individuelt eff. krav</vt:lpstr>
      <vt:lpstr>Fane 6. Ikke-påvirkelige omk.</vt:lpstr>
      <vt:lpstr>Fane 7. Kontrol af ØR2018</vt:lpstr>
      <vt:lpstr>Fane 8. Korrektioner</vt:lpstr>
      <vt:lpstr>Fane 9. Anlægsprojekter</vt:lpstr>
      <vt:lpstr>Fane 10.1. Varige tillæg</vt:lpstr>
      <vt:lpstr>Fane 10.2. Engangstillæg</vt:lpstr>
      <vt:lpstr>Fane 11. Periodevise driftsomk.</vt:lpstr>
      <vt:lpstr>Fane 12. Tilknyttet aktivitet</vt:lpstr>
      <vt:lpstr>Fane 13. Bortfald</vt:lpstr>
      <vt:lpstr>Fane 14. Hist. over-underdæk.</vt:lpstr>
      <vt:lpstr>Fane 15. Nøgletal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Mie Nørgaard Hilstrøm</cp:lastModifiedBy>
  <cp:lastPrinted>2016-06-14T12:57:30Z</cp:lastPrinted>
  <dcterms:created xsi:type="dcterms:W3CDTF">2016-06-02T08:51:18Z</dcterms:created>
  <dcterms:modified xsi:type="dcterms:W3CDTF">2019-10-15T08:59:50Z</dcterms:modified>
</cp:coreProperties>
</file>