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Vandcenter Syd AS (S099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19" i="40" l="1"/>
  <c r="E16" i="40" l="1"/>
  <c r="E12" i="40"/>
  <c r="G8" i="30" l="1"/>
  <c r="E23" i="27" l="1"/>
  <c r="E24" i="27" s="1"/>
  <c r="E29" i="20" l="1"/>
  <c r="E23" i="20"/>
  <c r="E17" i="20"/>
  <c r="E11" i="20"/>
  <c r="E21" i="32" l="1"/>
  <c r="E12" i="32"/>
  <c r="E26" i="32" l="1"/>
  <c r="E28" i="32" s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s="1"/>
  <c r="E20" i="27" l="1"/>
  <c r="E31" i="27" s="1"/>
  <c r="C9" i="2" l="1"/>
  <c r="C26" i="15" l="1"/>
  <c r="F11" i="11" l="1"/>
  <c r="C10" i="37" s="1"/>
  <c r="C13" i="37" s="1"/>
  <c r="C14" i="37" s="1"/>
  <c r="C10" i="2" s="1"/>
  <c r="G11" i="11"/>
  <c r="E11" i="21" l="1"/>
  <c r="C11" i="21"/>
  <c r="E11" i="29"/>
  <c r="C11" i="29"/>
  <c r="C14" i="19"/>
  <c r="C15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11" i="11"/>
  <c r="E10" i="37" s="1"/>
  <c r="E13" i="37" s="1"/>
  <c r="E14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<sst xmlns="http://schemas.openxmlformats.org/spreadsheetml/2006/main" count="673" uniqueCount="268">
  <si>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</si>
  <si>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</si>
  <si>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</si>
  <si>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</si>
  <si>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</si>
  <si>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</si>
  <si>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</si>
  <si>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</si>
  <si>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</si>
  <si>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</si>
  <si>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</si>
  <si>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</si>
  <si>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</si>
  <si>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</si>
  <si>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</si>
  <si>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</si>
  <si>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</si>
  <si>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</si>
  <si>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</si>
  <si>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</si>
  <si>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</si>
  <si>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</si>
  <si>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</si>
  <si>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</si>
  <si>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</si>
  <si>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</si>
  <si>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</si>
  <si>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</si>
  <si>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</si>
  <si>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</si>
  <si>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</si>
  <si>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</si>
  <si>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</si>
  <si>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</si>
  <si>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</si>
  <si>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</si>
  <si>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</si>
  <si>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</si>
  <si>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</si>
  <si>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</si>
  <si>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</si>
  <si>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</si>
  <si>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</si>
  <si>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</si>
  <si>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</si>
  <si>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</si>
  <si>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</si>
  <si>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</si>
  <si>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</si>
  <si>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</si>
  <si>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</si>
  <si>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</si>
  <si>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</si>
  <si>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</si>
  <si>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</si>
  <si>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</si>
  <si>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</si>
  <si>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</si>
  <si>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</si>
  <si>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</si>
  <si>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</si>
  <si>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</si>
  <si>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</si>
  <si>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</si>
  <si>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</si>
  <si>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</si>
  <si>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</si>
  <si>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</si>
  <si>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</si>
  <si>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</si>
  <si>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</si>
  <si>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</si>
  <si>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</si>
  <si>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</si>
  <si>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</si>
  <si>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</si>
  <si>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</si>
  <si>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</si>
  <si>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</si>
  <si>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</si>
  <si>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</si>
  <si>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</si>
  <si>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</si>
  <si>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</si>
  <si>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</si>
  <si>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</si>
  <si>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</si>
  <si>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</si>
  <si>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</si>
  <si>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</si>
  <si>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</si>
  <si>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</si>
  <si>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</si>
  <si>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</si>
  <si>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</si>
  <si>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</si>
  <si>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</si>
  <si>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</si>
  <si>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</si>
  <si>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</si>
  <si>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</si>
  <si>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</si>
  <si>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</si>
  <si>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</si>
  <si>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</si>
  <si>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</si>
  <si>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</si>
  <si>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</si>
  <si>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</si>
  <si>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</si>
  <si>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</si>
  <si>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</si>
  <si>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</si>
  <si>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</si>
  <si>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</si>
  <si>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</si>
  <si>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</si>
  <si>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</si>
  <si>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</si>
  <si>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</si>
  <si>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</si>
  <si>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</si>
  <si>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</si>
  <si>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</si>
  <si>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</si>
  <si>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</si>
  <si>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</si>
  <si>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</si>
  <si>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</si>
  <si>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</si>
  <si>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</si>
  <si>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</si>
  <si>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</si>
  <si>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</si>
  <si>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</si>
  <si>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</si>
  <si>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</si>
  <si>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</si>
  <si>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</si>
  <si>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</si>
  <si>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</si>
  <si>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</si>
  <si>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</si>
  <si>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</si>
  <si>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</si>
  <si>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</si>
  <si>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</si>
  <si>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</si>
  <si>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</si>
  <si>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</si>
  <si>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</si>
  <si>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</si>
  <si>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</si>
  <si>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</si>
  <si>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</si>
  <si>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</si>
  <si>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</si>
  <si>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</si>
  <si>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</si>
  <si>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</si>
  <si>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</si>
  <si>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</si>
  <si>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</si>
  <si>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</si>
  <si>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</si>
  <si>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</si>
  <si>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</si>
  <si>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</si>
  <si>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</si>
  <si>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</si>
  <si>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</si>
  <si>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</si>
  <si>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</si>
  <si>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</si>
  <si>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</si>
  <si>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</si>
  <si>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</si>
  <si>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</si>
  <si>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</si>
  <si>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</si>
  <si>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</si>
  <si>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</si>
  <si>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</si>
  <si>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</si>
  <si>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</si>
  <si>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</si>
  <si>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</si>
  <si>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</si>
  <si>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</si>
  <si>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</si>
  <si>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</si>
  <si>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</si>
  <si>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</si>
  <si>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</si>
  <si>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</si>
  <si>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</si>
  <si>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</si>
  <si>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</si>
  <si>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</si>
  <si>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</si>
  <si>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</si>
  <si>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</si>
  <si>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</si>
  <si>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</si>
  <si>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</si>
  <si>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</si>
  <si>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</si>
  <si>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</si>
  <si>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</si>
  <si>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</si>
  <si>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</si>
  <si>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</si>
  <si>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</si>
  <si>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</si>
  <si>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</si>
  <si>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</si>
  <si>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</si>
  <si>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</si>
  <si>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</si>
  <si>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</si>
  <si>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</si>
  <si>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</si>
  <si>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</si>
  <si>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</si>
  <si>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</si>
  <si>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</si>
  <si>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</si>
  <si>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</si>
  <si>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</si>
  <si>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</si>
  <si>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</si>
  <si>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</si>
  <si>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</si>
  <si>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</si>
  <si>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</si>
  <si>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</si>
  <si>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</si>
  <si>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</si>
  <si>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</si>
  <si>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</si>
  <si>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</si>
  <si>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</si>
  <si>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</si>
  <si>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</si>
  <si>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</si>
  <si>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</si>
  <si>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</si>
  <si>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</si>
  <si>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</si>
  <si>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</si>
  <si>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</si>
  <si>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</si>
  <si>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</si>
  <si>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</si>
  <si>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</si>
  <si>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</si>
  <si>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</si>
  <si>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</si>
  <si>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</si>
  <si>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Spildevandsafgift</t>
  </si>
  <si>
    <t>Afgift til Forsyningssekretariatet</t>
  </si>
  <si>
    <t>Ejendomsskatter</t>
  </si>
  <si>
    <t>Tjenestemandspensioner</t>
  </si>
  <si>
    <t>Odense Letbane og TBT projekt</t>
  </si>
  <si>
    <t>Nyudstykninger og byggemodninger</t>
  </si>
  <si>
    <t>Ingen engangstillæg</t>
  </si>
  <si>
    <t>Ingen anlægsprojekter</t>
  </si>
  <si>
    <t>Anlægsprojekter igangsat senest 1. marts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</si>
</sst>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0" fontId="15" fillId="2" borderId="0" xfId="0" applyFont="1" applyFill="1" applyAlignment="1" applyProtection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1" fontId="8" fillId="0" borderId="1" xfId="0" applyNumberFormat="1" applyFont="1" applyFill="1" applyBorder="1" applyProtection="1"/>
    <xf numFmtId="49" fontId="8" fillId="9" borderId="2" xfId="0" applyNumberFormat="1" applyFont="1" applyFill="1" applyBorder="1" applyAlignment="1" applyProtection="1">
      <alignment horizontal="left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1" t="s">
        <v>4</v>
      </c>
      <c r="E6" s="61"/>
      <c r="F6" s="61"/>
      <c r="G6" s="61"/>
      <c r="H6" s="3"/>
      <c r="I6" s="1"/>
    </row>
    <row r="7" spans="1:9" ht="15" customHeight="1" x14ac:dyDescent="0.25">
      <c r="A7" s="1"/>
      <c r="B7" s="1"/>
      <c r="C7" s="3"/>
      <c r="D7" s="61"/>
      <c r="E7" s="61"/>
      <c r="F7" s="61"/>
      <c r="G7" s="61"/>
      <c r="H7" s="3"/>
      <c r="I7" s="1"/>
    </row>
    <row r="8" spans="1:9" ht="15.75" x14ac:dyDescent="0.25">
      <c r="A8" s="1"/>
      <c r="B8" s="1"/>
      <c r="C8" s="4"/>
      <c r="D8" s="69" t="s">
        <v>172</v>
      </c>
      <c r="E8" s="69"/>
      <c r="F8" s="69"/>
      <c r="G8" s="69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8" t="s">
        <v>5</v>
      </c>
      <c r="E11" s="68"/>
      <c r="F11" s="68"/>
      <c r="G11" s="68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58" t="s">
        <v>52</v>
      </c>
      <c r="E13" s="59"/>
      <c r="F13" s="59"/>
      <c r="G13" s="60"/>
      <c r="H13" s="1"/>
      <c r="I13" s="1"/>
    </row>
    <row r="14" spans="1:9" x14ac:dyDescent="0.25">
      <c r="A14" s="1"/>
      <c r="B14" s="1"/>
      <c r="C14" s="6" t="s">
        <v>23</v>
      </c>
      <c r="D14" s="58" t="s">
        <v>54</v>
      </c>
      <c r="E14" s="59"/>
      <c r="F14" s="59"/>
      <c r="G14" s="60"/>
      <c r="H14" s="1"/>
      <c r="I14" s="1"/>
    </row>
    <row r="15" spans="1:9" x14ac:dyDescent="0.25">
      <c r="A15" s="1"/>
      <c r="B15" s="1"/>
      <c r="C15" s="6" t="s">
        <v>51</v>
      </c>
      <c r="D15" s="58" t="s">
        <v>135</v>
      </c>
      <c r="E15" s="59"/>
      <c r="F15" s="59"/>
      <c r="G15" s="60"/>
      <c r="H15" s="1"/>
      <c r="I15" s="1"/>
    </row>
    <row r="16" spans="1:9" x14ac:dyDescent="0.25">
      <c r="A16" s="1"/>
      <c r="B16" s="1"/>
      <c r="C16" s="6" t="s">
        <v>53</v>
      </c>
      <c r="D16" s="58" t="s">
        <v>136</v>
      </c>
      <c r="E16" s="59"/>
      <c r="F16" s="59"/>
      <c r="G16" s="60"/>
      <c r="H16" s="1"/>
      <c r="I16" s="1"/>
    </row>
    <row r="17" spans="1:9" x14ac:dyDescent="0.25">
      <c r="A17" s="1"/>
      <c r="B17" s="1"/>
      <c r="C17" s="6" t="s">
        <v>241</v>
      </c>
      <c r="D17" s="58" t="s">
        <v>63</v>
      </c>
      <c r="E17" s="59"/>
      <c r="F17" s="59"/>
      <c r="G17" s="60"/>
      <c r="H17" s="1"/>
      <c r="I17" s="1"/>
    </row>
    <row r="18" spans="1:9" x14ac:dyDescent="0.25">
      <c r="A18" s="1"/>
      <c r="B18" s="1"/>
      <c r="C18" s="6" t="s">
        <v>212</v>
      </c>
      <c r="D18" s="70" t="s">
        <v>180</v>
      </c>
      <c r="E18" s="71"/>
      <c r="F18" s="71"/>
      <c r="G18" s="72"/>
      <c r="H18" s="1"/>
      <c r="I18" s="1"/>
    </row>
    <row r="19" spans="1:9" x14ac:dyDescent="0.25">
      <c r="A19" s="1"/>
      <c r="B19" s="1"/>
      <c r="C19" s="6" t="s">
        <v>213</v>
      </c>
      <c r="D19" s="70" t="s">
        <v>181</v>
      </c>
      <c r="E19" s="71"/>
      <c r="F19" s="71"/>
      <c r="G19" s="72"/>
      <c r="H19" s="1"/>
      <c r="I19" s="1"/>
    </row>
    <row r="20" spans="1:9" x14ac:dyDescent="0.25">
      <c r="A20" s="1"/>
      <c r="B20" s="1"/>
      <c r="C20" s="6" t="s">
        <v>7</v>
      </c>
      <c r="D20" s="70" t="s">
        <v>10</v>
      </c>
      <c r="E20" s="71"/>
      <c r="F20" s="71"/>
      <c r="G20" s="72"/>
      <c r="H20" s="1"/>
      <c r="I20" s="1"/>
    </row>
    <row r="21" spans="1:9" x14ac:dyDescent="0.25">
      <c r="A21" s="1"/>
      <c r="B21" s="1"/>
      <c r="C21" s="6" t="s">
        <v>214</v>
      </c>
      <c r="D21" s="62" t="s">
        <v>17</v>
      </c>
      <c r="E21" s="63"/>
      <c r="F21" s="63"/>
      <c r="G21" s="64"/>
      <c r="H21" s="1"/>
      <c r="I21" s="1"/>
    </row>
    <row r="22" spans="1:9" x14ac:dyDescent="0.25">
      <c r="A22" s="1"/>
      <c r="B22" s="1"/>
      <c r="C22" s="6" t="s">
        <v>142</v>
      </c>
      <c r="D22" s="65" t="s">
        <v>176</v>
      </c>
      <c r="E22" s="66"/>
      <c r="F22" s="66"/>
      <c r="G22" s="67"/>
      <c r="H22" s="1"/>
      <c r="I22" s="1"/>
    </row>
    <row r="23" spans="1:9" x14ac:dyDescent="0.25">
      <c r="A23" s="1"/>
      <c r="B23" s="1"/>
      <c r="C23" s="6" t="s">
        <v>8</v>
      </c>
      <c r="D23" s="65" t="s">
        <v>249</v>
      </c>
      <c r="E23" s="66"/>
      <c r="F23" s="66"/>
      <c r="G23" s="67"/>
      <c r="H23" s="1"/>
      <c r="I23" s="1"/>
    </row>
    <row r="24" spans="1:9" x14ac:dyDescent="0.25">
      <c r="A24" s="1"/>
      <c r="B24" s="1"/>
      <c r="C24" s="6" t="s">
        <v>9</v>
      </c>
      <c r="D24" s="65" t="s">
        <v>55</v>
      </c>
      <c r="E24" s="66"/>
      <c r="F24" s="66"/>
      <c r="G24" s="67"/>
      <c r="H24" s="1"/>
      <c r="I24" s="1"/>
    </row>
    <row r="25" spans="1:9" x14ac:dyDescent="0.25">
      <c r="A25" s="1"/>
      <c r="B25" s="1"/>
      <c r="C25" s="6" t="s">
        <v>215</v>
      </c>
      <c r="D25" s="65" t="s">
        <v>143</v>
      </c>
      <c r="E25" s="66"/>
      <c r="F25" s="66"/>
      <c r="G25" s="67"/>
      <c r="H25" s="1"/>
      <c r="I25" s="1"/>
    </row>
    <row r="26" spans="1:9" x14ac:dyDescent="0.25">
      <c r="A26" s="1"/>
      <c r="B26" s="1"/>
      <c r="C26" s="6" t="s">
        <v>216</v>
      </c>
      <c r="D26" s="65" t="s">
        <v>144</v>
      </c>
      <c r="E26" s="66"/>
      <c r="F26" s="66"/>
      <c r="G26" s="67"/>
      <c r="H26" s="1"/>
      <c r="I26" s="1"/>
    </row>
    <row r="27" spans="1:9" x14ac:dyDescent="0.25">
      <c r="A27" s="1"/>
      <c r="B27" s="1"/>
      <c r="C27" s="6" t="s">
        <v>217</v>
      </c>
      <c r="D27" s="65" t="s">
        <v>145</v>
      </c>
      <c r="E27" s="66"/>
      <c r="F27" s="66"/>
      <c r="G27" s="67"/>
      <c r="H27" s="1"/>
      <c r="I27" s="1"/>
    </row>
    <row r="28" spans="1:9" x14ac:dyDescent="0.25">
      <c r="A28" s="1"/>
      <c r="B28" s="1"/>
      <c r="C28" s="6" t="s">
        <v>22</v>
      </c>
      <c r="D28" s="65" t="s">
        <v>56</v>
      </c>
      <c r="E28" s="66"/>
      <c r="F28" s="66"/>
      <c r="G28" s="67"/>
      <c r="H28" s="1"/>
      <c r="I28" s="1"/>
    </row>
    <row r="29" spans="1:9" x14ac:dyDescent="0.25">
      <c r="A29" s="1"/>
      <c r="B29" s="1"/>
      <c r="C29" s="6" t="s">
        <v>58</v>
      </c>
      <c r="D29" s="65" t="s">
        <v>57</v>
      </c>
      <c r="E29" s="66"/>
      <c r="F29" s="66"/>
      <c r="G29" s="67"/>
      <c r="H29" s="1"/>
      <c r="I29" s="1"/>
    </row>
    <row r="30" spans="1:9" x14ac:dyDescent="0.25">
      <c r="A30" s="1"/>
      <c r="B30" s="1"/>
      <c r="C30" s="6" t="s">
        <v>59</v>
      </c>
      <c r="D30" s="76" t="s">
        <v>11</v>
      </c>
      <c r="E30" s="77"/>
      <c r="F30" s="77"/>
      <c r="G30" s="78"/>
      <c r="H30" s="1"/>
      <c r="I30" s="1"/>
    </row>
    <row r="31" spans="1:9" x14ac:dyDescent="0.25">
      <c r="A31" s="1"/>
      <c r="B31" s="1"/>
      <c r="C31" s="6" t="s">
        <v>175</v>
      </c>
      <c r="D31" s="73" t="s">
        <v>207</v>
      </c>
      <c r="E31" s="74"/>
      <c r="F31" s="74"/>
      <c r="G31" s="75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AZ408psij7O2/p8Juw12QPubnb0uqVfuEp5q3+pVEDVkJoujw2Y7bTdVcuvUD7MzaL848ZM2GcPrMDlf6c6Pxg==" saltValue="8qCkJLsUoqKqxon6fu7Dtg==" spinCount="100000" sheet="1" objects="1" scenarios="1"/>
  <mergeCells count="22"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0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9" t="s">
        <v>220</v>
      </c>
      <c r="C3" s="79"/>
      <c r="D3" s="79"/>
      <c r="E3" s="1"/>
      <c r="F3" s="1"/>
    </row>
    <row r="4" spans="1:6" ht="15" customHeight="1" x14ac:dyDescent="0.25">
      <c r="A4" s="1"/>
      <c r="B4" s="79"/>
      <c r="C4" s="79"/>
      <c r="D4" s="79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94" t="s">
        <v>66</v>
      </c>
      <c r="C8" s="95"/>
      <c r="D8" s="96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3" t="s">
        <v>259</v>
      </c>
      <c r="C10" s="9">
        <v>5505759</v>
      </c>
      <c r="D10" s="14" t="s">
        <v>3</v>
      </c>
      <c r="E10" s="1"/>
      <c r="F10" s="1"/>
    </row>
    <row r="11" spans="1:6" x14ac:dyDescent="0.25">
      <c r="A11" s="1"/>
      <c r="B11" s="53" t="s">
        <v>260</v>
      </c>
      <c r="C11" s="9">
        <v>151636</v>
      </c>
      <c r="D11" s="14" t="s">
        <v>3</v>
      </c>
      <c r="E11" s="1"/>
      <c r="F11" s="1"/>
    </row>
    <row r="12" spans="1:6" x14ac:dyDescent="0.25">
      <c r="A12" s="1"/>
      <c r="B12" s="53" t="s">
        <v>261</v>
      </c>
      <c r="C12" s="9">
        <v>498440</v>
      </c>
      <c r="D12" s="14" t="s">
        <v>3</v>
      </c>
      <c r="E12" s="1"/>
      <c r="F12" s="1"/>
    </row>
    <row r="13" spans="1:6" x14ac:dyDescent="0.25">
      <c r="A13" s="1"/>
      <c r="B13" s="53" t="s">
        <v>262</v>
      </c>
      <c r="C13" s="9">
        <v>757460</v>
      </c>
      <c r="D13" s="14" t="s">
        <v>3</v>
      </c>
      <c r="E13" s="1"/>
      <c r="F13" s="1"/>
    </row>
    <row r="14" spans="1:6" x14ac:dyDescent="0.25">
      <c r="A14" s="1"/>
      <c r="B14" s="40" t="s">
        <v>68</v>
      </c>
      <c r="C14" s="12">
        <f>SUM(C10:C13)</f>
        <v>6913295</v>
      </c>
      <c r="D14" s="13" t="s">
        <v>3</v>
      </c>
      <c r="E14" s="1"/>
      <c r="F14" s="1"/>
    </row>
    <row r="15" spans="1:6" x14ac:dyDescent="0.25">
      <c r="A15" s="1"/>
      <c r="B15" s="40" t="s">
        <v>69</v>
      </c>
      <c r="C15" s="12">
        <f>C14*(1+'Fane 15. Nøgletal'!C12)^2</f>
        <v>7188361.8036565501</v>
      </c>
      <c r="D15" s="13" t="s">
        <v>3</v>
      </c>
      <c r="E15" s="1"/>
      <c r="F15" s="1"/>
    </row>
    <row r="16" spans="1:6" x14ac:dyDescent="0.25">
      <c r="A16" s="1"/>
      <c r="B16" s="16"/>
      <c r="C16" s="15"/>
      <c r="D16" s="15"/>
      <c r="E16" s="1"/>
      <c r="F16" s="1"/>
    </row>
    <row r="17" spans="1:6" x14ac:dyDescent="0.25">
      <c r="A17" s="1"/>
      <c r="B17" s="16"/>
      <c r="C17" s="15"/>
      <c r="D17" s="15"/>
      <c r="E17" s="1"/>
      <c r="F17" s="1"/>
    </row>
    <row r="18" spans="1:6" x14ac:dyDescent="0.25">
      <c r="A18" s="1"/>
      <c r="B18" s="94" t="s">
        <v>236</v>
      </c>
      <c r="C18" s="95"/>
      <c r="D18" s="96"/>
      <c r="E18" s="1"/>
      <c r="F18" s="1"/>
    </row>
    <row r="19" spans="1:6" x14ac:dyDescent="0.25">
      <c r="A19" s="1"/>
      <c r="B19" s="53" t="s">
        <v>197</v>
      </c>
      <c r="C19" s="9">
        <v>354000</v>
      </c>
      <c r="D19" s="14" t="s">
        <v>3</v>
      </c>
      <c r="E19" s="1"/>
      <c r="F19" s="1"/>
    </row>
    <row r="20" spans="1:6" x14ac:dyDescent="0.25">
      <c r="A20" s="1"/>
      <c r="B20" s="53" t="s">
        <v>198</v>
      </c>
      <c r="C20" s="9">
        <v>354000</v>
      </c>
      <c r="D20" s="14" t="s">
        <v>3</v>
      </c>
      <c r="E20" s="1"/>
      <c r="F20" s="1"/>
    </row>
    <row r="21" spans="1:6" x14ac:dyDescent="0.25">
      <c r="A21" s="1"/>
      <c r="B21" s="53" t="s">
        <v>199</v>
      </c>
      <c r="C21" s="9">
        <v>354000</v>
      </c>
      <c r="D21" s="14" t="s">
        <v>3</v>
      </c>
      <c r="E21" s="1"/>
      <c r="F21" s="1"/>
    </row>
    <row r="22" spans="1:6" x14ac:dyDescent="0.25">
      <c r="A22" s="1"/>
      <c r="B22" s="53" t="s">
        <v>200</v>
      </c>
      <c r="C22" s="9">
        <v>0</v>
      </c>
      <c r="D22" s="14" t="s">
        <v>3</v>
      </c>
      <c r="E22" s="1"/>
      <c r="F22" s="1"/>
    </row>
    <row r="23" spans="1:6" x14ac:dyDescent="0.25">
      <c r="A23" s="1"/>
      <c r="B23" s="94"/>
      <c r="C23" s="95"/>
      <c r="D23" s="96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94" t="s">
        <v>196</v>
      </c>
      <c r="C26" s="95"/>
      <c r="D26" s="96"/>
      <c r="E26" s="1"/>
      <c r="F26" s="1"/>
    </row>
    <row r="27" spans="1:6" x14ac:dyDescent="0.25">
      <c r="A27" s="1"/>
      <c r="B27" s="53" t="s">
        <v>197</v>
      </c>
      <c r="C27" s="9">
        <v>0</v>
      </c>
      <c r="D27" s="14" t="s">
        <v>3</v>
      </c>
      <c r="E27" s="1"/>
      <c r="F27" s="1"/>
    </row>
    <row r="28" spans="1:6" x14ac:dyDescent="0.25">
      <c r="A28" s="1"/>
      <c r="B28" s="53" t="s">
        <v>198</v>
      </c>
      <c r="C28" s="9">
        <v>0</v>
      </c>
      <c r="D28" s="14" t="s">
        <v>3</v>
      </c>
      <c r="E28" s="1"/>
      <c r="F28" s="1"/>
    </row>
    <row r="29" spans="1:6" x14ac:dyDescent="0.25">
      <c r="A29" s="1"/>
      <c r="B29" s="53" t="s">
        <v>199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53" t="s">
        <v>200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94"/>
      <c r="C31" s="95"/>
      <c r="D31" s="96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</sheetData>
  <sheetProtection algorithmName="SHA-512" hashValue="pjz8Kw1VIeHvVrr/7mpr8PWsYWd4Ao+rH7zcf9wkGQ2tAU+jQRKOupg7nzPQhj5wV008Oh1uS4hJU4L2VhdCeQ==" saltValue="9Cycjc0F5w2q+6KaMXHr5A==" spinCount="100000" sheet="1" objects="1" scenarios="1"/>
  <mergeCells count="6">
    <mergeCell ref="B31:D31"/>
    <mergeCell ref="B3:D4"/>
    <mergeCell ref="B8:D8"/>
    <mergeCell ref="B18:D18"/>
    <mergeCell ref="B26:D26"/>
    <mergeCell ref="B23:D23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4" t="s">
        <v>226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ht="15" customHeight="1" x14ac:dyDescent="0.25">
      <c r="A5" s="1"/>
      <c r="B5" s="51"/>
      <c r="C5" s="51"/>
      <c r="D5" s="51"/>
      <c r="E5" s="51"/>
      <c r="F5" s="51"/>
      <c r="G5" s="1"/>
    </row>
    <row r="6" spans="1:7" ht="15" customHeight="1" x14ac:dyDescent="0.25">
      <c r="A6" s="1"/>
      <c r="B6" s="51"/>
      <c r="C6" s="51"/>
      <c r="D6" s="51"/>
      <c r="E6" s="51"/>
      <c r="F6" s="5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183</v>
      </c>
      <c r="C8" s="95"/>
      <c r="D8" s="95"/>
      <c r="E8" s="95"/>
      <c r="F8" s="96"/>
      <c r="G8" s="1"/>
    </row>
    <row r="9" spans="1:7" x14ac:dyDescent="0.25">
      <c r="A9" s="1"/>
      <c r="B9" s="97" t="s">
        <v>184</v>
      </c>
      <c r="C9" s="98"/>
      <c r="D9" s="99"/>
      <c r="E9" s="9">
        <v>389951691.84808087</v>
      </c>
      <c r="F9" s="14" t="s">
        <v>3</v>
      </c>
      <c r="G9" s="1"/>
    </row>
    <row r="10" spans="1:7" x14ac:dyDescent="0.25">
      <c r="A10" s="1"/>
      <c r="B10" s="97" t="s">
        <v>185</v>
      </c>
      <c r="C10" s="98"/>
      <c r="D10" s="99"/>
      <c r="E10" s="9">
        <v>383985620.37</v>
      </c>
      <c r="F10" s="14" t="s">
        <v>3</v>
      </c>
      <c r="G10" s="1"/>
    </row>
    <row r="11" spans="1:7" x14ac:dyDescent="0.25">
      <c r="A11" s="1"/>
      <c r="B11" s="97" t="s">
        <v>50</v>
      </c>
      <c r="C11" s="98"/>
      <c r="D11" s="99"/>
      <c r="E11" s="9">
        <v>0</v>
      </c>
      <c r="F11" s="14" t="s">
        <v>3</v>
      </c>
      <c r="G11" s="1"/>
    </row>
    <row r="12" spans="1:7" x14ac:dyDescent="0.25">
      <c r="A12" s="1"/>
      <c r="B12" s="88" t="s">
        <v>186</v>
      </c>
      <c r="C12" s="89"/>
      <c r="D12" s="90"/>
      <c r="E12" s="10">
        <f>E9-(E10-E11)</f>
        <v>5966071.4780808687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1" t="s">
        <v>208</v>
      </c>
      <c r="C14" s="82"/>
      <c r="D14" s="82"/>
      <c r="E14" s="82"/>
      <c r="F14" s="83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94" t="s">
        <v>73</v>
      </c>
      <c r="C17" s="95"/>
      <c r="D17" s="95"/>
      <c r="E17" s="95"/>
      <c r="F17" s="96"/>
      <c r="G17" s="1"/>
    </row>
    <row r="18" spans="1:7" x14ac:dyDescent="0.25">
      <c r="A18" s="1"/>
      <c r="B18" s="97" t="s">
        <v>74</v>
      </c>
      <c r="C18" s="98"/>
      <c r="D18" s="99"/>
      <c r="E18" s="9">
        <v>358880118.62570775</v>
      </c>
      <c r="F18" s="14" t="s">
        <v>3</v>
      </c>
      <c r="G18" s="1"/>
    </row>
    <row r="19" spans="1:7" x14ac:dyDescent="0.25">
      <c r="A19" s="1"/>
      <c r="B19" s="97" t="s">
        <v>75</v>
      </c>
      <c r="C19" s="98"/>
      <c r="D19" s="99"/>
      <c r="E19" s="9">
        <v>369588934</v>
      </c>
      <c r="F19" s="14" t="s">
        <v>3</v>
      </c>
      <c r="G19" s="1"/>
    </row>
    <row r="20" spans="1:7" x14ac:dyDescent="0.25">
      <c r="A20" s="1"/>
      <c r="B20" s="97" t="s">
        <v>50</v>
      </c>
      <c r="C20" s="98"/>
      <c r="D20" s="99"/>
      <c r="E20" s="9">
        <v>0</v>
      </c>
      <c r="F20" s="14" t="s">
        <v>3</v>
      </c>
      <c r="G20" s="1"/>
    </row>
    <row r="21" spans="1:7" x14ac:dyDescent="0.25">
      <c r="A21" s="1"/>
      <c r="B21" s="88" t="s">
        <v>76</v>
      </c>
      <c r="C21" s="89"/>
      <c r="D21" s="90"/>
      <c r="E21" s="10">
        <f>E18-(E19-E20)</f>
        <v>-10708815.374292254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94" t="s">
        <v>179</v>
      </c>
      <c r="C25" s="95"/>
      <c r="D25" s="95"/>
      <c r="E25" s="95"/>
      <c r="F25" s="96"/>
      <c r="G25" s="1"/>
    </row>
    <row r="26" spans="1:7" x14ac:dyDescent="0.25">
      <c r="A26" s="1"/>
      <c r="B26" s="105" t="s">
        <v>174</v>
      </c>
      <c r="C26" s="106"/>
      <c r="D26" s="107"/>
      <c r="E26" s="9">
        <f>IF(E12+E21&lt;0,E12+E21,0)</f>
        <v>-4742743.8962113857</v>
      </c>
      <c r="F26" s="14" t="s">
        <v>3</v>
      </c>
      <c r="G26" s="1"/>
    </row>
    <row r="27" spans="1:7" x14ac:dyDescent="0.25">
      <c r="A27" s="1"/>
      <c r="B27" s="105" t="s">
        <v>204</v>
      </c>
      <c r="C27" s="106"/>
      <c r="D27" s="107"/>
      <c r="E27" s="9">
        <v>2</v>
      </c>
      <c r="F27" s="14" t="s">
        <v>28</v>
      </c>
      <c r="G27" s="1"/>
    </row>
    <row r="28" spans="1:7" x14ac:dyDescent="0.25">
      <c r="A28" s="1"/>
      <c r="B28" s="88" t="s">
        <v>251</v>
      </c>
      <c r="C28" s="89"/>
      <c r="D28" s="90"/>
      <c r="E28" s="10">
        <f>E26/E27</f>
        <v>-2371371.9481056929</v>
      </c>
      <c r="F28" s="17" t="s">
        <v>3</v>
      </c>
      <c r="G28" s="1"/>
    </row>
    <row r="29" spans="1:7" x14ac:dyDescent="0.25">
      <c r="A29" s="1"/>
      <c r="B29" s="108"/>
      <c r="C29" s="109"/>
      <c r="D29" s="109"/>
      <c r="E29" s="109"/>
      <c r="F29" s="110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2u6e/50c/vLc9oXSFEH5Y8IPfkuu81klpKjBry2Q67rPeeC/O4HQ5uaMfG8ubMu6ck3VfwBPt8q1MCJQ8c0yHg==" saltValue="NuCKyiPj97kyskjIsYzjOw==" spinCount="100000" sheet="1" objects="1" scenarios="1"/>
  <mergeCells count="17">
    <mergeCell ref="B25:F25"/>
    <mergeCell ref="B26:D26"/>
    <mergeCell ref="B29:F29"/>
    <mergeCell ref="B27:D27"/>
    <mergeCell ref="B28:D28"/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4" t="s">
        <v>252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94" t="s">
        <v>177</v>
      </c>
      <c r="C9" s="95"/>
      <c r="D9" s="95"/>
      <c r="E9" s="95"/>
      <c r="F9" s="95"/>
      <c r="G9" s="1"/>
    </row>
    <row r="10" spans="1:7" x14ac:dyDescent="0.25">
      <c r="A10" s="1"/>
      <c r="B10" s="81" t="s">
        <v>201</v>
      </c>
      <c r="C10" s="82"/>
      <c r="D10" s="83"/>
      <c r="E10" s="7">
        <v>0</v>
      </c>
      <c r="F10" s="8" t="s">
        <v>3</v>
      </c>
      <c r="G10" s="1"/>
    </row>
    <row r="11" spans="1:7" x14ac:dyDescent="0.25">
      <c r="A11" s="1"/>
      <c r="B11" s="97" t="s">
        <v>202</v>
      </c>
      <c r="C11" s="98"/>
      <c r="D11" s="99"/>
      <c r="E11" s="7">
        <v>0</v>
      </c>
      <c r="F11" s="8" t="s">
        <v>3</v>
      </c>
      <c r="G11" s="1"/>
    </row>
    <row r="12" spans="1:7" x14ac:dyDescent="0.25">
      <c r="A12" s="1"/>
      <c r="B12" s="88" t="s">
        <v>203</v>
      </c>
      <c r="C12" s="89"/>
      <c r="D12" s="90"/>
      <c r="E12" s="10">
        <f>E11-E10</f>
        <v>0</v>
      </c>
      <c r="F12" s="11" t="s">
        <v>3</v>
      </c>
      <c r="G12" s="1"/>
    </row>
    <row r="13" spans="1:7" x14ac:dyDescent="0.25">
      <c r="A13" s="1"/>
      <c r="B13" s="94" t="s">
        <v>178</v>
      </c>
      <c r="C13" s="95"/>
      <c r="D13" s="95"/>
      <c r="E13" s="95"/>
      <c r="F13" s="95"/>
      <c r="G13" s="1"/>
    </row>
    <row r="14" spans="1:7" x14ac:dyDescent="0.25">
      <c r="A14" s="1"/>
      <c r="B14" s="97" t="s">
        <v>210</v>
      </c>
      <c r="C14" s="98"/>
      <c r="D14" s="99"/>
      <c r="E14" s="9">
        <v>0</v>
      </c>
      <c r="F14" s="8" t="s">
        <v>3</v>
      </c>
      <c r="G14" s="1"/>
    </row>
    <row r="15" spans="1:7" x14ac:dyDescent="0.25">
      <c r="A15" s="1"/>
      <c r="B15" s="81" t="s">
        <v>211</v>
      </c>
      <c r="C15" s="82"/>
      <c r="D15" s="83"/>
      <c r="E15" s="9">
        <v>231476</v>
      </c>
      <c r="F15" s="8" t="s">
        <v>3</v>
      </c>
      <c r="G15" s="1"/>
    </row>
    <row r="16" spans="1:7" x14ac:dyDescent="0.25">
      <c r="A16" s="1"/>
      <c r="B16" s="88" t="s">
        <v>203</v>
      </c>
      <c r="C16" s="89"/>
      <c r="D16" s="90"/>
      <c r="E16" s="10">
        <f>E15-E14</f>
        <v>231476</v>
      </c>
      <c r="F16" s="11" t="s">
        <v>3</v>
      </c>
      <c r="G16" s="1"/>
    </row>
    <row r="17" spans="1:7" ht="15" customHeight="1" x14ac:dyDescent="0.25">
      <c r="A17" s="1"/>
      <c r="B17" s="94" t="s">
        <v>173</v>
      </c>
      <c r="C17" s="95"/>
      <c r="D17" s="95"/>
      <c r="E17" s="95"/>
      <c r="F17" s="95"/>
      <c r="G17" s="1"/>
    </row>
    <row r="18" spans="1:7" ht="28.15" customHeight="1" x14ac:dyDescent="0.25">
      <c r="A18" s="1"/>
      <c r="B18" s="81" t="s">
        <v>258</v>
      </c>
      <c r="C18" s="82"/>
      <c r="D18" s="83"/>
      <c r="E18" s="9">
        <v>0</v>
      </c>
      <c r="F18" s="8" t="s">
        <v>3</v>
      </c>
      <c r="G18" s="1"/>
    </row>
    <row r="19" spans="1:7" ht="29.25" customHeight="1" x14ac:dyDescent="0.25">
      <c r="A19" s="1"/>
      <c r="B19" s="91" t="s">
        <v>182</v>
      </c>
      <c r="C19" s="92"/>
      <c r="D19" s="93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2683.2977440903342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234159.29774409032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RSwyPSoPnlIHaKchL9q5zYhVdgXt4qwW9Wxo6nfN1QQh4OD0K4bMONFUkcdhI8i84BKTeHA7kDvEHOXjwhZC5A==" saltValue="RpRMGgwi/6OAtGvYE7lnhg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253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254</v>
      </c>
      <c r="C8" s="95"/>
      <c r="D8" s="95"/>
      <c r="E8" s="95"/>
      <c r="F8" s="95"/>
      <c r="G8" s="95"/>
      <c r="H8" s="96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x14ac:dyDescent="0.25">
      <c r="A10" s="1"/>
      <c r="B10" s="55" t="s">
        <v>266</v>
      </c>
      <c r="C10" s="56"/>
      <c r="D10" s="9"/>
      <c r="E10" s="9"/>
      <c r="F10" s="9"/>
      <c r="G10" s="9"/>
      <c r="H10" s="14" t="s">
        <v>3</v>
      </c>
      <c r="I10" s="1"/>
    </row>
    <row r="11" spans="1:9" x14ac:dyDescent="0.25">
      <c r="A11" s="1"/>
      <c r="B11" s="94" t="s">
        <v>255</v>
      </c>
      <c r="C11" s="95"/>
      <c r="D11" s="96"/>
      <c r="E11" s="12">
        <f>SUM(E10:E10)</f>
        <v>0</v>
      </c>
      <c r="F11" s="12">
        <f>SUM(F10:F10)</f>
        <v>0</v>
      </c>
      <c r="G11" s="12">
        <f>SUM(G10:G10)</f>
        <v>0</v>
      </c>
      <c r="H11" s="13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Jbnnv1IQXuOLGARktcvK68XNCSSo5VufsDg0qfuCeOrMK8fBrHQgmmHlxwZ5kS3CcGGCMrStJHZgBqmfAq22MQ==" saltValue="+DP4gBHYV+YuA93R/0JKCA==" spinCount="100000" sheet="1" objects="1" scenarios="1"/>
  <mergeCells count="3">
    <mergeCell ref="B3:H4"/>
    <mergeCell ref="B11:D11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225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49" t="s">
        <v>25</v>
      </c>
      <c r="C9" s="49" t="s">
        <v>16</v>
      </c>
      <c r="D9" s="50"/>
      <c r="E9" s="49" t="s">
        <v>48</v>
      </c>
      <c r="F9" s="39"/>
      <c r="G9" s="1"/>
    </row>
    <row r="10" spans="1:7" x14ac:dyDescent="0.25">
      <c r="A10" s="1"/>
      <c r="B10" s="27" t="s">
        <v>267</v>
      </c>
      <c r="C10" s="24">
        <f>'Fane 9. Anlægsprojekter'!F11</f>
        <v>0</v>
      </c>
      <c r="D10" s="14" t="s">
        <v>3</v>
      </c>
      <c r="E10" s="9">
        <f>SUM('Fane 9. Anlægsprojekter'!E11,'Fane 9. Anlægsprojekter'!G11)</f>
        <v>0</v>
      </c>
      <c r="F10" s="14" t="s">
        <v>3</v>
      </c>
      <c r="G10" s="1"/>
    </row>
    <row r="11" spans="1:7" x14ac:dyDescent="0.25">
      <c r="A11" s="1"/>
      <c r="B11" s="57" t="s">
        <v>263</v>
      </c>
      <c r="C11" s="24">
        <v>0</v>
      </c>
      <c r="D11" s="14" t="s">
        <v>3</v>
      </c>
      <c r="E11" s="9">
        <v>229056</v>
      </c>
      <c r="F11" s="14" t="s">
        <v>3</v>
      </c>
      <c r="G11" s="1"/>
    </row>
    <row r="12" spans="1:7" x14ac:dyDescent="0.25">
      <c r="A12" s="1"/>
      <c r="B12" s="27" t="s">
        <v>264</v>
      </c>
      <c r="C12" s="24">
        <v>0</v>
      </c>
      <c r="D12" s="14" t="s">
        <v>3</v>
      </c>
      <c r="E12" s="9">
        <v>880090</v>
      </c>
      <c r="F12" s="14" t="s">
        <v>3</v>
      </c>
      <c r="G12" s="1"/>
    </row>
    <row r="13" spans="1:7" x14ac:dyDescent="0.25">
      <c r="A13" s="1"/>
      <c r="B13" s="40" t="s">
        <v>60</v>
      </c>
      <c r="C13" s="12">
        <f>SUM(C10:C12)</f>
        <v>0</v>
      </c>
      <c r="D13" s="13" t="s">
        <v>3</v>
      </c>
      <c r="E13" s="12">
        <f>SUM(E10:E12)</f>
        <v>1109146</v>
      </c>
      <c r="F13" s="13" t="s">
        <v>3</v>
      </c>
      <c r="G13" s="1"/>
    </row>
    <row r="14" spans="1:7" x14ac:dyDescent="0.25">
      <c r="A14" s="1"/>
      <c r="B14" s="40" t="s">
        <v>70</v>
      </c>
      <c r="C14" s="12">
        <f>C13*(1+'Fane 15. Nøgletal'!C12)</f>
        <v>0</v>
      </c>
      <c r="D14" s="13" t="s">
        <v>3</v>
      </c>
      <c r="E14" s="12">
        <f>E13*(1+'Fane 15. Nøgletal'!C12)</f>
        <v>1130996.1762000001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kJjHWm3yrWAoW3V8ux55hgPrdmAU4Tfuq8JYxVGRapr7GvKg0/373fTy8hepzJCTn1YWV0FXoV0/s2HfnKBFgw==" saltValue="+p6qiYO2i7YfQYrL95BmHQ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224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187</v>
      </c>
      <c r="C8" s="95"/>
      <c r="D8" s="95"/>
      <c r="E8" s="95"/>
      <c r="F8" s="96"/>
      <c r="G8" s="1"/>
    </row>
    <row r="9" spans="1:7" x14ac:dyDescent="0.25">
      <c r="A9" s="1"/>
      <c r="B9" s="49" t="s">
        <v>25</v>
      </c>
      <c r="C9" s="49" t="s">
        <v>16</v>
      </c>
      <c r="D9" s="50"/>
      <c r="E9" s="49" t="s">
        <v>48</v>
      </c>
      <c r="F9" s="39"/>
      <c r="G9" s="1"/>
    </row>
    <row r="10" spans="1:7" x14ac:dyDescent="0.25">
      <c r="A10" s="1"/>
      <c r="B10" s="27" t="s">
        <v>265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94" t="s">
        <v>188</v>
      </c>
      <c r="C16" s="95"/>
      <c r="D16" s="95"/>
      <c r="E16" s="95"/>
      <c r="F16" s="96"/>
      <c r="G16" s="1"/>
    </row>
    <row r="17" spans="1:7" x14ac:dyDescent="0.25">
      <c r="A17" s="1"/>
      <c r="B17" s="49" t="s">
        <v>25</v>
      </c>
      <c r="C17" s="49" t="s">
        <v>16</v>
      </c>
      <c r="D17" s="50"/>
      <c r="E17" s="49" t="s">
        <v>48</v>
      </c>
      <c r="F17" s="39"/>
      <c r="G17" s="1"/>
    </row>
    <row r="18" spans="1:7" x14ac:dyDescent="0.25">
      <c r="A18" s="1"/>
      <c r="B18" s="27" t="s">
        <v>265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94" t="s">
        <v>189</v>
      </c>
      <c r="C24" s="95"/>
      <c r="D24" s="95"/>
      <c r="E24" s="95"/>
      <c r="F24" s="96"/>
      <c r="G24" s="1"/>
    </row>
    <row r="25" spans="1:7" x14ac:dyDescent="0.25">
      <c r="A25" s="1"/>
      <c r="B25" s="49" t="s">
        <v>25</v>
      </c>
      <c r="C25" s="49" t="s">
        <v>16</v>
      </c>
      <c r="D25" s="50"/>
      <c r="E25" s="49" t="s">
        <v>48</v>
      </c>
      <c r="F25" s="39"/>
      <c r="G25" s="1"/>
    </row>
    <row r="26" spans="1:7" x14ac:dyDescent="0.25">
      <c r="A26" s="1"/>
      <c r="B26" s="27" t="s">
        <v>265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94" t="s">
        <v>190</v>
      </c>
      <c r="C32" s="95"/>
      <c r="D32" s="95"/>
      <c r="E32" s="95"/>
      <c r="F32" s="96"/>
      <c r="G32" s="1"/>
    </row>
    <row r="33" spans="1:7" x14ac:dyDescent="0.25">
      <c r="A33" s="1"/>
      <c r="B33" s="49" t="s">
        <v>25</v>
      </c>
      <c r="C33" s="49" t="s">
        <v>16</v>
      </c>
      <c r="D33" s="50"/>
      <c r="E33" s="49" t="s">
        <v>48</v>
      </c>
      <c r="F33" s="39"/>
      <c r="G33" s="1"/>
    </row>
    <row r="34" spans="1:7" x14ac:dyDescent="0.25">
      <c r="A34" s="1"/>
      <c r="B34" s="27" t="s">
        <v>265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hn7DRe+47nb/6COIiNodHvAnJEybcOn+bCGDZ2bK4TNRQVI2C0CZtUbfHQonONU3tutlXbRq4vkHaDEnqXu+EA==" saltValue="RX4z5HrJHmSzDfqYEG71bQ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227</v>
      </c>
      <c r="C3" s="84"/>
      <c r="D3" s="84"/>
      <c r="E3" s="84"/>
      <c r="F3" s="84"/>
      <c r="G3" s="1"/>
    </row>
    <row r="4" spans="1:7" ht="1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84"/>
      <c r="C5" s="84"/>
      <c r="D5" s="84"/>
      <c r="E5" s="84"/>
      <c r="F5" s="84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160</v>
      </c>
      <c r="C8" s="95"/>
      <c r="D8" s="95"/>
      <c r="E8" s="95"/>
      <c r="F8" s="96"/>
      <c r="G8" s="1"/>
    </row>
    <row r="9" spans="1:7" x14ac:dyDescent="0.25">
      <c r="A9" s="1"/>
      <c r="B9" s="111" t="s">
        <v>159</v>
      </c>
      <c r="C9" s="112"/>
      <c r="D9" s="113"/>
      <c r="E9" s="9">
        <v>0</v>
      </c>
      <c r="F9" s="14" t="s">
        <v>3</v>
      </c>
      <c r="G9" s="1"/>
    </row>
    <row r="10" spans="1:7" x14ac:dyDescent="0.25">
      <c r="A10" s="1"/>
      <c r="B10" s="85" t="s">
        <v>10</v>
      </c>
      <c r="C10" s="86"/>
      <c r="D10" s="87"/>
      <c r="E10" s="9">
        <f>-E9*'Fane 5. Individuelt eff. krav'!G11</f>
        <v>0</v>
      </c>
      <c r="F10" s="14" t="s">
        <v>3</v>
      </c>
      <c r="G10" s="1"/>
    </row>
    <row r="11" spans="1:7" x14ac:dyDescent="0.25">
      <c r="A11" s="1"/>
      <c r="B11" s="85" t="s">
        <v>39</v>
      </c>
      <c r="C11" s="86"/>
      <c r="D11" s="87"/>
      <c r="E11" s="9">
        <f>-E9*'Fane 15. Nøgletal'!C25</f>
        <v>0</v>
      </c>
      <c r="F11" s="14" t="s">
        <v>3</v>
      </c>
      <c r="G11" s="1"/>
    </row>
    <row r="12" spans="1:7" x14ac:dyDescent="0.25">
      <c r="A12" s="1"/>
      <c r="B12" s="94" t="s">
        <v>164</v>
      </c>
      <c r="C12" s="95"/>
      <c r="D12" s="96"/>
      <c r="E12" s="12">
        <f>SUM(E9:E11)*(1+'Fane 15. Nøgletal'!C12)^2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4" t="s">
        <v>161</v>
      </c>
      <c r="C14" s="95"/>
      <c r="D14" s="95"/>
      <c r="E14" s="95"/>
      <c r="F14" s="96"/>
      <c r="G14" s="1"/>
    </row>
    <row r="15" spans="1:7" x14ac:dyDescent="0.25">
      <c r="A15" s="1"/>
      <c r="B15" s="111" t="s">
        <v>159</v>
      </c>
      <c r="C15" s="112"/>
      <c r="D15" s="113"/>
      <c r="E15" s="9">
        <v>0</v>
      </c>
      <c r="F15" s="14" t="s">
        <v>3</v>
      </c>
      <c r="G15" s="1"/>
    </row>
    <row r="16" spans="1:7" x14ac:dyDescent="0.25">
      <c r="A16" s="1"/>
      <c r="B16" s="85" t="s">
        <v>10</v>
      </c>
      <c r="C16" s="86"/>
      <c r="D16" s="87"/>
      <c r="E16" s="9">
        <f>-E15*'Fane 5. Individuelt eff. krav'!G11</f>
        <v>0</v>
      </c>
      <c r="F16" s="14" t="s">
        <v>3</v>
      </c>
      <c r="G16" s="1"/>
    </row>
    <row r="17" spans="1:7" x14ac:dyDescent="0.25">
      <c r="A17" s="1"/>
      <c r="B17" s="85" t="s">
        <v>39</v>
      </c>
      <c r="C17" s="86"/>
      <c r="D17" s="87"/>
      <c r="E17" s="9">
        <f>-E15*'Fane 15. Nøgletal'!C25</f>
        <v>0</v>
      </c>
      <c r="F17" s="14" t="s">
        <v>3</v>
      </c>
      <c r="G17" s="1"/>
    </row>
    <row r="18" spans="1:7" x14ac:dyDescent="0.25">
      <c r="A18" s="1"/>
      <c r="B18" s="94" t="s">
        <v>165</v>
      </c>
      <c r="C18" s="95"/>
      <c r="D18" s="96"/>
      <c r="E18" s="12">
        <f>SUM(E15:E17)*(1+'Fane 15. Nøgletal'!C12)^3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4" t="s">
        <v>162</v>
      </c>
      <c r="C20" s="95"/>
      <c r="D20" s="95"/>
      <c r="E20" s="95"/>
      <c r="F20" s="96"/>
      <c r="G20" s="1"/>
    </row>
    <row r="21" spans="1:7" x14ac:dyDescent="0.25">
      <c r="A21" s="1"/>
      <c r="B21" s="111" t="s">
        <v>159</v>
      </c>
      <c r="C21" s="112"/>
      <c r="D21" s="113"/>
      <c r="E21" s="9">
        <v>0</v>
      </c>
      <c r="F21" s="14" t="s">
        <v>3</v>
      </c>
      <c r="G21" s="1"/>
    </row>
    <row r="22" spans="1:7" x14ac:dyDescent="0.25">
      <c r="A22" s="1"/>
      <c r="B22" s="85" t="s">
        <v>10</v>
      </c>
      <c r="C22" s="86"/>
      <c r="D22" s="87"/>
      <c r="E22" s="9">
        <f>-E21*'Fane 5. Individuelt eff. krav'!G11</f>
        <v>0</v>
      </c>
      <c r="F22" s="14" t="s">
        <v>3</v>
      </c>
      <c r="G22" s="1"/>
    </row>
    <row r="23" spans="1:7" x14ac:dyDescent="0.25">
      <c r="A23" s="1"/>
      <c r="B23" s="85" t="s">
        <v>39</v>
      </c>
      <c r="C23" s="86"/>
      <c r="D23" s="87"/>
      <c r="E23" s="9">
        <f>-E21*'Fane 15. Nøgletal'!C25</f>
        <v>0</v>
      </c>
      <c r="F23" s="14" t="s">
        <v>3</v>
      </c>
      <c r="G23" s="1"/>
    </row>
    <row r="24" spans="1:7" x14ac:dyDescent="0.25">
      <c r="A24" s="1"/>
      <c r="B24" s="94" t="s">
        <v>166</v>
      </c>
      <c r="C24" s="95"/>
      <c r="D24" s="96"/>
      <c r="E24" s="12">
        <f>SUM(E21:E23)*(1+'Fane 15. Nøgletal'!C12)^4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4" t="s">
        <v>163</v>
      </c>
      <c r="C26" s="95"/>
      <c r="D26" s="95"/>
      <c r="E26" s="95"/>
      <c r="F26" s="96"/>
      <c r="G26" s="1"/>
    </row>
    <row r="27" spans="1:7" x14ac:dyDescent="0.25">
      <c r="A27" s="1"/>
      <c r="B27" s="111" t="s">
        <v>159</v>
      </c>
      <c r="C27" s="112"/>
      <c r="D27" s="113"/>
      <c r="E27" s="9">
        <v>0</v>
      </c>
      <c r="F27" s="14" t="s">
        <v>3</v>
      </c>
      <c r="G27" s="1"/>
    </row>
    <row r="28" spans="1:7" x14ac:dyDescent="0.25">
      <c r="A28" s="1"/>
      <c r="B28" s="85" t="s">
        <v>10</v>
      </c>
      <c r="C28" s="86"/>
      <c r="D28" s="87"/>
      <c r="E28" s="9">
        <f>-E27*'Fane 5. Individuelt eff. krav'!G11</f>
        <v>0</v>
      </c>
      <c r="F28" s="14" t="s">
        <v>3</v>
      </c>
      <c r="G28" s="1"/>
    </row>
    <row r="29" spans="1:7" x14ac:dyDescent="0.25">
      <c r="A29" s="1"/>
      <c r="B29" s="85" t="s">
        <v>39</v>
      </c>
      <c r="C29" s="86"/>
      <c r="D29" s="87"/>
      <c r="E29" s="9">
        <f>-E27*'Fane 15. Nøgletal'!C25</f>
        <v>0</v>
      </c>
      <c r="F29" s="14" t="s">
        <v>3</v>
      </c>
      <c r="G29" s="1"/>
    </row>
    <row r="30" spans="1:7" x14ac:dyDescent="0.25">
      <c r="A30" s="1"/>
      <c r="B30" s="94" t="s">
        <v>167</v>
      </c>
      <c r="C30" s="95"/>
      <c r="D30" s="96"/>
      <c r="E30" s="12">
        <f>SUM(E27:E29)*(1+'Fane 15. Nøgletal'!C12)^5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xFgavXOxY//M3/rexpLKjV/IUZe6Ljv3dB02k0VVvMR5Kbt+h5Sy+BYy68qKvNrryV0BMjeOLUXu5dfqqvJ+XQ==" saltValue="eOIUzOqx+3q2B/4FprOXsg==" spinCount="100000" sheet="1" objects="1" scenarios="1"/>
  <mergeCells count="21"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223</v>
      </c>
      <c r="C3" s="84"/>
      <c r="D3" s="84"/>
      <c r="E3" s="84"/>
      <c r="F3" s="84"/>
      <c r="G3" s="1"/>
    </row>
    <row r="4" spans="1:7" ht="25.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32</v>
      </c>
      <c r="C8" s="95"/>
      <c r="D8" s="95"/>
      <c r="E8" s="95"/>
      <c r="F8" s="96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68/wI74LJmgGw9fmR7zImQoT7ZVqnGXoYbgKPD+aKjQdIoTLfn7h/FfZjj8bMbgpOmrqPTIR54o3gArfGm9soQ==" saltValue="CGobAmvH7IZx8j01oqJ6IA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222</v>
      </c>
      <c r="C3" s="84"/>
      <c r="D3" s="84"/>
      <c r="E3" s="84"/>
      <c r="F3" s="84"/>
      <c r="G3" s="1"/>
    </row>
    <row r="4" spans="1:7" ht="25.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4" t="s">
        <v>169</v>
      </c>
      <c r="C8" s="95"/>
      <c r="D8" s="95"/>
      <c r="E8" s="95"/>
      <c r="F8" s="96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4" t="s">
        <v>170</v>
      </c>
      <c r="C14" s="95"/>
      <c r="D14" s="95"/>
      <c r="E14" s="95"/>
      <c r="F14" s="96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4" t="s">
        <v>168</v>
      </c>
      <c r="C20" s="95"/>
      <c r="D20" s="95"/>
      <c r="E20" s="95"/>
      <c r="F20" s="96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4" t="s">
        <v>171</v>
      </c>
      <c r="C26" s="95"/>
      <c r="D26" s="95"/>
      <c r="E26" s="95"/>
      <c r="F26" s="96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rwklB8w/bG34bFmZgBmBwMYb2Jxn24tadDRdgVhAGLDS1trY9PbPtrj3KiDDN9/genpX/2Rkr9K4WL01Hn1kig==" saltValue="yuVXyMYTd9IUTLDdngHgOQ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221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18</v>
      </c>
      <c r="C8" s="95"/>
      <c r="D8" s="95"/>
      <c r="E8" s="95"/>
      <c r="F8" s="95"/>
      <c r="G8" s="95"/>
      <c r="H8" s="96"/>
      <c r="I8" s="1"/>
    </row>
    <row r="9" spans="1:9" x14ac:dyDescent="0.25">
      <c r="A9" s="1"/>
      <c r="B9" s="97" t="s">
        <v>12</v>
      </c>
      <c r="C9" s="98"/>
      <c r="D9" s="98"/>
      <c r="E9" s="98"/>
      <c r="F9" s="99"/>
      <c r="G9" s="9">
        <v>-6881954</v>
      </c>
      <c r="H9" s="14" t="s">
        <v>3</v>
      </c>
      <c r="I9" s="1"/>
    </row>
    <row r="10" spans="1:9" x14ac:dyDescent="0.25">
      <c r="A10" s="1"/>
      <c r="B10" s="97" t="s">
        <v>137</v>
      </c>
      <c r="C10" s="98"/>
      <c r="D10" s="98"/>
      <c r="E10" s="98"/>
      <c r="F10" s="99"/>
      <c r="G10" s="9">
        <v>-7854452</v>
      </c>
      <c r="H10" s="14" t="s">
        <v>3</v>
      </c>
      <c r="I10" s="1"/>
    </row>
    <row r="11" spans="1:9" x14ac:dyDescent="0.25">
      <c r="A11" s="1"/>
      <c r="B11" s="97" t="s">
        <v>77</v>
      </c>
      <c r="C11" s="98"/>
      <c r="D11" s="98"/>
      <c r="E11" s="98"/>
      <c r="F11" s="99"/>
      <c r="G11" s="9">
        <v>10809180</v>
      </c>
      <c r="H11" s="14" t="s">
        <v>3</v>
      </c>
      <c r="I11" s="1"/>
    </row>
    <row r="12" spans="1:9" x14ac:dyDescent="0.25">
      <c r="A12" s="1"/>
      <c r="B12" s="114" t="s">
        <v>15</v>
      </c>
      <c r="C12" s="115"/>
      <c r="D12" s="115"/>
      <c r="E12" s="115"/>
      <c r="F12" s="116"/>
      <c r="G12" s="19">
        <f>(G9+G10)+G11</f>
        <v>-3927226</v>
      </c>
      <c r="H12" s="18" t="s">
        <v>3</v>
      </c>
      <c r="I12" s="1"/>
    </row>
    <row r="13" spans="1:9" x14ac:dyDescent="0.25">
      <c r="A13" s="1"/>
      <c r="B13" s="97" t="s">
        <v>13</v>
      </c>
      <c r="C13" s="98"/>
      <c r="D13" s="98"/>
      <c r="E13" s="98"/>
      <c r="F13" s="99"/>
      <c r="G13" s="9">
        <v>1</v>
      </c>
      <c r="H13" s="14" t="s">
        <v>28</v>
      </c>
      <c r="I13" s="1"/>
    </row>
    <row r="14" spans="1:9" x14ac:dyDescent="0.25">
      <c r="A14" s="1"/>
      <c r="B14" s="94" t="s">
        <v>138</v>
      </c>
      <c r="C14" s="95"/>
      <c r="D14" s="95"/>
      <c r="E14" s="95"/>
      <c r="F14" s="96"/>
      <c r="G14" s="12">
        <f>IF(G13 = 0,0,-G12/G13)</f>
        <v>3927226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EvafutJoYyaLXM7RIQWcPshVc/puUQImtF5/oXjWR+XWZDTVi3LOQ6AnzD8aoVjP6e2dq3OiROS/HEAHlRSj/w==" saltValue="u2gMq4fXuT13truABadaxQ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62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362585613.38485533</v>
      </c>
      <c r="D9" s="8" t="s">
        <v>3</v>
      </c>
      <c r="E9" s="1"/>
    </row>
    <row r="10" spans="1:5" ht="17.100000000000001" customHeight="1" x14ac:dyDescent="0.25">
      <c r="A10" s="1"/>
      <c r="B10" s="52" t="s">
        <v>64</v>
      </c>
      <c r="C10" s="7">
        <f>'Fane 10.1. Varige tillæg'!C14</f>
        <v>0</v>
      </c>
      <c r="D10" s="8" t="s">
        <v>3</v>
      </c>
      <c r="E10" s="1"/>
    </row>
    <row r="11" spans="1:5" ht="17.100000000000001" customHeight="1" x14ac:dyDescent="0.25">
      <c r="A11" s="1"/>
      <c r="B11" s="52" t="s">
        <v>65</v>
      </c>
      <c r="C11" s="9">
        <f>'Fane 10.1. Varige tillæg'!E14</f>
        <v>1130996.1762000001</v>
      </c>
      <c r="D11" s="8" t="s">
        <v>3</v>
      </c>
      <c r="E11" s="1"/>
    </row>
    <row r="12" spans="1:5" ht="17.100000000000001" customHeight="1" x14ac:dyDescent="0.25">
      <c r="A12" s="1"/>
      <c r="B12" s="52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52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52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52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52" t="s">
        <v>27</v>
      </c>
      <c r="C16" s="9">
        <f>SUM(C9:C15)*'Fane 15. Nøgletal'!C12</f>
        <v>7165217.2083527893</v>
      </c>
      <c r="D16" s="8" t="s">
        <v>3</v>
      </c>
      <c r="E16" s="1"/>
    </row>
    <row r="17" spans="1:5" ht="17.100000000000001" customHeight="1" x14ac:dyDescent="0.25">
      <c r="A17" s="1"/>
      <c r="B17" s="52" t="s">
        <v>10</v>
      </c>
      <c r="C17" s="9">
        <f>-SUM(C9:C16)*'Fane 5. Individuelt eff. krav'!G11</f>
        <v>-7417636.5353881624</v>
      </c>
      <c r="D17" s="8" t="s">
        <v>3</v>
      </c>
      <c r="E17" s="1"/>
    </row>
    <row r="18" spans="1:5" ht="17.100000000000001" customHeight="1" x14ac:dyDescent="0.25">
      <c r="A18" s="1"/>
      <c r="B18" s="52" t="s">
        <v>39</v>
      </c>
      <c r="C18" s="9">
        <f>-'Fane 4.1. Gen. krav - drift'!G28</f>
        <v>-2425204.469223741</v>
      </c>
      <c r="D18" s="8" t="s">
        <v>3</v>
      </c>
      <c r="E18" s="1"/>
    </row>
    <row r="19" spans="1:5" ht="17.100000000000001" customHeight="1" x14ac:dyDescent="0.25">
      <c r="A19" s="1"/>
      <c r="B19" s="52" t="s">
        <v>40</v>
      </c>
      <c r="C19" s="9">
        <f>-'Fane 4.2. Gen. krav - anlæg'!G25</f>
        <v>-7303740.6239892943</v>
      </c>
      <c r="D19" s="8" t="s">
        <v>3</v>
      </c>
      <c r="E19" s="1"/>
    </row>
    <row r="20" spans="1:5" ht="17.100000000000001" customHeight="1" x14ac:dyDescent="0.25">
      <c r="A20" s="1"/>
      <c r="B20" s="46" t="s">
        <v>29</v>
      </c>
      <c r="C20" s="10">
        <f>SUM(C9:C19)</f>
        <v>353735245.14080691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omk.'!C15+'Fane 6. Ikke-påvirkelige omk.'!C19+'Fane 6. Ikke-påvirkelige omk.'!C27</f>
        <v>7542361.8036565501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46" t="s">
        <v>145</v>
      </c>
      <c r="C24" s="10">
        <f>'Fane 11. Periodevise driftsomk.'!E12</f>
        <v>0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52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52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46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3927226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-2371371.9481056929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234159.29774409032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363067620.29410183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uLTusSVl8izJnPFwW/ut05uf++b2rdMbAuwToPXyNg5JzBwzeQOZVzxkk/4kl/ZeFwKMPl9jAwdCNXL2NGEbQQ==" saltValue="fEJHzzZnEjTFy7UEcyBXKQ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84" t="s">
        <v>248</v>
      </c>
      <c r="C3" s="84"/>
      <c r="D3" s="1"/>
    </row>
    <row r="4" spans="1:4" ht="25.5" customHeight="1" x14ac:dyDescent="0.25">
      <c r="A4" s="1"/>
      <c r="B4" s="84"/>
      <c r="C4" s="84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3" t="s">
        <v>228</v>
      </c>
      <c r="C9" s="28">
        <v>1.2699999999999999E-2</v>
      </c>
      <c r="D9" s="1"/>
    </row>
    <row r="10" spans="1:4" x14ac:dyDescent="0.25">
      <c r="A10" s="1"/>
      <c r="B10" s="53" t="s">
        <v>229</v>
      </c>
      <c r="C10" s="28">
        <v>1.7500000000000002E-2</v>
      </c>
      <c r="D10" s="1"/>
    </row>
    <row r="11" spans="1:4" x14ac:dyDescent="0.25">
      <c r="A11" s="1"/>
      <c r="B11" s="53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3" t="s">
        <v>231</v>
      </c>
      <c r="C17" s="25">
        <v>9.1000000000000004E-3</v>
      </c>
      <c r="D17" s="1"/>
    </row>
    <row r="18" spans="1:4" x14ac:dyDescent="0.25">
      <c r="A18" s="1"/>
      <c r="B18" s="53" t="s">
        <v>232</v>
      </c>
      <c r="C18" s="25">
        <v>1.77E-2</v>
      </c>
      <c r="D18" s="1"/>
    </row>
    <row r="19" spans="1:4" x14ac:dyDescent="0.25">
      <c r="A19" s="1"/>
      <c r="B19" s="53" t="s">
        <v>233</v>
      </c>
      <c r="C19" s="25">
        <v>8.6999999999999994E-3</v>
      </c>
      <c r="D19" s="1"/>
    </row>
    <row r="20" spans="1:4" x14ac:dyDescent="0.25">
      <c r="A20" s="1"/>
      <c r="B20" s="53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3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iQewfo1YfADH2vkQcrxSZOE0xCg5MKcWozCc2Ruf1g1YPEz82ZrmxNrCcL7aQmAhufC8GnyZGm9nx0hhiRslZA==" saltValue="mjfc0kxGe3qNlNXdxlTl0g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82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353735245.14080691</v>
      </c>
      <c r="D9" s="8" t="s">
        <v>3</v>
      </c>
      <c r="E9" s="1"/>
    </row>
    <row r="10" spans="1:5" ht="15" customHeight="1" x14ac:dyDescent="0.25">
      <c r="A10" s="1"/>
      <c r="B10" s="52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52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6968584.3292738954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-7214076.5894016158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-2423521.3773220996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-7236111.7837562785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343830119.71960086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Nøgletal'!C12)+'Fane 6. Ikke-påvirkelige omk.'!C20+'Fane 6. Ikke-påvirkelige omk.'!C28</f>
        <v>7683972.5311885849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6" t="s">
        <v>146</v>
      </c>
      <c r="C20" s="10">
        <f>'Fane 11. Periodevise driftsomk.'!E18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2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52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46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-2371371.9481056929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349142720.30268377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U6bQsTjFnj5L0DO9J0xwa2oVMEK6SAJ2u/l1jr8wRLC2ARnmjI3TvCbTnm3AkGFwk4B+zSf4pC1DzFR+6zBpfw==" saltValue="yXkIFikrTUMttO3Vlusu2g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246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5"/>
      <c r="C6" s="45"/>
      <c r="D6" s="45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2.2. Økonomisk ramme 2021'!C16</f>
        <v>343830119.71960086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6773453.3584761368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-7012071.4615615401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-2421839.4534862386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-7169109.1514168223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334000553.01161236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Nøgletal'!C12)^2+'Fane 6. Ikke-påvirkelige omk.'!C21+'Fane 6. Ikke-påvirkelige omk.'!C29</f>
        <v>7828372.9900529999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6" t="s">
        <v>146</v>
      </c>
      <c r="C20" s="10">
        <f>'Fane 11. Periodevise driftsomk.'!E24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2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52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46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341828926.00166535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847DUIwNdJgryB0wz7UJ/0wA+wahDCWFhfZL27n+nU5ess+HBpjqdQGepT1y5UpvcK3y+t8AMyWjAraYjqWMqA==" saltValue="/oHZu7aUhr8KsUxQZlILHQ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247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5"/>
      <c r="C6" s="45"/>
      <c r="D6" s="45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2.3. Økonomisk ramme 2022'!C16</f>
        <v>334000553.01161236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6579810.8943287628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-6811607.2781188227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-2420158.6969055193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-7102726.928611462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324245871.00230533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Nøgletal'!C12)^3+'Fane 6. Ikke-påvirkelige omk.'!C22+'Fane 6. Ikke-påvirkelige omk.'!C30</f>
        <v>7621618.1379570439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6" t="s">
        <v>146</v>
      </c>
      <c r="C20" s="10">
        <f>'Fane 11. Periodevise driftsomk.'!E30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2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52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46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331867489.14026237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81bhoPoLdmb4vJdaT8QXjqN/kDZOoNnKqChrbKaLfnBsmt+a3XnqB84ceCmMk8/3M7px6+daIcI9SynJ1ea+0Q==" saltValue="TmrMg8b1FaOIxtVQ453EMw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4" t="s">
        <v>243</v>
      </c>
      <c r="C3" s="84"/>
      <c r="D3" s="84"/>
      <c r="E3" s="84"/>
      <c r="F3" s="84"/>
      <c r="G3" s="1"/>
    </row>
    <row r="4" spans="1:7" ht="29.25" customHeight="1" x14ac:dyDescent="0.25">
      <c r="A4" s="1"/>
      <c r="B4" s="84"/>
      <c r="C4" s="84"/>
      <c r="D4" s="84"/>
      <c r="E4" s="84"/>
      <c r="F4" s="8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1" t="s">
        <v>79</v>
      </c>
      <c r="C9" s="82"/>
      <c r="D9" s="83"/>
      <c r="E9" s="7">
        <v>362627176.80851221</v>
      </c>
      <c r="F9" s="8" t="s">
        <v>3</v>
      </c>
      <c r="G9" s="1"/>
    </row>
    <row r="10" spans="1:7" ht="15" customHeight="1" x14ac:dyDescent="0.25">
      <c r="A10" s="1"/>
      <c r="B10" s="85" t="s">
        <v>64</v>
      </c>
      <c r="C10" s="86"/>
      <c r="D10" s="87"/>
      <c r="E10" s="7">
        <v>0</v>
      </c>
      <c r="F10" s="8" t="s">
        <v>3</v>
      </c>
      <c r="G10" s="1"/>
    </row>
    <row r="11" spans="1:7" ht="15" customHeight="1" x14ac:dyDescent="0.25">
      <c r="A11" s="1"/>
      <c r="B11" s="85" t="s">
        <v>65</v>
      </c>
      <c r="C11" s="86"/>
      <c r="D11" s="87"/>
      <c r="E11" s="9">
        <v>2982503.6352999997</v>
      </c>
      <c r="F11" s="8" t="s">
        <v>3</v>
      </c>
      <c r="G11" s="1"/>
    </row>
    <row r="12" spans="1:7" ht="15" customHeight="1" x14ac:dyDescent="0.25">
      <c r="A12" s="1"/>
      <c r="B12" s="85" t="s">
        <v>42</v>
      </c>
      <c r="C12" s="86"/>
      <c r="D12" s="87"/>
      <c r="E12" s="9">
        <v>0</v>
      </c>
      <c r="F12" s="8" t="s">
        <v>3</v>
      </c>
      <c r="G12" s="1"/>
    </row>
    <row r="13" spans="1:7" ht="15" customHeight="1" x14ac:dyDescent="0.25">
      <c r="A13" s="1"/>
      <c r="B13" s="81" t="s">
        <v>41</v>
      </c>
      <c r="C13" s="82"/>
      <c r="D13" s="83"/>
      <c r="E13" s="9">
        <v>0</v>
      </c>
      <c r="F13" s="8" t="s">
        <v>3</v>
      </c>
      <c r="G13" s="1"/>
    </row>
    <row r="14" spans="1:7" ht="15" customHeight="1" x14ac:dyDescent="0.25">
      <c r="A14" s="1"/>
      <c r="B14" s="81" t="s">
        <v>44</v>
      </c>
      <c r="C14" s="82"/>
      <c r="D14" s="83"/>
      <c r="E14" s="9">
        <v>0</v>
      </c>
      <c r="F14" s="8" t="s">
        <v>3</v>
      </c>
      <c r="G14" s="1"/>
    </row>
    <row r="15" spans="1:7" ht="15" customHeight="1" x14ac:dyDescent="0.25">
      <c r="A15" s="1"/>
      <c r="B15" s="81" t="s">
        <v>43</v>
      </c>
      <c r="C15" s="82"/>
      <c r="D15" s="83"/>
      <c r="E15" s="9">
        <v>0</v>
      </c>
      <c r="F15" s="8" t="s">
        <v>3</v>
      </c>
      <c r="G15" s="1"/>
    </row>
    <row r="16" spans="1:7" ht="15" customHeight="1" x14ac:dyDescent="0.25">
      <c r="A16" s="1"/>
      <c r="B16" s="81" t="s">
        <v>27</v>
      </c>
      <c r="C16" s="82"/>
      <c r="D16" s="83"/>
      <c r="E16" s="9">
        <f>E9*'Fane 15. Nøgletal'!C10+SUM(E10:E15)*'Fane 15. Nøgletal'!C11</f>
        <v>6396379.9055855349</v>
      </c>
      <c r="F16" s="8" t="s">
        <v>3</v>
      </c>
      <c r="G16" s="1"/>
    </row>
    <row r="17" spans="1:7" ht="15" customHeight="1" x14ac:dyDescent="0.25">
      <c r="A17" s="1"/>
      <c r="B17" s="81" t="s">
        <v>10</v>
      </c>
      <c r="C17" s="82"/>
      <c r="D17" s="83"/>
      <c r="E17" s="9">
        <f>-SUM(E9:E16)*'Fane 5. Individuelt eff. krav'!G10</f>
        <v>-2497250.7458226369</v>
      </c>
      <c r="F17" s="8" t="s">
        <v>3</v>
      </c>
      <c r="G17" s="1"/>
    </row>
    <row r="18" spans="1:7" ht="15" customHeight="1" x14ac:dyDescent="0.25">
      <c r="A18" s="1"/>
      <c r="B18" s="81" t="s">
        <v>39</v>
      </c>
      <c r="C18" s="82"/>
      <c r="D18" s="83"/>
      <c r="E18" s="9">
        <f>-'Fane 4.1. Gen. krav - drift'!G22</f>
        <v>-2426888.7300023623</v>
      </c>
      <c r="F18" s="8" t="s">
        <v>3</v>
      </c>
      <c r="G18" s="1"/>
    </row>
    <row r="19" spans="1:7" ht="15" customHeight="1" x14ac:dyDescent="0.25">
      <c r="A19" s="1"/>
      <c r="B19" s="81" t="s">
        <v>40</v>
      </c>
      <c r="C19" s="82"/>
      <c r="D19" s="83"/>
      <c r="E19" s="9">
        <f>-'Fane 4.2. Gen. krav - anlæg'!G19</f>
        <v>-4496307.4887174387</v>
      </c>
      <c r="F19" s="8" t="s">
        <v>3</v>
      </c>
      <c r="G19" s="1"/>
    </row>
    <row r="20" spans="1:7" ht="15" customHeight="1" x14ac:dyDescent="0.25">
      <c r="A20" s="1"/>
      <c r="B20" s="46" t="s">
        <v>29</v>
      </c>
      <c r="C20" s="47"/>
      <c r="D20" s="48"/>
      <c r="E20" s="10">
        <f>SUM(E9:E19)</f>
        <v>362585613.38485533</v>
      </c>
      <c r="F20" s="11" t="s">
        <v>3</v>
      </c>
      <c r="G20" s="1"/>
    </row>
    <row r="21" spans="1:7" ht="15" customHeight="1" x14ac:dyDescent="0.25">
      <c r="A21" s="1"/>
      <c r="B21" s="94" t="s">
        <v>145</v>
      </c>
      <c r="C21" s="95"/>
      <c r="D21" s="95"/>
      <c r="E21" s="95"/>
      <c r="F21" s="96"/>
      <c r="G21" s="1"/>
    </row>
    <row r="22" spans="1:7" ht="15" customHeight="1" x14ac:dyDescent="0.25">
      <c r="A22" s="1"/>
      <c r="B22" s="81" t="s">
        <v>239</v>
      </c>
      <c r="C22" s="82"/>
      <c r="D22" s="83"/>
      <c r="E22" s="44">
        <v>0</v>
      </c>
      <c r="F22" s="8" t="s">
        <v>3</v>
      </c>
      <c r="G22" s="1"/>
    </row>
    <row r="23" spans="1:7" ht="15" customHeight="1" x14ac:dyDescent="0.25">
      <c r="A23" s="1"/>
      <c r="B23" s="81" t="s">
        <v>238</v>
      </c>
      <c r="C23" s="82"/>
      <c r="D23" s="83"/>
      <c r="E23" s="44">
        <f>-E22*('Fane 15. Nøgletal'!C25+'Fane 5. Individuelt eff. krav'!G10)</f>
        <v>0</v>
      </c>
      <c r="F23" s="8" t="s">
        <v>3</v>
      </c>
      <c r="G23" s="1"/>
    </row>
    <row r="24" spans="1:7" ht="15" customHeight="1" x14ac:dyDescent="0.25">
      <c r="A24" s="1"/>
      <c r="B24" s="88" t="s">
        <v>240</v>
      </c>
      <c r="C24" s="89"/>
      <c r="D24" s="90"/>
      <c r="E24" s="10">
        <f>SUM(E22:E23)</f>
        <v>0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88" t="s">
        <v>17</v>
      </c>
      <c r="C26" s="89"/>
      <c r="D26" s="90"/>
      <c r="E26" s="10">
        <v>9151536.0654411074</v>
      </c>
      <c r="F26" s="11" t="s">
        <v>3</v>
      </c>
      <c r="G26" s="1"/>
    </row>
    <row r="27" spans="1:7" x14ac:dyDescent="0.25">
      <c r="A27" s="1"/>
      <c r="B27" s="40" t="s">
        <v>80</v>
      </c>
      <c r="C27" s="34"/>
      <c r="D27" s="34"/>
      <c r="E27" s="34"/>
      <c r="F27" s="22"/>
      <c r="G27" s="1"/>
    </row>
    <row r="28" spans="1:7" ht="27" customHeight="1" x14ac:dyDescent="0.25">
      <c r="A28" s="1"/>
      <c r="B28" s="91" t="s">
        <v>134</v>
      </c>
      <c r="C28" s="92"/>
      <c r="D28" s="93"/>
      <c r="E28" s="10">
        <v>-81405.601498969496</v>
      </c>
      <c r="F28" s="11" t="s">
        <v>3</v>
      </c>
      <c r="G28" s="1"/>
    </row>
    <row r="29" spans="1:7" x14ac:dyDescent="0.25">
      <c r="A29" s="1"/>
      <c r="B29" s="40" t="s">
        <v>11</v>
      </c>
      <c r="C29" s="34"/>
      <c r="D29" s="34"/>
      <c r="E29" s="34"/>
      <c r="F29" s="22"/>
      <c r="G29" s="1"/>
    </row>
    <row r="30" spans="1:7" ht="15" customHeight="1" x14ac:dyDescent="0.25">
      <c r="A30" s="1"/>
      <c r="B30" s="91" t="s">
        <v>19</v>
      </c>
      <c r="C30" s="92"/>
      <c r="D30" s="93"/>
      <c r="E30" s="10">
        <v>3927226</v>
      </c>
      <c r="F30" s="11" t="s">
        <v>3</v>
      </c>
      <c r="G30" s="1"/>
    </row>
    <row r="31" spans="1:7" x14ac:dyDescent="0.25">
      <c r="A31" s="1"/>
      <c r="B31" s="94" t="s">
        <v>24</v>
      </c>
      <c r="C31" s="95"/>
      <c r="D31" s="96"/>
      <c r="E31" s="12">
        <f>SUM(E30,E28,E26,E20,E24)</f>
        <v>375582969.84879744</v>
      </c>
      <c r="F31" s="13" t="s">
        <v>3</v>
      </c>
      <c r="G31" s="1"/>
    </row>
    <row r="32" spans="1:7" ht="27" customHeight="1" x14ac:dyDescent="0.25">
      <c r="A32" s="1"/>
      <c r="B32" s="81" t="s">
        <v>208</v>
      </c>
      <c r="C32" s="82"/>
      <c r="D32" s="82"/>
      <c r="E32" s="82"/>
      <c r="F32" s="83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4SFD6D9AxH61I00+fF+GokP57Ld7VsaEv08AZaLPDI99le5l6eIbWfdhiSvtHv+aWKTU59be+6rMSJTChO4rBg==" saltValue="/kjPVWOeLxU9GflBjdGBmw==" spinCount="100000" sheet="1" objects="1" scenarios="1"/>
  <mergeCells count="21">
    <mergeCell ref="B22:D22"/>
    <mergeCell ref="B23:D23"/>
    <mergeCell ref="B21:F21"/>
    <mergeCell ref="B24:D24"/>
    <mergeCell ref="B30:D30"/>
    <mergeCell ref="B32:F32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28:D28"/>
    <mergeCell ref="B31:D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79" t="s">
        <v>218</v>
      </c>
      <c r="C2" s="79"/>
      <c r="D2" s="79"/>
      <c r="E2" s="79"/>
      <c r="F2" s="79"/>
      <c r="G2" s="79"/>
      <c r="H2" s="79"/>
      <c r="I2" s="1"/>
    </row>
    <row r="3" spans="1:9" ht="15" customHeight="1" x14ac:dyDescent="0.25">
      <c r="A3" s="1"/>
      <c r="B3" s="79"/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94" t="s">
        <v>94</v>
      </c>
      <c r="C5" s="95"/>
      <c r="D5" s="95"/>
      <c r="E5" s="95"/>
      <c r="F5" s="95"/>
      <c r="G5" s="95"/>
      <c r="H5" s="96"/>
      <c r="I5" s="1"/>
    </row>
    <row r="6" spans="1:9" x14ac:dyDescent="0.25">
      <c r="A6" s="1"/>
      <c r="B6" s="97" t="s">
        <v>83</v>
      </c>
      <c r="C6" s="98"/>
      <c r="D6" s="98"/>
      <c r="E6" s="98"/>
      <c r="F6" s="99"/>
      <c r="G6" s="26">
        <v>122039067.92496116</v>
      </c>
      <c r="H6" s="14" t="s">
        <v>3</v>
      </c>
      <c r="I6" s="1"/>
    </row>
    <row r="7" spans="1:9" x14ac:dyDescent="0.25">
      <c r="A7" s="1"/>
      <c r="B7" s="81" t="s">
        <v>242</v>
      </c>
      <c r="C7" s="82"/>
      <c r="D7" s="82"/>
      <c r="E7" s="82"/>
      <c r="F7" s="83"/>
      <c r="G7" s="26">
        <v>0</v>
      </c>
      <c r="H7" s="14" t="s">
        <v>3</v>
      </c>
      <c r="I7" s="1"/>
    </row>
    <row r="8" spans="1:9" x14ac:dyDescent="0.25">
      <c r="A8" s="1"/>
      <c r="B8" s="97" t="s">
        <v>84</v>
      </c>
      <c r="C8" s="98"/>
      <c r="D8" s="98"/>
      <c r="E8" s="98"/>
      <c r="F8" s="99"/>
      <c r="G8" s="26">
        <f>SUM(G6:G7)*'Fane 15. Nøgletal'!C25</f>
        <v>2440781.3584992234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94" t="s">
        <v>95</v>
      </c>
      <c r="C11" s="95"/>
      <c r="D11" s="95"/>
      <c r="E11" s="95"/>
      <c r="F11" s="95"/>
      <c r="G11" s="95"/>
      <c r="H11" s="96"/>
      <c r="I11" s="1"/>
    </row>
    <row r="12" spans="1:9" x14ac:dyDescent="0.25">
      <c r="A12" s="1"/>
      <c r="B12" s="97" t="s">
        <v>85</v>
      </c>
      <c r="C12" s="98"/>
      <c r="D12" s="98"/>
      <c r="E12" s="98"/>
      <c r="F12" s="99"/>
      <c r="G12" s="26">
        <f>(G6-G8)*(1+'Fane 15. Nøgletal'!C10)</f>
        <v>121691256.58137503</v>
      </c>
      <c r="H12" s="14" t="s">
        <v>3</v>
      </c>
      <c r="I12" s="1"/>
    </row>
    <row r="13" spans="1:9" x14ac:dyDescent="0.25">
      <c r="A13" s="1"/>
      <c r="B13" s="97" t="s">
        <v>244</v>
      </c>
      <c r="C13" s="98"/>
      <c r="D13" s="98"/>
      <c r="E13" s="98"/>
      <c r="F13" s="99"/>
      <c r="G13" s="26">
        <v>0</v>
      </c>
      <c r="H13" s="14" t="s">
        <v>3</v>
      </c>
      <c r="I13" s="1"/>
    </row>
    <row r="14" spans="1:9" ht="15" customHeight="1" x14ac:dyDescent="0.25">
      <c r="A14" s="1"/>
      <c r="B14" s="81" t="s">
        <v>237</v>
      </c>
      <c r="C14" s="82"/>
      <c r="D14" s="82"/>
      <c r="E14" s="82"/>
      <c r="F14" s="83"/>
      <c r="G14" s="26">
        <v>0</v>
      </c>
      <c r="H14" s="14" t="s">
        <v>3</v>
      </c>
      <c r="I14" s="1"/>
    </row>
    <row r="15" spans="1:9" x14ac:dyDescent="0.25">
      <c r="A15" s="1"/>
      <c r="B15" s="100" t="s">
        <v>86</v>
      </c>
      <c r="C15" s="101"/>
      <c r="D15" s="101"/>
      <c r="E15" s="101"/>
      <c r="F15" s="102"/>
      <c r="G15" s="26">
        <v>0</v>
      </c>
      <c r="H15" s="14" t="s">
        <v>3</v>
      </c>
      <c r="I15" s="1"/>
    </row>
    <row r="16" spans="1:9" x14ac:dyDescent="0.25">
      <c r="A16" s="1"/>
      <c r="B16" s="97" t="s">
        <v>87</v>
      </c>
      <c r="C16" s="98"/>
      <c r="D16" s="98"/>
      <c r="E16" s="98"/>
      <c r="F16" s="99"/>
      <c r="G16" s="26">
        <f>SUM(G12:G15)*'Fane 15. Nøgletal'!C25</f>
        <v>2433825.1316275005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94" t="s">
        <v>96</v>
      </c>
      <c r="C19" s="95"/>
      <c r="D19" s="95"/>
      <c r="E19" s="95"/>
      <c r="F19" s="95"/>
      <c r="G19" s="95"/>
      <c r="H19" s="96"/>
      <c r="I19" s="1"/>
    </row>
    <row r="20" spans="1:9" x14ac:dyDescent="0.25">
      <c r="A20" s="1"/>
      <c r="B20" s="97" t="s">
        <v>88</v>
      </c>
      <c r="C20" s="98"/>
      <c r="D20" s="98"/>
      <c r="E20" s="98"/>
      <c r="F20" s="99"/>
      <c r="G20" s="26">
        <f>(SUM(G12:G13,G15)-(G16))*(1+'Fane 15. Nøgletal'!C10)</f>
        <v>121344436.50011812</v>
      </c>
      <c r="H20" s="14" t="s">
        <v>3</v>
      </c>
      <c r="I20" s="1"/>
    </row>
    <row r="21" spans="1:9" x14ac:dyDescent="0.25">
      <c r="A21" s="1"/>
      <c r="B21" s="100" t="s">
        <v>89</v>
      </c>
      <c r="C21" s="101"/>
      <c r="D21" s="101"/>
      <c r="E21" s="101"/>
      <c r="F21" s="102"/>
      <c r="G21" s="26">
        <v>0</v>
      </c>
      <c r="H21" s="14" t="s">
        <v>3</v>
      </c>
      <c r="I21" s="1"/>
    </row>
    <row r="22" spans="1:9" x14ac:dyDescent="0.25">
      <c r="A22" s="1"/>
      <c r="B22" s="97" t="s">
        <v>90</v>
      </c>
      <c r="C22" s="98"/>
      <c r="D22" s="98"/>
      <c r="E22" s="98"/>
      <c r="F22" s="99"/>
      <c r="G22" s="26">
        <f>SUM(G20:G21)*'Fane 15. Nøgletal'!C25</f>
        <v>2426888.7300023623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94" t="s">
        <v>97</v>
      </c>
      <c r="C25" s="95"/>
      <c r="D25" s="95"/>
      <c r="E25" s="95"/>
      <c r="F25" s="95"/>
      <c r="G25" s="95"/>
      <c r="H25" s="96"/>
      <c r="I25" s="1"/>
    </row>
    <row r="26" spans="1:9" x14ac:dyDescent="0.25">
      <c r="A26" s="1"/>
      <c r="B26" s="97" t="s">
        <v>91</v>
      </c>
      <c r="C26" s="98"/>
      <c r="D26" s="98"/>
      <c r="E26" s="98"/>
      <c r="F26" s="99"/>
      <c r="G26" s="26">
        <f>(G20+G21-G22)*(1+'Fane 15. Nøgletal'!C12)</f>
        <v>121260223.46118705</v>
      </c>
      <c r="H26" s="14" t="s">
        <v>3</v>
      </c>
      <c r="I26" s="1"/>
    </row>
    <row r="27" spans="1:9" x14ac:dyDescent="0.25">
      <c r="A27" s="1"/>
      <c r="B27" s="100" t="s">
        <v>92</v>
      </c>
      <c r="C27" s="101"/>
      <c r="D27" s="101"/>
      <c r="E27" s="101"/>
      <c r="F27" s="102"/>
      <c r="G27" s="26">
        <f>('Fane 2.1. Økonomisk ramme 2020'!C10+'Fane 2.1. Økonomisk ramme 2020'!C12+'Fane 2.1. Økonomisk ramme 2020'!C14)*(1+'Fane 15. Nøgletal'!C12)</f>
        <v>0</v>
      </c>
      <c r="H27" s="14" t="s">
        <v>3</v>
      </c>
      <c r="I27" s="1"/>
    </row>
    <row r="28" spans="1:9" x14ac:dyDescent="0.25">
      <c r="A28" s="1"/>
      <c r="B28" s="97" t="s">
        <v>93</v>
      </c>
      <c r="C28" s="98"/>
      <c r="D28" s="98"/>
      <c r="E28" s="98"/>
      <c r="F28" s="99"/>
      <c r="G28" s="26">
        <f>(G26+G27)*'Fane 15. Nøgletal'!C25</f>
        <v>2425204.469223741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94" t="s">
        <v>100</v>
      </c>
      <c r="C31" s="95"/>
      <c r="D31" s="95"/>
      <c r="E31" s="95"/>
      <c r="F31" s="95"/>
      <c r="G31" s="95"/>
      <c r="H31" s="96"/>
      <c r="I31" s="1"/>
    </row>
    <row r="32" spans="1:9" x14ac:dyDescent="0.25">
      <c r="A32" s="1"/>
      <c r="B32" s="97" t="s">
        <v>101</v>
      </c>
      <c r="C32" s="98"/>
      <c r="D32" s="98"/>
      <c r="E32" s="98"/>
      <c r="F32" s="99"/>
      <c r="G32" s="26">
        <f>(G26+G27-G28)*(1+'Fane 15. Nøgletal'!C12)</f>
        <v>121176068.86610499</v>
      </c>
      <c r="H32" s="14" t="s">
        <v>3</v>
      </c>
      <c r="I32" s="1"/>
    </row>
    <row r="33" spans="1:9" x14ac:dyDescent="0.25">
      <c r="A33" s="1"/>
      <c r="B33" s="97" t="s">
        <v>149</v>
      </c>
      <c r="C33" s="98"/>
      <c r="D33" s="98"/>
      <c r="E33" s="98"/>
      <c r="F33" s="99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97" t="s">
        <v>102</v>
      </c>
      <c r="C34" s="98"/>
      <c r="D34" s="98"/>
      <c r="E34" s="98"/>
      <c r="F34" s="99"/>
      <c r="G34" s="26">
        <f>(G32+G33)*'Fane 15. Nøgletal'!C25</f>
        <v>2423521.3773220996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94" t="s">
        <v>127</v>
      </c>
      <c r="C37" s="95"/>
      <c r="D37" s="95"/>
      <c r="E37" s="95"/>
      <c r="F37" s="95"/>
      <c r="G37" s="95"/>
      <c r="H37" s="96"/>
      <c r="I37" s="1"/>
    </row>
    <row r="38" spans="1:9" x14ac:dyDescent="0.25">
      <c r="A38" s="1"/>
      <c r="B38" s="97" t="s">
        <v>126</v>
      </c>
      <c r="C38" s="98"/>
      <c r="D38" s="98"/>
      <c r="E38" s="98"/>
      <c r="F38" s="99"/>
      <c r="G38" s="26">
        <f>(G32-G34)*(1+'Fane 15. Nøgletal'!C12)</f>
        <v>121091972.67431192</v>
      </c>
      <c r="H38" s="14" t="s">
        <v>3</v>
      </c>
      <c r="I38" s="1"/>
    </row>
    <row r="39" spans="1:9" x14ac:dyDescent="0.25">
      <c r="A39" s="1"/>
      <c r="B39" s="97" t="s">
        <v>150</v>
      </c>
      <c r="C39" s="98"/>
      <c r="D39" s="98"/>
      <c r="E39" s="98"/>
      <c r="F39" s="99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97" t="s">
        <v>103</v>
      </c>
      <c r="C40" s="98"/>
      <c r="D40" s="98"/>
      <c r="E40" s="98"/>
      <c r="F40" s="99"/>
      <c r="G40" s="26">
        <f>(G38+G39)*'Fane 15. Nøgletal'!C25</f>
        <v>2421839.4534862386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94" t="s">
        <v>128</v>
      </c>
      <c r="C43" s="95"/>
      <c r="D43" s="95"/>
      <c r="E43" s="95"/>
      <c r="F43" s="95"/>
      <c r="G43" s="95"/>
      <c r="H43" s="96"/>
      <c r="I43" s="1"/>
    </row>
    <row r="44" spans="1:9" x14ac:dyDescent="0.25">
      <c r="A44" s="1"/>
      <c r="B44" s="97" t="s">
        <v>125</v>
      </c>
      <c r="C44" s="98"/>
      <c r="D44" s="98"/>
      <c r="E44" s="98"/>
      <c r="F44" s="99"/>
      <c r="G44" s="26">
        <f>(G38-G40)*(1+'Fane 15. Nøgletal'!C12)</f>
        <v>121007934.84527595</v>
      </c>
      <c r="H44" s="14" t="s">
        <v>3</v>
      </c>
      <c r="I44" s="1"/>
    </row>
    <row r="45" spans="1:9" x14ac:dyDescent="0.25">
      <c r="A45" s="1"/>
      <c r="B45" s="97" t="s">
        <v>151</v>
      </c>
      <c r="C45" s="98"/>
      <c r="D45" s="98"/>
      <c r="E45" s="98"/>
      <c r="F45" s="99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97" t="s">
        <v>104</v>
      </c>
      <c r="C46" s="98"/>
      <c r="D46" s="98"/>
      <c r="E46" s="98"/>
      <c r="F46" s="99"/>
      <c r="G46" s="26">
        <f>(G44+G45)*'Fane 15. Nøgletal'!C25</f>
        <v>2420158.6969055193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lWDmB7D3AKd/eSiwmSlX/etZsLpk1QOP9XuDhy3sffA0M1rXBuDUavgddg0JUhvucIJzXDfpQmX774U6W4OqRw==" saltValue="EPMjGuuS9pFpi3elhCIDVg==" spinCount="100000" sheet="1" objects="1" scenarios="1"/>
  <mergeCells count="31"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  <mergeCell ref="B38:F38"/>
    <mergeCell ref="B33:F33"/>
    <mergeCell ref="B34:F34"/>
    <mergeCell ref="B25:H25"/>
    <mergeCell ref="B43:H43"/>
    <mergeCell ref="B44:F44"/>
    <mergeCell ref="B46:F46"/>
    <mergeCell ref="B39:F39"/>
    <mergeCell ref="B45:F45"/>
    <mergeCell ref="B40:F40"/>
    <mergeCell ref="B2:H4"/>
    <mergeCell ref="B5:H5"/>
    <mergeCell ref="B6:F6"/>
    <mergeCell ref="B8:F8"/>
    <mergeCell ref="B12:F12"/>
    <mergeCell ref="B11:H11"/>
    <mergeCell ref="B7:F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3" t="s">
        <v>219</v>
      </c>
      <c r="C2" s="103"/>
      <c r="D2" s="103"/>
      <c r="E2" s="103"/>
      <c r="F2" s="103"/>
      <c r="G2" s="103"/>
      <c r="H2" s="103"/>
      <c r="I2" s="1"/>
    </row>
    <row r="3" spans="1:9" ht="18.75" x14ac:dyDescent="0.3">
      <c r="A3" s="1"/>
      <c r="B3" s="54"/>
      <c r="C3" s="54"/>
      <c r="D3" s="54"/>
      <c r="E3" s="54"/>
      <c r="F3" s="54"/>
      <c r="G3" s="54"/>
      <c r="H3" s="54"/>
      <c r="I3" s="1"/>
    </row>
    <row r="4" spans="1:9" x14ac:dyDescent="0.25">
      <c r="A4" s="1"/>
      <c r="B4" s="94" t="s">
        <v>98</v>
      </c>
      <c r="C4" s="95"/>
      <c r="D4" s="95"/>
      <c r="E4" s="95"/>
      <c r="F4" s="95"/>
      <c r="G4" s="95"/>
      <c r="H4" s="96"/>
      <c r="I4" s="1"/>
    </row>
    <row r="5" spans="1:9" x14ac:dyDescent="0.25">
      <c r="A5" s="1"/>
      <c r="B5" s="97" t="s">
        <v>105</v>
      </c>
      <c r="C5" s="98"/>
      <c r="D5" s="98"/>
      <c r="E5" s="98"/>
      <c r="F5" s="99"/>
      <c r="G5" s="26">
        <v>249427719.55880713</v>
      </c>
      <c r="H5" s="14" t="s">
        <v>3</v>
      </c>
      <c r="I5" s="1"/>
    </row>
    <row r="6" spans="1:9" x14ac:dyDescent="0.25">
      <c r="A6" s="1"/>
      <c r="B6" s="97" t="s">
        <v>99</v>
      </c>
      <c r="C6" s="98"/>
      <c r="D6" s="98"/>
      <c r="E6" s="98"/>
      <c r="F6" s="99"/>
      <c r="G6" s="26">
        <f>G5*'Fane 15. Nøgletal'!C17</f>
        <v>2269792.2479851451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94" t="s">
        <v>106</v>
      </c>
      <c r="C9" s="95"/>
      <c r="D9" s="95"/>
      <c r="E9" s="95"/>
      <c r="F9" s="95"/>
      <c r="G9" s="95"/>
      <c r="H9" s="96"/>
      <c r="I9" s="1"/>
    </row>
    <row r="10" spans="1:9" x14ac:dyDescent="0.25">
      <c r="A10" s="1"/>
      <c r="B10" s="97" t="s">
        <v>107</v>
      </c>
      <c r="C10" s="98"/>
      <c r="D10" s="98"/>
      <c r="E10" s="98"/>
      <c r="F10" s="99"/>
      <c r="G10" s="26">
        <f>(G5-G6)*(1+'Fane 15. Nøgletal'!C10)</f>
        <v>251483191.03876138</v>
      </c>
      <c r="H10" s="14" t="s">
        <v>3</v>
      </c>
      <c r="I10" s="1"/>
    </row>
    <row r="11" spans="1:9" x14ac:dyDescent="0.25">
      <c r="A11" s="1"/>
      <c r="B11" s="97" t="s">
        <v>245</v>
      </c>
      <c r="C11" s="98"/>
      <c r="D11" s="98"/>
      <c r="E11" s="98"/>
      <c r="F11" s="99"/>
      <c r="G11" s="26">
        <v>1183526.1356193961</v>
      </c>
      <c r="H11" s="14" t="s">
        <v>3</v>
      </c>
      <c r="I11" s="1"/>
    </row>
    <row r="12" spans="1:9" x14ac:dyDescent="0.25">
      <c r="A12" s="1"/>
      <c r="B12" s="100" t="s">
        <v>108</v>
      </c>
      <c r="C12" s="101"/>
      <c r="D12" s="101"/>
      <c r="E12" s="101"/>
      <c r="F12" s="102"/>
      <c r="G12" s="26">
        <v>0</v>
      </c>
      <c r="H12" s="14" t="s">
        <v>3</v>
      </c>
      <c r="I12" s="1"/>
    </row>
    <row r="13" spans="1:9" x14ac:dyDescent="0.25">
      <c r="A13" s="1"/>
      <c r="B13" s="97" t="s">
        <v>109</v>
      </c>
      <c r="C13" s="98"/>
      <c r="D13" s="98"/>
      <c r="E13" s="98"/>
      <c r="F13" s="99"/>
      <c r="G13" s="26">
        <f>SUM(G10:G12)*'Fane 15. Nøgletal'!C18</f>
        <v>4472200.8939865399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94" t="s">
        <v>110</v>
      </c>
      <c r="C16" s="95"/>
      <c r="D16" s="95"/>
      <c r="E16" s="95"/>
      <c r="F16" s="95"/>
      <c r="G16" s="95"/>
      <c r="H16" s="96"/>
      <c r="I16" s="1"/>
    </row>
    <row r="17" spans="1:9" x14ac:dyDescent="0.25">
      <c r="A17" s="1"/>
      <c r="B17" s="97" t="s">
        <v>111</v>
      </c>
      <c r="C17" s="98"/>
      <c r="D17" s="98"/>
      <c r="E17" s="98"/>
      <c r="F17" s="99"/>
      <c r="G17" s="26">
        <f>(SUM(G10:G12)-G13)*(1+'Fane 15. Nøgletal'!C10)</f>
        <v>252537920.31530115</v>
      </c>
      <c r="H17" s="14" t="s">
        <v>3</v>
      </c>
      <c r="I17" s="1"/>
    </row>
    <row r="18" spans="1:9" x14ac:dyDescent="0.25">
      <c r="A18" s="1"/>
      <c r="B18" s="100" t="s">
        <v>112</v>
      </c>
      <c r="C18" s="101"/>
      <c r="D18" s="101"/>
      <c r="E18" s="101"/>
      <c r="F18" s="102"/>
      <c r="G18" s="26">
        <v>3032907.9467365695</v>
      </c>
      <c r="H18" s="14" t="s">
        <v>3</v>
      </c>
      <c r="I18" s="1"/>
    </row>
    <row r="19" spans="1:9" x14ac:dyDescent="0.25">
      <c r="A19" s="1"/>
      <c r="B19" s="97" t="s">
        <v>113</v>
      </c>
      <c r="C19" s="98"/>
      <c r="D19" s="98"/>
      <c r="E19" s="98"/>
      <c r="F19" s="99"/>
      <c r="G19" s="26">
        <f>G17*'Fane 15. Nøgletal'!C18+G18*'Fane 15. Nøgletal'!C19</f>
        <v>4496307.4887174387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94" t="s">
        <v>114</v>
      </c>
      <c r="C22" s="95"/>
      <c r="D22" s="95"/>
      <c r="E22" s="95"/>
      <c r="F22" s="95"/>
      <c r="G22" s="95"/>
      <c r="H22" s="96"/>
      <c r="I22" s="1"/>
    </row>
    <row r="23" spans="1:9" x14ac:dyDescent="0.25">
      <c r="A23" s="1"/>
      <c r="B23" s="97" t="s">
        <v>115</v>
      </c>
      <c r="C23" s="98"/>
      <c r="D23" s="98"/>
      <c r="E23" s="98"/>
      <c r="F23" s="99"/>
      <c r="G23" s="26">
        <f>(G17+G18-G19)*(1+'Fane 15. Nøgletal'!C12)</f>
        <v>256020688.8325547</v>
      </c>
      <c r="H23" s="14" t="s">
        <v>3</v>
      </c>
      <c r="I23" s="1"/>
    </row>
    <row r="24" spans="1:9" x14ac:dyDescent="0.25">
      <c r="A24" s="1"/>
      <c r="B24" s="100" t="s">
        <v>116</v>
      </c>
      <c r="C24" s="101"/>
      <c r="D24" s="101"/>
      <c r="E24" s="101"/>
      <c r="F24" s="102"/>
      <c r="G24" s="26">
        <f>('Fane 2.1. Økonomisk ramme 2020'!C11+'Fane 2.1. Økonomisk ramme 2020'!C13+'Fane 2.1. Økonomisk ramme 2020'!C15)*(1+'Fane 15. Nøgletal'!C12)</f>
        <v>1153276.8008711401</v>
      </c>
      <c r="H24" s="14" t="s">
        <v>3</v>
      </c>
      <c r="I24" s="1"/>
    </row>
    <row r="25" spans="1:9" x14ac:dyDescent="0.25">
      <c r="A25" s="1"/>
      <c r="B25" s="97" t="s">
        <v>117</v>
      </c>
      <c r="C25" s="98"/>
      <c r="D25" s="98"/>
      <c r="E25" s="98"/>
      <c r="F25" s="99"/>
      <c r="G25" s="26">
        <f>(G23+G24)*'Fane 15. Nøgletal'!C20</f>
        <v>7303740.6239892943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94" t="s">
        <v>118</v>
      </c>
      <c r="C28" s="95"/>
      <c r="D28" s="95"/>
      <c r="E28" s="95"/>
      <c r="F28" s="95"/>
      <c r="G28" s="95"/>
      <c r="H28" s="96"/>
      <c r="I28" s="1"/>
    </row>
    <row r="29" spans="1:9" x14ac:dyDescent="0.25">
      <c r="A29" s="1"/>
      <c r="B29" s="97" t="s">
        <v>119</v>
      </c>
      <c r="C29" s="98"/>
      <c r="D29" s="98"/>
      <c r="E29" s="98"/>
      <c r="F29" s="99"/>
      <c r="G29" s="26">
        <f>(G23+G24-G25)*(1+'Fane 15. Nøgletal'!C12)</f>
        <v>254792668.44212246</v>
      </c>
      <c r="H29" s="14" t="s">
        <v>3</v>
      </c>
      <c r="I29" s="1"/>
    </row>
    <row r="30" spans="1:9" x14ac:dyDescent="0.25">
      <c r="A30" s="1"/>
      <c r="B30" s="97" t="s">
        <v>155</v>
      </c>
      <c r="C30" s="98"/>
      <c r="D30" s="98"/>
      <c r="E30" s="98"/>
      <c r="F30" s="99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97" t="s">
        <v>120</v>
      </c>
      <c r="C31" s="98"/>
      <c r="D31" s="98"/>
      <c r="E31" s="98"/>
      <c r="F31" s="99"/>
      <c r="G31" s="26">
        <f>(G29+G30)*'Fane 15. Nøgletal'!C20</f>
        <v>7236111.7837562785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94" t="s">
        <v>129</v>
      </c>
      <c r="C34" s="95"/>
      <c r="D34" s="95"/>
      <c r="E34" s="95"/>
      <c r="F34" s="95"/>
      <c r="G34" s="95"/>
      <c r="H34" s="96"/>
      <c r="I34" s="1"/>
    </row>
    <row r="35" spans="1:9" x14ac:dyDescent="0.25">
      <c r="A35" s="1"/>
      <c r="B35" s="97" t="s">
        <v>124</v>
      </c>
      <c r="C35" s="98"/>
      <c r="D35" s="98"/>
      <c r="E35" s="98"/>
      <c r="F35" s="99"/>
      <c r="G35" s="26">
        <f>(G29+G30-G31)*(1+'Fane 15. Nøgletal'!C12)</f>
        <v>252433420.824536</v>
      </c>
      <c r="H35" s="14" t="s">
        <v>3</v>
      </c>
      <c r="I35" s="1"/>
    </row>
    <row r="36" spans="1:9" x14ac:dyDescent="0.25">
      <c r="A36" s="1"/>
      <c r="B36" s="97" t="s">
        <v>156</v>
      </c>
      <c r="C36" s="98"/>
      <c r="D36" s="98"/>
      <c r="E36" s="98"/>
      <c r="F36" s="99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97" t="s">
        <v>121</v>
      </c>
      <c r="C37" s="98"/>
      <c r="D37" s="98"/>
      <c r="E37" s="98"/>
      <c r="F37" s="99"/>
      <c r="G37" s="26">
        <f>(G35+G36)*'Fane 15. Nøgletal'!C20</f>
        <v>7169109.1514168223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94" t="s">
        <v>130</v>
      </c>
      <c r="C40" s="95"/>
      <c r="D40" s="95"/>
      <c r="E40" s="95"/>
      <c r="F40" s="95"/>
      <c r="G40" s="95"/>
      <c r="H40" s="96"/>
      <c r="I40" s="1"/>
    </row>
    <row r="41" spans="1:9" x14ac:dyDescent="0.25">
      <c r="A41" s="1"/>
      <c r="B41" s="97" t="s">
        <v>123</v>
      </c>
      <c r="C41" s="98"/>
      <c r="D41" s="98"/>
      <c r="E41" s="98"/>
      <c r="F41" s="99"/>
      <c r="G41" s="26">
        <f>(G35+G36-G37)*(1+'Fane 15. Nøgletal'!C12)</f>
        <v>250096018.61307964</v>
      </c>
      <c r="H41" s="14" t="s">
        <v>3</v>
      </c>
      <c r="I41" s="1"/>
    </row>
    <row r="42" spans="1:9" x14ac:dyDescent="0.25">
      <c r="A42" s="1"/>
      <c r="B42" s="97" t="s">
        <v>157</v>
      </c>
      <c r="C42" s="98"/>
      <c r="D42" s="98"/>
      <c r="E42" s="98"/>
      <c r="F42" s="99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97" t="s">
        <v>122</v>
      </c>
      <c r="C43" s="98"/>
      <c r="D43" s="98"/>
      <c r="E43" s="98"/>
      <c r="F43" s="99"/>
      <c r="G43" s="26">
        <f>(G41+G42)*'Fane 15. Nøgletal'!C20</f>
        <v>7102726.928611462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4pPHF1NmsWR8Popq1WY1YEhjHvSS12AtTJQJLgMjrC7AyIGpeK5WuV13FsnNLNSUeFhb7FzpNx47SjxNcTAFLA==" saltValue="BlXEFVEQWl6U5ILhHIuGhA==" spinCount="100000" sheet="1" objects="1" scenarios="1"/>
  <mergeCells count="29"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148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10</v>
      </c>
      <c r="C8" s="95"/>
      <c r="D8" s="95"/>
      <c r="E8" s="95"/>
      <c r="F8" s="95"/>
      <c r="G8" s="95"/>
      <c r="H8" s="96"/>
      <c r="I8" s="1"/>
    </row>
    <row r="9" spans="1:9" x14ac:dyDescent="0.25">
      <c r="A9" s="1"/>
      <c r="B9" s="97" t="s">
        <v>131</v>
      </c>
      <c r="C9" s="98"/>
      <c r="D9" s="98"/>
      <c r="E9" s="98"/>
      <c r="F9" s="99"/>
      <c r="G9" s="25">
        <v>6.1595630431554521E-3</v>
      </c>
      <c r="H9" s="14"/>
      <c r="I9" s="1"/>
    </row>
    <row r="10" spans="1:9" x14ac:dyDescent="0.25">
      <c r="A10" s="1"/>
      <c r="B10" s="97" t="s">
        <v>132</v>
      </c>
      <c r="C10" s="98"/>
      <c r="D10" s="98"/>
      <c r="E10" s="98"/>
      <c r="F10" s="99"/>
      <c r="G10" s="25">
        <v>6.7129302772034258E-3</v>
      </c>
      <c r="H10" s="14"/>
      <c r="I10" s="1"/>
    </row>
    <row r="11" spans="1:9" x14ac:dyDescent="0.25">
      <c r="A11" s="1"/>
      <c r="B11" s="97" t="s">
        <v>133</v>
      </c>
      <c r="C11" s="98"/>
      <c r="D11" s="98"/>
      <c r="E11" s="98"/>
      <c r="F11" s="99"/>
      <c r="G11" s="43">
        <v>0.02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4" t="s">
        <v>78</v>
      </c>
      <c r="C14" s="104"/>
      <c r="D14" s="104"/>
      <c r="E14" s="104"/>
      <c r="F14" s="104"/>
      <c r="G14" s="104"/>
      <c r="H14" s="104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uz4QGWhnP9QIIlPz7yUE1wivepWKnnwBmrL/lNVTZ/pFcqLWYhLkNc/GoZKCClumyJJYleVZ+UoDCcb3pXNqxA==" saltValue="80Zs5x4uXVwclt37yRyx8w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2019-10-15T12:17:57Z</dcterms:modified>
</cp:coreProperties>
</file>