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Jammerbugt Forsyning AS (S054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1" i="37" s="1"/>
  <c r="C12" i="37" s="1"/>
  <c r="C10" i="2" s="1"/>
  <c r="G11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1" i="37" s="1"/>
  <c r="E12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<sst xmlns="http://schemas.openxmlformats.org/spreadsheetml/2006/main" count="667" uniqueCount="266">
  <si>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</si>
  <si>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</si>
  <si>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</si>
  <si>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</si>
  <si>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</si>
  <si>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</si>
  <si>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</si>
  <si>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</si>
  <si>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</si>
  <si>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</si>
  <si>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</si>
  <si>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</si>
  <si>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</si>
  <si>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</si>
  <si>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</si>
  <si>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</si>
  <si>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</si>
  <si>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</si>
  <si>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</si>
  <si>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</si>
  <si>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</si>
  <si>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</si>
  <si>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</si>
  <si>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</si>
  <si>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</si>
  <si>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</si>
  <si>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</si>
  <si>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</si>
  <si>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</si>
  <si>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</si>
  <si>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</si>
  <si>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</si>
  <si>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</si>
  <si>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</si>
  <si>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</si>
  <si>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</si>
  <si>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</si>
  <si>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</si>
  <si>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</si>
  <si>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</si>
  <si>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</si>
  <si>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</si>
  <si>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</si>
  <si>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</si>
  <si>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</si>
  <si>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</si>
  <si>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</si>
  <si>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</si>
  <si>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</si>
  <si>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</si>
  <si>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</si>
  <si>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</si>
  <si>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</si>
  <si>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</si>
  <si>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</si>
  <si>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</si>
  <si>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</si>
  <si>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</si>
  <si>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</si>
  <si>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</si>
  <si>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</si>
  <si>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</si>
  <si>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</si>
  <si>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</si>
  <si>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</si>
  <si>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</si>
  <si>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</si>
  <si>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</si>
  <si>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</si>
  <si>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</si>
  <si>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</si>
  <si>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</si>
  <si>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</si>
  <si>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</si>
  <si>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</si>
  <si>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</si>
  <si>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</si>
  <si>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</si>
  <si>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</si>
  <si>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</si>
  <si>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</si>
  <si>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</si>
  <si>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</si>
  <si>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</si>
  <si>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</si>
  <si>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</si>
  <si>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</si>
  <si>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</si>
  <si>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</si>
  <si>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</si>
  <si>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</si>
  <si>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</si>
  <si>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</si>
  <si>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</si>
  <si>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</si>
  <si>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</si>
  <si>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</si>
  <si>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</si>
  <si>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</si>
  <si>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</si>
  <si>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</si>
  <si>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</si>
  <si>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</si>
  <si>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</si>
  <si>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</si>
  <si>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</si>
  <si>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</si>
  <si>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</si>
  <si>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</si>
  <si>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</si>
  <si>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</si>
  <si>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</si>
  <si>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</si>
  <si>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</si>
  <si>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</si>
  <si>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</si>
  <si>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</si>
  <si>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</si>
  <si>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</si>
  <si>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</si>
  <si>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</si>
  <si>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</si>
  <si>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</si>
  <si>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</si>
  <si>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</si>
  <si>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</si>
  <si>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</si>
  <si>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</si>
  <si>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</si>
  <si>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</si>
  <si>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</si>
  <si>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</si>
  <si>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</si>
  <si>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</si>
  <si>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</si>
  <si>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</si>
  <si>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</si>
  <si>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</si>
  <si>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</si>
  <si>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</si>
  <si>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</si>
  <si>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</si>
  <si>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</si>
  <si>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</si>
  <si>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</si>
  <si>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</si>
  <si>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</si>
  <si>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</si>
  <si>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</si>
  <si>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</si>
  <si>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</si>
  <si>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</si>
  <si>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</si>
  <si>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</si>
  <si>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</si>
  <si>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</si>
  <si>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</si>
  <si>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</si>
  <si>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</si>
  <si>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</si>
  <si>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</si>
  <si>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</si>
  <si>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</si>
  <si>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</si>
  <si>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</si>
  <si>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</si>
  <si>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</si>
  <si>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</si>
  <si>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</si>
  <si>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</si>
  <si>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</si>
  <si>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</si>
  <si>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</si>
  <si>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</si>
  <si>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</si>
  <si>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</si>
  <si>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</si>
  <si>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</si>
  <si>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</si>
  <si>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</si>
  <si>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</si>
  <si>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</si>
  <si>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</si>
  <si>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</si>
  <si>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</si>
  <si>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</si>
  <si>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</si>
  <si>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</si>
  <si>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</si>
  <si>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</si>
  <si>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</si>
  <si>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</si>
  <si>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</si>
  <si>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</si>
  <si>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</si>
  <si>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</si>
  <si>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</si>
  <si>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</si>
  <si>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</si>
  <si>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</si>
  <si>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</si>
  <si>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</si>
  <si>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</si>
  <si>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</si>
  <si>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</si>
  <si>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</si>
  <si>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</si>
  <si>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</si>
  <si>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</si>
  <si>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</si>
  <si>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</si>
  <si>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</si>
  <si>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</si>
  <si>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</si>
  <si>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</si>
  <si>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</si>
  <si>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</si>
  <si>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</si>
  <si>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</si>
  <si>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</si>
  <si>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</si>
  <si>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</si>
  <si>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</si>
  <si>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</si>
  <si>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</si>
  <si>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</si>
  <si>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</si>
  <si>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</si>
  <si>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</si>
  <si>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</si>
  <si>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</si>
  <si>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</si>
  <si>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</si>
  <si>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</si>
  <si>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</si>
  <si>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</si>
  <si>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</si>
  <si>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</si>
  <si>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</si>
  <si>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</si>
  <si>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</si>
  <si>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</si>
  <si>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</si>
  <si>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</si>
  <si>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</si>
  <si>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</si>
  <si>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</si>
  <si>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</si>
  <si>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</si>
  <si>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</si>
  <si>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</si>
  <si>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</si>
  <si>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</si>
  <si>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</si>
  <si>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</si>
  <si>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</si>
  <si>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</si>
  <si>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</si>
  <si>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</si>
  <si>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</si>
  <si>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</si>
  <si>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Ejendomsskatter</t>
  </si>
  <si>
    <t>Erstatninger</t>
  </si>
  <si>
    <t>Ingen engangstillæg</t>
  </si>
  <si>
    <t>Ingen anlægsprojekter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</si>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</sst>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2" t="s">
        <v>4</v>
      </c>
      <c r="E6" s="72"/>
      <c r="F6" s="72"/>
      <c r="G6" s="72"/>
      <c r="H6" s="3"/>
      <c r="I6" s="1"/>
    </row>
    <row r="7" spans="1:9" ht="15" customHeight="1" x14ac:dyDescent="0.25">
      <c r="A7" s="1"/>
      <c r="B7" s="1"/>
      <c r="C7" s="3"/>
      <c r="D7" s="72"/>
      <c r="E7" s="72"/>
      <c r="F7" s="72"/>
      <c r="G7" s="72"/>
      <c r="H7" s="3"/>
      <c r="I7" s="1"/>
    </row>
    <row r="8" spans="1:9" ht="15.75" x14ac:dyDescent="0.25">
      <c r="A8" s="1"/>
      <c r="B8" s="1"/>
      <c r="C8" s="4"/>
      <c r="D8" s="77" t="s">
        <v>172</v>
      </c>
      <c r="E8" s="77"/>
      <c r="F8" s="77"/>
      <c r="G8" s="77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6" t="s">
        <v>5</v>
      </c>
      <c r="E11" s="76"/>
      <c r="F11" s="76"/>
      <c r="G11" s="76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9" t="s">
        <v>52</v>
      </c>
      <c r="E13" s="70"/>
      <c r="F13" s="70"/>
      <c r="G13" s="71"/>
      <c r="H13" s="1"/>
      <c r="I13" s="1"/>
    </row>
    <row r="14" spans="1:9" x14ac:dyDescent="0.25">
      <c r="A14" s="1"/>
      <c r="B14" s="1"/>
      <c r="C14" s="6" t="s">
        <v>23</v>
      </c>
      <c r="D14" s="69" t="s">
        <v>54</v>
      </c>
      <c r="E14" s="70"/>
      <c r="F14" s="70"/>
      <c r="G14" s="71"/>
      <c r="H14" s="1"/>
      <c r="I14" s="1"/>
    </row>
    <row r="15" spans="1:9" x14ac:dyDescent="0.25">
      <c r="A15" s="1"/>
      <c r="B15" s="1"/>
      <c r="C15" s="6" t="s">
        <v>51</v>
      </c>
      <c r="D15" s="69" t="s">
        <v>135</v>
      </c>
      <c r="E15" s="70"/>
      <c r="F15" s="70"/>
      <c r="G15" s="71"/>
      <c r="H15" s="1"/>
      <c r="I15" s="1"/>
    </row>
    <row r="16" spans="1:9" x14ac:dyDescent="0.25">
      <c r="A16" s="1"/>
      <c r="B16" s="1"/>
      <c r="C16" s="6" t="s">
        <v>53</v>
      </c>
      <c r="D16" s="69" t="s">
        <v>136</v>
      </c>
      <c r="E16" s="70"/>
      <c r="F16" s="70"/>
      <c r="G16" s="71"/>
      <c r="H16" s="1"/>
      <c r="I16" s="1"/>
    </row>
    <row r="17" spans="1:9" x14ac:dyDescent="0.25">
      <c r="A17" s="1"/>
      <c r="B17" s="1"/>
      <c r="C17" s="6" t="s">
        <v>241</v>
      </c>
      <c r="D17" s="69" t="s">
        <v>63</v>
      </c>
      <c r="E17" s="70"/>
      <c r="F17" s="70"/>
      <c r="G17" s="71"/>
      <c r="H17" s="1"/>
      <c r="I17" s="1"/>
    </row>
    <row r="18" spans="1:9" x14ac:dyDescent="0.25">
      <c r="A18" s="1"/>
      <c r="B18" s="1"/>
      <c r="C18" s="6" t="s">
        <v>212</v>
      </c>
      <c r="D18" s="63" t="s">
        <v>180</v>
      </c>
      <c r="E18" s="64"/>
      <c r="F18" s="64"/>
      <c r="G18" s="65"/>
      <c r="H18" s="1"/>
      <c r="I18" s="1"/>
    </row>
    <row r="19" spans="1:9" x14ac:dyDescent="0.25">
      <c r="A19" s="1"/>
      <c r="B19" s="1"/>
      <c r="C19" s="6" t="s">
        <v>213</v>
      </c>
      <c r="D19" s="63" t="s">
        <v>181</v>
      </c>
      <c r="E19" s="64"/>
      <c r="F19" s="64"/>
      <c r="G19" s="65"/>
      <c r="H19" s="1"/>
      <c r="I19" s="1"/>
    </row>
    <row r="20" spans="1:9" x14ac:dyDescent="0.25">
      <c r="A20" s="1"/>
      <c r="B20" s="1"/>
      <c r="C20" s="6" t="s">
        <v>7</v>
      </c>
      <c r="D20" s="63" t="s">
        <v>10</v>
      </c>
      <c r="E20" s="64"/>
      <c r="F20" s="64"/>
      <c r="G20" s="65"/>
      <c r="H20" s="1"/>
      <c r="I20" s="1"/>
    </row>
    <row r="21" spans="1:9" x14ac:dyDescent="0.25">
      <c r="A21" s="1"/>
      <c r="B21" s="1"/>
      <c r="C21" s="6" t="s">
        <v>214</v>
      </c>
      <c r="D21" s="73" t="s">
        <v>17</v>
      </c>
      <c r="E21" s="74"/>
      <c r="F21" s="74"/>
      <c r="G21" s="75"/>
      <c r="H21" s="1"/>
      <c r="I21" s="1"/>
    </row>
    <row r="22" spans="1:9" x14ac:dyDescent="0.25">
      <c r="A22" s="1"/>
      <c r="B22" s="1"/>
      <c r="C22" s="6" t="s">
        <v>142</v>
      </c>
      <c r="D22" s="57" t="s">
        <v>176</v>
      </c>
      <c r="E22" s="58"/>
      <c r="F22" s="58"/>
      <c r="G22" s="59"/>
      <c r="H22" s="1"/>
      <c r="I22" s="1"/>
    </row>
    <row r="23" spans="1:9" x14ac:dyDescent="0.25">
      <c r="A23" s="1"/>
      <c r="B23" s="1"/>
      <c r="C23" s="6" t="s">
        <v>8</v>
      </c>
      <c r="D23" s="57" t="s">
        <v>249</v>
      </c>
      <c r="E23" s="58"/>
      <c r="F23" s="58"/>
      <c r="G23" s="59"/>
      <c r="H23" s="1"/>
      <c r="I23" s="1"/>
    </row>
    <row r="24" spans="1:9" x14ac:dyDescent="0.25">
      <c r="A24" s="1"/>
      <c r="B24" s="1"/>
      <c r="C24" s="6" t="s">
        <v>9</v>
      </c>
      <c r="D24" s="57" t="s">
        <v>55</v>
      </c>
      <c r="E24" s="58"/>
      <c r="F24" s="58"/>
      <c r="G24" s="59"/>
      <c r="H24" s="1"/>
      <c r="I24" s="1"/>
    </row>
    <row r="25" spans="1:9" x14ac:dyDescent="0.25">
      <c r="A25" s="1"/>
      <c r="B25" s="1"/>
      <c r="C25" s="6" t="s">
        <v>215</v>
      </c>
      <c r="D25" s="57" t="s">
        <v>143</v>
      </c>
      <c r="E25" s="58"/>
      <c r="F25" s="58"/>
      <c r="G25" s="59"/>
      <c r="H25" s="1"/>
      <c r="I25" s="1"/>
    </row>
    <row r="26" spans="1:9" x14ac:dyDescent="0.25">
      <c r="A26" s="1"/>
      <c r="B26" s="1"/>
      <c r="C26" s="6" t="s">
        <v>216</v>
      </c>
      <c r="D26" s="57" t="s">
        <v>144</v>
      </c>
      <c r="E26" s="58"/>
      <c r="F26" s="58"/>
      <c r="G26" s="59"/>
      <c r="H26" s="1"/>
      <c r="I26" s="1"/>
    </row>
    <row r="27" spans="1:9" x14ac:dyDescent="0.25">
      <c r="A27" s="1"/>
      <c r="B27" s="1"/>
      <c r="C27" s="6" t="s">
        <v>217</v>
      </c>
      <c r="D27" s="57" t="s">
        <v>145</v>
      </c>
      <c r="E27" s="58"/>
      <c r="F27" s="58"/>
      <c r="G27" s="59"/>
      <c r="H27" s="1"/>
      <c r="I27" s="1"/>
    </row>
    <row r="28" spans="1:9" x14ac:dyDescent="0.25">
      <c r="A28" s="1"/>
      <c r="B28" s="1"/>
      <c r="C28" s="6" t="s">
        <v>22</v>
      </c>
      <c r="D28" s="57" t="s">
        <v>56</v>
      </c>
      <c r="E28" s="58"/>
      <c r="F28" s="58"/>
      <c r="G28" s="59"/>
      <c r="H28" s="1"/>
      <c r="I28" s="1"/>
    </row>
    <row r="29" spans="1:9" x14ac:dyDescent="0.25">
      <c r="A29" s="1"/>
      <c r="B29" s="1"/>
      <c r="C29" s="6" t="s">
        <v>58</v>
      </c>
      <c r="D29" s="57" t="s">
        <v>57</v>
      </c>
      <c r="E29" s="58"/>
      <c r="F29" s="58"/>
      <c r="G29" s="59"/>
      <c r="H29" s="1"/>
      <c r="I29" s="1"/>
    </row>
    <row r="30" spans="1:9" x14ac:dyDescent="0.25">
      <c r="A30" s="1"/>
      <c r="B30" s="1"/>
      <c r="C30" s="6" t="s">
        <v>59</v>
      </c>
      <c r="D30" s="66" t="s">
        <v>11</v>
      </c>
      <c r="E30" s="67"/>
      <c r="F30" s="67"/>
      <c r="G30" s="68"/>
      <c r="H30" s="1"/>
      <c r="I30" s="1"/>
    </row>
    <row r="31" spans="1:9" x14ac:dyDescent="0.25">
      <c r="A31" s="1"/>
      <c r="B31" s="1"/>
      <c r="C31" s="6" t="s">
        <v>175</v>
      </c>
      <c r="D31" s="60" t="s">
        <v>207</v>
      </c>
      <c r="E31" s="61"/>
      <c r="F31" s="61"/>
      <c r="G31" s="62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i80FgRyV38yr2YGcjvsmckceiXPra0gKYKfClyocUhxVEq0MIorimv7UX9InxxmPNpa01bs4w8oWGGkqis9i/w==" saltValue="OUnJQKpEQaIGIUHoWkh26w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8" t="s">
        <v>220</v>
      </c>
      <c r="C3" s="78"/>
      <c r="D3" s="78"/>
      <c r="E3" s="1"/>
      <c r="F3" s="1"/>
    </row>
    <row r="4" spans="1:6" ht="15" customHeight="1" x14ac:dyDescent="0.25">
      <c r="A4" s="1"/>
      <c r="B4" s="78"/>
      <c r="C4" s="78"/>
      <c r="D4" s="7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3" t="s">
        <v>66</v>
      </c>
      <c r="C8" s="84"/>
      <c r="D8" s="85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4" t="s">
        <v>259</v>
      </c>
      <c r="C10" s="9">
        <v>1298466</v>
      </c>
      <c r="D10" s="14" t="s">
        <v>3</v>
      </c>
      <c r="E10" s="1"/>
      <c r="F10" s="1"/>
    </row>
    <row r="11" spans="1:6" x14ac:dyDescent="0.25">
      <c r="A11" s="1"/>
      <c r="B11" s="54" t="s">
        <v>260</v>
      </c>
      <c r="C11" s="9">
        <v>44925</v>
      </c>
      <c r="D11" s="14" t="s">
        <v>3</v>
      </c>
      <c r="E11" s="1"/>
      <c r="F11" s="1"/>
    </row>
    <row r="12" spans="1:6" x14ac:dyDescent="0.25">
      <c r="A12" s="1"/>
      <c r="B12" s="54" t="s">
        <v>261</v>
      </c>
      <c r="C12" s="9">
        <v>93076.67</v>
      </c>
      <c r="D12" s="14" t="s">
        <v>3</v>
      </c>
      <c r="E12" s="1"/>
      <c r="F12" s="1"/>
    </row>
    <row r="13" spans="1:6" x14ac:dyDescent="0.25">
      <c r="A13" s="1"/>
      <c r="B13" s="54" t="s">
        <v>262</v>
      </c>
      <c r="C13" s="9">
        <v>3432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1439899.67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1497190.5276609303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83" t="s">
        <v>236</v>
      </c>
      <c r="C18" s="84"/>
      <c r="D18" s="85"/>
      <c r="E18" s="1"/>
      <c r="F18" s="1"/>
    </row>
    <row r="19" spans="1:6" x14ac:dyDescent="0.25">
      <c r="A19" s="1"/>
      <c r="B19" s="54" t="s">
        <v>197</v>
      </c>
      <c r="C19" s="9">
        <v>80000</v>
      </c>
      <c r="D19" s="14" t="s">
        <v>3</v>
      </c>
      <c r="E19" s="1"/>
      <c r="F19" s="1"/>
    </row>
    <row r="20" spans="1:6" x14ac:dyDescent="0.25">
      <c r="A20" s="1"/>
      <c r="B20" s="54" t="s">
        <v>198</v>
      </c>
      <c r="C20" s="9">
        <v>80000</v>
      </c>
      <c r="D20" s="14" t="s">
        <v>3</v>
      </c>
      <c r="E20" s="1"/>
      <c r="F20" s="1"/>
    </row>
    <row r="21" spans="1:6" x14ac:dyDescent="0.25">
      <c r="A21" s="1"/>
      <c r="B21" s="54" t="s">
        <v>199</v>
      </c>
      <c r="C21" s="9">
        <v>80000</v>
      </c>
      <c r="D21" s="14" t="s">
        <v>3</v>
      </c>
      <c r="E21" s="1"/>
      <c r="F21" s="1"/>
    </row>
    <row r="22" spans="1:6" x14ac:dyDescent="0.25">
      <c r="A22" s="1"/>
      <c r="B22" s="54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83"/>
      <c r="C23" s="84"/>
      <c r="D23" s="85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83" t="s">
        <v>196</v>
      </c>
      <c r="C26" s="84"/>
      <c r="D26" s="85"/>
      <c r="E26" s="1"/>
      <c r="F26" s="1"/>
    </row>
    <row r="27" spans="1:6" x14ac:dyDescent="0.25">
      <c r="A27" s="1"/>
      <c r="B27" s="54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4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4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4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83"/>
      <c r="C31" s="84"/>
      <c r="D31" s="85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dd9KY63zcw1uJPHvMWdwtt7JtNBWSMxdSTytxUfjitQYB2NcTscue1rjwLUTMIpEc7Uncdc+M0DDN097a9wWzw==" saltValue="GGW8JXIwVeKDhl9sw4D+mw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2" t="s">
        <v>226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ht="15" customHeight="1" x14ac:dyDescent="0.25">
      <c r="A5" s="1"/>
      <c r="B5" s="47"/>
      <c r="C5" s="47"/>
      <c r="D5" s="47"/>
      <c r="E5" s="47"/>
      <c r="F5" s="47"/>
      <c r="G5" s="1"/>
    </row>
    <row r="6" spans="1:7" ht="15" customHeight="1" x14ac:dyDescent="0.25">
      <c r="A6" s="1"/>
      <c r="B6" s="47"/>
      <c r="C6" s="47"/>
      <c r="D6" s="47"/>
      <c r="E6" s="47"/>
      <c r="F6" s="47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183</v>
      </c>
      <c r="C8" s="84"/>
      <c r="D8" s="84"/>
      <c r="E8" s="84"/>
      <c r="F8" s="85"/>
      <c r="G8" s="1"/>
    </row>
    <row r="9" spans="1:7" x14ac:dyDescent="0.25">
      <c r="A9" s="1"/>
      <c r="B9" s="96" t="s">
        <v>184</v>
      </c>
      <c r="C9" s="97"/>
      <c r="D9" s="98"/>
      <c r="E9" s="9">
        <v>74727054.770438716</v>
      </c>
      <c r="F9" s="14" t="s">
        <v>3</v>
      </c>
      <c r="G9" s="1"/>
    </row>
    <row r="10" spans="1:7" x14ac:dyDescent="0.25">
      <c r="A10" s="1"/>
      <c r="B10" s="96" t="s">
        <v>185</v>
      </c>
      <c r="C10" s="97"/>
      <c r="D10" s="98"/>
      <c r="E10" s="9">
        <v>55705280</v>
      </c>
      <c r="F10" s="14" t="s">
        <v>3</v>
      </c>
      <c r="G10" s="1"/>
    </row>
    <row r="11" spans="1:7" x14ac:dyDescent="0.25">
      <c r="A11" s="1"/>
      <c r="B11" s="96" t="s">
        <v>50</v>
      </c>
      <c r="C11" s="97"/>
      <c r="D11" s="98"/>
      <c r="E11" s="9">
        <v>0</v>
      </c>
      <c r="F11" s="14" t="s">
        <v>3</v>
      </c>
      <c r="G11" s="1"/>
    </row>
    <row r="12" spans="1:7" x14ac:dyDescent="0.25">
      <c r="A12" s="1"/>
      <c r="B12" s="86" t="s">
        <v>186</v>
      </c>
      <c r="C12" s="87"/>
      <c r="D12" s="88"/>
      <c r="E12" s="10">
        <f>E9-(E10-E11)</f>
        <v>19021774.770438716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0" t="s">
        <v>208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3" t="s">
        <v>73</v>
      </c>
      <c r="C17" s="84"/>
      <c r="D17" s="84"/>
      <c r="E17" s="84"/>
      <c r="F17" s="85"/>
      <c r="G17" s="1"/>
    </row>
    <row r="18" spans="1:7" x14ac:dyDescent="0.25">
      <c r="A18" s="1"/>
      <c r="B18" s="96" t="s">
        <v>74</v>
      </c>
      <c r="C18" s="97"/>
      <c r="D18" s="98"/>
      <c r="E18" s="9">
        <v>76195522.499526799</v>
      </c>
      <c r="F18" s="14" t="s">
        <v>3</v>
      </c>
      <c r="G18" s="1"/>
    </row>
    <row r="19" spans="1:7" x14ac:dyDescent="0.25">
      <c r="A19" s="1"/>
      <c r="B19" s="96" t="s">
        <v>75</v>
      </c>
      <c r="C19" s="97"/>
      <c r="D19" s="98"/>
      <c r="E19" s="9">
        <v>60424102.579999998</v>
      </c>
      <c r="F19" s="14" t="s">
        <v>3</v>
      </c>
      <c r="G19" s="1"/>
    </row>
    <row r="20" spans="1:7" x14ac:dyDescent="0.25">
      <c r="A20" s="1"/>
      <c r="B20" s="96" t="s">
        <v>50</v>
      </c>
      <c r="C20" s="97"/>
      <c r="D20" s="98"/>
      <c r="E20" s="9">
        <v>0</v>
      </c>
      <c r="F20" s="14" t="s">
        <v>3</v>
      </c>
      <c r="G20" s="1"/>
    </row>
    <row r="21" spans="1:7" x14ac:dyDescent="0.25">
      <c r="A21" s="1"/>
      <c r="B21" s="86" t="s">
        <v>76</v>
      </c>
      <c r="C21" s="87"/>
      <c r="D21" s="88"/>
      <c r="E21" s="10">
        <f>E18-(E19-E20)</f>
        <v>15771419.919526801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3" t="s">
        <v>179</v>
      </c>
      <c r="C25" s="84"/>
      <c r="D25" s="84"/>
      <c r="E25" s="84"/>
      <c r="F25" s="85"/>
      <c r="G25" s="1"/>
    </row>
    <row r="26" spans="1:7" x14ac:dyDescent="0.25">
      <c r="A26" s="1"/>
      <c r="B26" s="104" t="s">
        <v>174</v>
      </c>
      <c r="C26" s="105"/>
      <c r="D26" s="106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4" t="s">
        <v>204</v>
      </c>
      <c r="C27" s="105"/>
      <c r="D27" s="106"/>
      <c r="E27" s="9">
        <v>2</v>
      </c>
      <c r="F27" s="14" t="s">
        <v>28</v>
      </c>
      <c r="G27" s="1"/>
    </row>
    <row r="28" spans="1:7" x14ac:dyDescent="0.25">
      <c r="A28" s="1"/>
      <c r="B28" s="86" t="s">
        <v>251</v>
      </c>
      <c r="C28" s="87"/>
      <c r="D28" s="88"/>
      <c r="E28" s="10">
        <f>E26/E27</f>
        <v>0</v>
      </c>
      <c r="F28" s="17" t="s">
        <v>3</v>
      </c>
      <c r="G28" s="1"/>
    </row>
    <row r="29" spans="1:7" x14ac:dyDescent="0.25">
      <c r="A29" s="1"/>
      <c r="B29" s="107"/>
      <c r="C29" s="108"/>
      <c r="D29" s="108"/>
      <c r="E29" s="108"/>
      <c r="F29" s="109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TH3xZXOnUJS8hyP4R7w+VYqERj7wzA4raLh2Qxjlw8GYwE7Yl+ck3+h+31QQ3+bEB01UMNFX+nU2EhrdFKg6SA==" saltValue="AaBI4HTlwsM+qA+A/MF8EA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2" t="s">
        <v>252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3" t="s">
        <v>177</v>
      </c>
      <c r="C9" s="84"/>
      <c r="D9" s="84"/>
      <c r="E9" s="84"/>
      <c r="F9" s="84"/>
      <c r="G9" s="1"/>
    </row>
    <row r="10" spans="1:7" x14ac:dyDescent="0.25">
      <c r="A10" s="1"/>
      <c r="B10" s="80" t="s">
        <v>201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96" t="s">
        <v>202</v>
      </c>
      <c r="C11" s="97"/>
      <c r="D11" s="98"/>
      <c r="E11" s="7">
        <v>0</v>
      </c>
      <c r="F11" s="8" t="s">
        <v>3</v>
      </c>
      <c r="G11" s="1"/>
    </row>
    <row r="12" spans="1:7" x14ac:dyDescent="0.25">
      <c r="A12" s="1"/>
      <c r="B12" s="86" t="s">
        <v>203</v>
      </c>
      <c r="C12" s="87"/>
      <c r="D12" s="88"/>
      <c r="E12" s="10">
        <f>E11-E10</f>
        <v>0</v>
      </c>
      <c r="F12" s="11" t="s">
        <v>3</v>
      </c>
      <c r="G12" s="1"/>
    </row>
    <row r="13" spans="1:7" x14ac:dyDescent="0.25">
      <c r="A13" s="1"/>
      <c r="B13" s="83" t="s">
        <v>178</v>
      </c>
      <c r="C13" s="84"/>
      <c r="D13" s="84"/>
      <c r="E13" s="84"/>
      <c r="F13" s="84"/>
      <c r="G13" s="1"/>
    </row>
    <row r="14" spans="1:7" x14ac:dyDescent="0.25">
      <c r="A14" s="1"/>
      <c r="B14" s="96" t="s">
        <v>210</v>
      </c>
      <c r="C14" s="97"/>
      <c r="D14" s="98"/>
      <c r="E14" s="9">
        <v>80000</v>
      </c>
      <c r="F14" s="8" t="s">
        <v>3</v>
      </c>
      <c r="G14" s="1"/>
    </row>
    <row r="15" spans="1:7" x14ac:dyDescent="0.25">
      <c r="A15" s="1"/>
      <c r="B15" s="80" t="s">
        <v>211</v>
      </c>
      <c r="C15" s="81"/>
      <c r="D15" s="82"/>
      <c r="E15" s="9">
        <v>80000</v>
      </c>
      <c r="F15" s="8" t="s">
        <v>3</v>
      </c>
      <c r="G15" s="1"/>
    </row>
    <row r="16" spans="1:7" x14ac:dyDescent="0.25">
      <c r="A16" s="1"/>
      <c r="B16" s="86" t="s">
        <v>203</v>
      </c>
      <c r="C16" s="87"/>
      <c r="D16" s="88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3" t="s">
        <v>173</v>
      </c>
      <c r="C17" s="84"/>
      <c r="D17" s="84"/>
      <c r="E17" s="84"/>
      <c r="F17" s="84"/>
      <c r="G17" s="1"/>
    </row>
    <row r="18" spans="1:7" ht="28.15" customHeight="1" x14ac:dyDescent="0.25">
      <c r="A18" s="1"/>
      <c r="B18" s="80" t="s">
        <v>258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89" t="s">
        <v>182</v>
      </c>
      <c r="C19" s="90"/>
      <c r="D19" s="91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4xCcJVh7Bk1o9AAkZM7dXXkwe1bceCes5PC9724XuTSc26wwrdoE1BRHmyXGUixuVz0kt3vdA7ADX0WQXVY13w==" saltValue="hUChPD79g7G/J4d2sbHZDA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253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254</v>
      </c>
      <c r="C8" s="84"/>
      <c r="D8" s="84"/>
      <c r="E8" s="84"/>
      <c r="F8" s="84"/>
      <c r="G8" s="84"/>
      <c r="H8" s="85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6" t="s">
        <v>264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83" t="s">
        <v>255</v>
      </c>
      <c r="C11" s="84"/>
      <c r="D11" s="85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5vCTmpn2Xt8XxfeUEX4kHAJzQgvd4hRBSJzVytz9soKyyInUoZTPj5zevqWpQzm5YREXWy0NDaW4XvG9Tq3Cuw==" saltValue="IgxfQ2+jzqfrR7A/3B5JDQ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225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2" t="s">
        <v>25</v>
      </c>
      <c r="C9" s="52" t="s">
        <v>16</v>
      </c>
      <c r="D9" s="53"/>
      <c r="E9" s="52" t="s">
        <v>48</v>
      </c>
      <c r="F9" s="39"/>
      <c r="G9" s="1"/>
    </row>
    <row r="10" spans="1:7" x14ac:dyDescent="0.25">
      <c r="A10" s="1"/>
      <c r="B10" s="27" t="s">
        <v>265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0" t="s">
        <v>60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70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zGeRwhandgGm1AXqVF1nQzS3oUnh6ru++6daswSJVmcPkZ9qnrNvDVukCXXtMjsabMAVjVCumoUkxvPq3cgFrA==" saltValue="cIyU0cRoW3Rely8C+L2ZYw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224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187</v>
      </c>
      <c r="C8" s="84"/>
      <c r="D8" s="84"/>
      <c r="E8" s="84"/>
      <c r="F8" s="85"/>
      <c r="G8" s="1"/>
    </row>
    <row r="9" spans="1:7" x14ac:dyDescent="0.25">
      <c r="A9" s="1"/>
      <c r="B9" s="52" t="s">
        <v>25</v>
      </c>
      <c r="C9" s="52" t="s">
        <v>16</v>
      </c>
      <c r="D9" s="53"/>
      <c r="E9" s="52" t="s">
        <v>48</v>
      </c>
      <c r="F9" s="39"/>
      <c r="G9" s="1"/>
    </row>
    <row r="10" spans="1:7" x14ac:dyDescent="0.25">
      <c r="A10" s="1"/>
      <c r="B10" s="27" t="s">
        <v>263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3" t="s">
        <v>188</v>
      </c>
      <c r="C16" s="84"/>
      <c r="D16" s="84"/>
      <c r="E16" s="84"/>
      <c r="F16" s="85"/>
      <c r="G16" s="1"/>
    </row>
    <row r="17" spans="1:7" x14ac:dyDescent="0.25">
      <c r="A17" s="1"/>
      <c r="B17" s="52" t="s">
        <v>25</v>
      </c>
      <c r="C17" s="52" t="s">
        <v>16</v>
      </c>
      <c r="D17" s="53"/>
      <c r="E17" s="52" t="s">
        <v>48</v>
      </c>
      <c r="F17" s="39"/>
      <c r="G17" s="1"/>
    </row>
    <row r="18" spans="1:7" x14ac:dyDescent="0.25">
      <c r="A18" s="1"/>
      <c r="B18" s="27" t="s">
        <v>263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3" t="s">
        <v>189</v>
      </c>
      <c r="C24" s="84"/>
      <c r="D24" s="84"/>
      <c r="E24" s="84"/>
      <c r="F24" s="85"/>
      <c r="G24" s="1"/>
    </row>
    <row r="25" spans="1:7" x14ac:dyDescent="0.25">
      <c r="A25" s="1"/>
      <c r="B25" s="52" t="s">
        <v>25</v>
      </c>
      <c r="C25" s="52" t="s">
        <v>16</v>
      </c>
      <c r="D25" s="53"/>
      <c r="E25" s="52" t="s">
        <v>48</v>
      </c>
      <c r="F25" s="39"/>
      <c r="G25" s="1"/>
    </row>
    <row r="26" spans="1:7" x14ac:dyDescent="0.25">
      <c r="A26" s="1"/>
      <c r="B26" s="27" t="s">
        <v>263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3" t="s">
        <v>190</v>
      </c>
      <c r="C32" s="84"/>
      <c r="D32" s="84"/>
      <c r="E32" s="84"/>
      <c r="F32" s="85"/>
      <c r="G32" s="1"/>
    </row>
    <row r="33" spans="1:7" x14ac:dyDescent="0.25">
      <c r="A33" s="1"/>
      <c r="B33" s="52" t="s">
        <v>25</v>
      </c>
      <c r="C33" s="52" t="s">
        <v>16</v>
      </c>
      <c r="D33" s="53"/>
      <c r="E33" s="52" t="s">
        <v>48</v>
      </c>
      <c r="F33" s="39"/>
      <c r="G33" s="1"/>
    </row>
    <row r="34" spans="1:7" x14ac:dyDescent="0.25">
      <c r="A34" s="1"/>
      <c r="B34" s="27" t="s">
        <v>263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wKtTBKbU2b3Md4lVnuLynj0ZkcKch5f88ocDUk31Dw9wUdhIQiH8yT+uNVubyyoG6GCJg51v6qQ2OGhPcIbNxQ==" saltValue="fED7uMoALgNEKeb//TpKTw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227</v>
      </c>
      <c r="C3" s="92"/>
      <c r="D3" s="92"/>
      <c r="E3" s="92"/>
      <c r="F3" s="92"/>
      <c r="G3" s="1"/>
    </row>
    <row r="4" spans="1:7" ht="1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92"/>
      <c r="C5" s="92"/>
      <c r="D5" s="92"/>
      <c r="E5" s="92"/>
      <c r="F5" s="92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160</v>
      </c>
      <c r="C8" s="84"/>
      <c r="D8" s="84"/>
      <c r="E8" s="84"/>
      <c r="F8" s="85"/>
      <c r="G8" s="1"/>
    </row>
    <row r="9" spans="1:7" x14ac:dyDescent="0.25">
      <c r="A9" s="1"/>
      <c r="B9" s="110" t="s">
        <v>159</v>
      </c>
      <c r="C9" s="111"/>
      <c r="D9" s="112"/>
      <c r="E9" s="9">
        <v>0</v>
      </c>
      <c r="F9" s="14" t="s">
        <v>3</v>
      </c>
      <c r="G9" s="1"/>
    </row>
    <row r="10" spans="1:7" x14ac:dyDescent="0.25">
      <c r="A10" s="1"/>
      <c r="B10" s="93" t="s">
        <v>10</v>
      </c>
      <c r="C10" s="94"/>
      <c r="D10" s="95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93" t="s">
        <v>39</v>
      </c>
      <c r="C11" s="94"/>
      <c r="D11" s="95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83" t="s">
        <v>164</v>
      </c>
      <c r="C12" s="84"/>
      <c r="D12" s="85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3" t="s">
        <v>161</v>
      </c>
      <c r="C14" s="84"/>
      <c r="D14" s="84"/>
      <c r="E14" s="84"/>
      <c r="F14" s="85"/>
      <c r="G14" s="1"/>
    </row>
    <row r="15" spans="1:7" x14ac:dyDescent="0.25">
      <c r="A15" s="1"/>
      <c r="B15" s="110" t="s">
        <v>159</v>
      </c>
      <c r="C15" s="111"/>
      <c r="D15" s="112"/>
      <c r="E15" s="9">
        <v>0</v>
      </c>
      <c r="F15" s="14" t="s">
        <v>3</v>
      </c>
      <c r="G15" s="1"/>
    </row>
    <row r="16" spans="1:7" x14ac:dyDescent="0.25">
      <c r="A16" s="1"/>
      <c r="B16" s="93" t="s">
        <v>10</v>
      </c>
      <c r="C16" s="94"/>
      <c r="D16" s="95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93" t="s">
        <v>39</v>
      </c>
      <c r="C17" s="94"/>
      <c r="D17" s="95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83" t="s">
        <v>165</v>
      </c>
      <c r="C18" s="84"/>
      <c r="D18" s="85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3" t="s">
        <v>162</v>
      </c>
      <c r="C20" s="84"/>
      <c r="D20" s="84"/>
      <c r="E20" s="84"/>
      <c r="F20" s="85"/>
      <c r="G20" s="1"/>
    </row>
    <row r="21" spans="1:7" x14ac:dyDescent="0.25">
      <c r="A21" s="1"/>
      <c r="B21" s="110" t="s">
        <v>159</v>
      </c>
      <c r="C21" s="111"/>
      <c r="D21" s="112"/>
      <c r="E21" s="9">
        <v>0</v>
      </c>
      <c r="F21" s="14" t="s">
        <v>3</v>
      </c>
      <c r="G21" s="1"/>
    </row>
    <row r="22" spans="1:7" x14ac:dyDescent="0.25">
      <c r="A22" s="1"/>
      <c r="B22" s="93" t="s">
        <v>10</v>
      </c>
      <c r="C22" s="94"/>
      <c r="D22" s="95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93" t="s">
        <v>39</v>
      </c>
      <c r="C23" s="94"/>
      <c r="D23" s="95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83" t="s">
        <v>166</v>
      </c>
      <c r="C24" s="84"/>
      <c r="D24" s="85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3" t="s">
        <v>163</v>
      </c>
      <c r="C26" s="84"/>
      <c r="D26" s="84"/>
      <c r="E26" s="84"/>
      <c r="F26" s="85"/>
      <c r="G26" s="1"/>
    </row>
    <row r="27" spans="1:7" x14ac:dyDescent="0.25">
      <c r="A27" s="1"/>
      <c r="B27" s="110" t="s">
        <v>159</v>
      </c>
      <c r="C27" s="111"/>
      <c r="D27" s="112"/>
      <c r="E27" s="9">
        <v>0</v>
      </c>
      <c r="F27" s="14" t="s">
        <v>3</v>
      </c>
      <c r="G27" s="1"/>
    </row>
    <row r="28" spans="1:7" x14ac:dyDescent="0.25">
      <c r="A28" s="1"/>
      <c r="B28" s="93" t="s">
        <v>10</v>
      </c>
      <c r="C28" s="94"/>
      <c r="D28" s="95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93" t="s">
        <v>39</v>
      </c>
      <c r="C29" s="94"/>
      <c r="D29" s="95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83" t="s">
        <v>167</v>
      </c>
      <c r="C30" s="84"/>
      <c r="D30" s="85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vX+FRp6CMM7ebk0gpcZ/gMFtIsuxSotOMCIQ6+ip96RqKuKPtCSdsPN+pnPPls0ZN9JTMhTjcVPYzOlDPJUwxA==" saltValue="B4MrPtzm0UbApWpsXjE8Hg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223</v>
      </c>
      <c r="C3" s="92"/>
      <c r="D3" s="92"/>
      <c r="E3" s="92"/>
      <c r="F3" s="92"/>
      <c r="G3" s="1"/>
    </row>
    <row r="4" spans="1:7" ht="25.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32</v>
      </c>
      <c r="C8" s="84"/>
      <c r="D8" s="84"/>
      <c r="E8" s="84"/>
      <c r="F8" s="85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SASH9kICbKIAaLySl2I/dg2Z7MAPv7JneaG4rWIYXfxTGBSozJxQM4nklE7CUtVwBfAXQiHeyJ5G96obPjMaFw==" saltValue="vtFJbbb42UuF1vDogfHCNg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222</v>
      </c>
      <c r="C3" s="92"/>
      <c r="D3" s="92"/>
      <c r="E3" s="92"/>
      <c r="F3" s="92"/>
      <c r="G3" s="1"/>
    </row>
    <row r="4" spans="1:7" ht="25.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3" t="s">
        <v>169</v>
      </c>
      <c r="C8" s="84"/>
      <c r="D8" s="84"/>
      <c r="E8" s="84"/>
      <c r="F8" s="85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3" t="s">
        <v>170</v>
      </c>
      <c r="C14" s="84"/>
      <c r="D14" s="84"/>
      <c r="E14" s="84"/>
      <c r="F14" s="85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3" t="s">
        <v>168</v>
      </c>
      <c r="C20" s="84"/>
      <c r="D20" s="84"/>
      <c r="E20" s="84"/>
      <c r="F20" s="85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3" t="s">
        <v>171</v>
      </c>
      <c r="C26" s="84"/>
      <c r="D26" s="84"/>
      <c r="E26" s="84"/>
      <c r="F26" s="85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v1ipdSYZsvfgHWOVTcFbhJyu0zYT42F3xopBc5Rqt8QMwODJO8ppySqg3DTD1dDx58X33Pmt57LIlvVfrbFSHQ==" saltValue="comzBt7QFUBlp4hKwIGzNA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221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18</v>
      </c>
      <c r="C8" s="84"/>
      <c r="D8" s="84"/>
      <c r="E8" s="84"/>
      <c r="F8" s="84"/>
      <c r="G8" s="84"/>
      <c r="H8" s="85"/>
      <c r="I8" s="1"/>
    </row>
    <row r="9" spans="1:9" x14ac:dyDescent="0.25">
      <c r="A9" s="1"/>
      <c r="B9" s="96" t="s">
        <v>12</v>
      </c>
      <c r="C9" s="97"/>
      <c r="D9" s="97"/>
      <c r="E9" s="97"/>
      <c r="F9" s="98"/>
      <c r="G9" s="9">
        <v>37657000</v>
      </c>
      <c r="H9" s="14" t="s">
        <v>3</v>
      </c>
      <c r="I9" s="1"/>
    </row>
    <row r="10" spans="1:9" x14ac:dyDescent="0.25">
      <c r="A10" s="1"/>
      <c r="B10" s="96" t="s">
        <v>137</v>
      </c>
      <c r="C10" s="97"/>
      <c r="D10" s="97"/>
      <c r="E10" s="97"/>
      <c r="F10" s="98"/>
      <c r="G10" s="9">
        <v>0</v>
      </c>
      <c r="H10" s="14" t="s">
        <v>3</v>
      </c>
      <c r="I10" s="1"/>
    </row>
    <row r="11" spans="1:9" x14ac:dyDescent="0.25">
      <c r="A11" s="1"/>
      <c r="B11" s="96" t="s">
        <v>77</v>
      </c>
      <c r="C11" s="97"/>
      <c r="D11" s="97"/>
      <c r="E11" s="97"/>
      <c r="F11" s="98"/>
      <c r="G11" s="9">
        <v>-33824060.243386239</v>
      </c>
      <c r="H11" s="14" t="s">
        <v>3</v>
      </c>
      <c r="I11" s="1"/>
    </row>
    <row r="12" spans="1:9" x14ac:dyDescent="0.25">
      <c r="A12" s="1"/>
      <c r="B12" s="113" t="s">
        <v>15</v>
      </c>
      <c r="C12" s="114"/>
      <c r="D12" s="114"/>
      <c r="E12" s="114"/>
      <c r="F12" s="115"/>
      <c r="G12" s="19">
        <f>(G9+G10)+G11</f>
        <v>3832939.7566137612</v>
      </c>
      <c r="H12" s="18" t="s">
        <v>3</v>
      </c>
      <c r="I12" s="1"/>
    </row>
    <row r="13" spans="1:9" x14ac:dyDescent="0.25">
      <c r="A13" s="1"/>
      <c r="B13" s="96" t="s">
        <v>13</v>
      </c>
      <c r="C13" s="97"/>
      <c r="D13" s="97"/>
      <c r="E13" s="97"/>
      <c r="F13" s="98"/>
      <c r="G13" s="9">
        <v>1</v>
      </c>
      <c r="H13" s="14" t="s">
        <v>28</v>
      </c>
      <c r="I13" s="1"/>
    </row>
    <row r="14" spans="1:9" x14ac:dyDescent="0.25">
      <c r="A14" s="1"/>
      <c r="B14" s="83" t="s">
        <v>138</v>
      </c>
      <c r="C14" s="84"/>
      <c r="D14" s="84"/>
      <c r="E14" s="84"/>
      <c r="F14" s="85"/>
      <c r="G14" s="12">
        <f>IF(G13 = 0,0,-G12/G13)</f>
        <v>-3832939.7566137612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b0J/rNJIwQy98ie+zeRLt+3v35xwO9zonxtm2cw9Nc2M35rK1YRMbCsyK1Ony4n4GpSAgaqExYtZhRSVJoobIA==" saltValue="DNymT7SD5mOuDETJLCztu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62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72318028.142219275</v>
      </c>
      <c r="D9" s="8" t="s">
        <v>3</v>
      </c>
      <c r="E9" s="1"/>
    </row>
    <row r="10" spans="1:5" ht="17.100000000000001" customHeight="1" x14ac:dyDescent="0.25">
      <c r="A10" s="1"/>
      <c r="B10" s="48" t="s">
        <v>64</v>
      </c>
      <c r="C10" s="7">
        <f>'Fane 10.1. Varige tillæg'!C12</f>
        <v>0</v>
      </c>
      <c r="D10" s="8" t="s">
        <v>3</v>
      </c>
      <c r="E10" s="1"/>
    </row>
    <row r="11" spans="1:5" ht="17.100000000000001" customHeight="1" x14ac:dyDescent="0.25">
      <c r="A11" s="1"/>
      <c r="B11" s="48" t="s">
        <v>65</v>
      </c>
      <c r="C11" s="9">
        <f>'Fane 10.1. Varige tillæg'!E12</f>
        <v>0</v>
      </c>
      <c r="D11" s="8" t="s">
        <v>3</v>
      </c>
      <c r="E11" s="1"/>
    </row>
    <row r="12" spans="1:5" ht="17.100000000000001" customHeight="1" x14ac:dyDescent="0.25">
      <c r="A12" s="1"/>
      <c r="B12" s="48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8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8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8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8" t="s">
        <v>27</v>
      </c>
      <c r="C16" s="9">
        <f>SUM(C9:C15)*'Fane 15. Nøgletal'!C12</f>
        <v>1424665.1544017196</v>
      </c>
      <c r="D16" s="8" t="s">
        <v>3</v>
      </c>
      <c r="E16" s="1"/>
    </row>
    <row r="17" spans="1:5" ht="17.100000000000001" customHeight="1" x14ac:dyDescent="0.25">
      <c r="A17" s="1"/>
      <c r="B17" s="48" t="s">
        <v>10</v>
      </c>
      <c r="C17" s="9">
        <f>-SUM(C9:C16)*'Fane 5. Individuelt eff. krav'!G11</f>
        <v>-424115.76647385379</v>
      </c>
      <c r="D17" s="8" t="s">
        <v>3</v>
      </c>
      <c r="E17" s="1"/>
    </row>
    <row r="18" spans="1:5" ht="17.100000000000001" customHeight="1" x14ac:dyDescent="0.25">
      <c r="A18" s="1"/>
      <c r="B18" s="48" t="s">
        <v>39</v>
      </c>
      <c r="C18" s="9">
        <f>-'Fane 4.1. Gen. krav - drift'!G28</f>
        <v>-450077.67916036083</v>
      </c>
      <c r="D18" s="8" t="s">
        <v>3</v>
      </c>
      <c r="E18" s="1"/>
    </row>
    <row r="19" spans="1:5" ht="17.100000000000001" customHeight="1" x14ac:dyDescent="0.25">
      <c r="A19" s="1"/>
      <c r="B19" s="48" t="s">
        <v>40</v>
      </c>
      <c r="C19" s="9">
        <f>-'Fane 4.2. Gen. krav - anlæg'!G25</f>
        <v>-1481705.0832692529</v>
      </c>
      <c r="D19" s="8" t="s">
        <v>3</v>
      </c>
      <c r="E19" s="1"/>
    </row>
    <row r="20" spans="1:5" ht="17.100000000000001" customHeight="1" x14ac:dyDescent="0.25">
      <c r="A20" s="1"/>
      <c r="B20" s="49" t="s">
        <v>29</v>
      </c>
      <c r="C20" s="10">
        <f>SUM(C9:C19)</f>
        <v>71386794.767717525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1577190.5276609303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9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8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8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9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-3832939.7566137612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69131045.5387647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CKPfArcRuB8O7vhISBNAKkosPSakK+yB7byLxHQQFSjlZEu4cBs0+4h14fiU6iqGYtnUpLFQ9fzlqa02q/UAbQ==" saltValue="HVcl3p8KKN7Ie62+7uvDk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2" t="s">
        <v>248</v>
      </c>
      <c r="C3" s="92"/>
      <c r="D3" s="1"/>
    </row>
    <row r="4" spans="1:4" ht="25.5" customHeight="1" x14ac:dyDescent="0.25">
      <c r="A4" s="1"/>
      <c r="B4" s="92"/>
      <c r="C4" s="92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4" t="s">
        <v>228</v>
      </c>
      <c r="C9" s="28">
        <v>1.2699999999999999E-2</v>
      </c>
      <c r="D9" s="1"/>
    </row>
    <row r="10" spans="1:4" x14ac:dyDescent="0.25">
      <c r="A10" s="1"/>
      <c r="B10" s="54" t="s">
        <v>229</v>
      </c>
      <c r="C10" s="28">
        <v>1.7500000000000002E-2</v>
      </c>
      <c r="D10" s="1"/>
    </row>
    <row r="11" spans="1:4" x14ac:dyDescent="0.25">
      <c r="A11" s="1"/>
      <c r="B11" s="54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4" t="s">
        <v>231</v>
      </c>
      <c r="C17" s="25">
        <v>9.1000000000000004E-3</v>
      </c>
      <c r="D17" s="1"/>
    </row>
    <row r="18" spans="1:4" x14ac:dyDescent="0.25">
      <c r="A18" s="1"/>
      <c r="B18" s="54" t="s">
        <v>232</v>
      </c>
      <c r="C18" s="25">
        <v>1.77E-2</v>
      </c>
      <c r="D18" s="1"/>
    </row>
    <row r="19" spans="1:4" x14ac:dyDescent="0.25">
      <c r="A19" s="1"/>
      <c r="B19" s="54" t="s">
        <v>233</v>
      </c>
      <c r="C19" s="25">
        <v>8.6999999999999994E-3</v>
      </c>
      <c r="D19" s="1"/>
    </row>
    <row r="20" spans="1:4" x14ac:dyDescent="0.25">
      <c r="A20" s="1"/>
      <c r="B20" s="54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4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W5GGnv+C+Z+BP9S47yxorHEVQHjMR6LLqPupQ9GjdzNyMxMlF8IscAQqCCgRGzF9iCrKnd/ywbm+FL1ACwHRcw==" saltValue="LUEKDOkvY8WXmXPi2mwkr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82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71386794.767717525</v>
      </c>
      <c r="D9" s="8" t="s">
        <v>3</v>
      </c>
      <c r="E9" s="1"/>
    </row>
    <row r="10" spans="1:5" ht="15" customHeight="1" x14ac:dyDescent="0.25">
      <c r="A10" s="1"/>
      <c r="B10" s="48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8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1406319.8569240351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-418654.46219691559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-449765.32525102363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-1467985.2646848231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70456709.572508797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1606685.1810558508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72063394.753564641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J6s5eR/JApQw6nXk20qNORPzx1Whv/gnWUvHPYqyHcrk8aFZ8U6GvKEkuNf4jdpf5MJfHYOpv8taLDIxNr2Flg==" saltValue="bqSFrbZzL5BzCfGyTkWK7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246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70456709.572508797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1387997.1785784231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-413199.89152366394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-449453.18811529945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-1454392.4844861792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69527661.186962083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1636760.8791226509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71164422.066084728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uW82TAdFGKhu3nlqoWXZj2m9lXSqvwOphxJe2o5z2LBBRbWjCS7Ws8HRsKv74lDrkhJc6biqC/9ankeI0moPjw==" saltValue="sPw5AFrunpD0RTwnQBmkc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247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69527661.186962083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1369694.9253831529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-407751.40131659468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-449141.26760274748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-1440925.5663639291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68599537.877061963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1587429.0684413672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9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8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8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9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70186966.945503324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PVpAqVF259KI7uK/byq7oCIJ0NRZLhLwdqMvc4iq1gLhPlpcLephMsMnh+0/ACGJcpbX4n4c2HZEpm4aBnX6VA==" saltValue="f13MIWCaKzmfzDyRgalp+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2" t="s">
        <v>243</v>
      </c>
      <c r="C3" s="92"/>
      <c r="D3" s="92"/>
      <c r="E3" s="92"/>
      <c r="F3" s="92"/>
      <c r="G3" s="1"/>
    </row>
    <row r="4" spans="1:7" ht="29.25" customHeight="1" x14ac:dyDescent="0.25">
      <c r="A4" s="1"/>
      <c r="B4" s="92"/>
      <c r="C4" s="92"/>
      <c r="D4" s="92"/>
      <c r="E4" s="92"/>
      <c r="F4" s="9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0" t="s">
        <v>79</v>
      </c>
      <c r="C9" s="81"/>
      <c r="D9" s="82"/>
      <c r="E9" s="7">
        <v>72822930.969441652</v>
      </c>
      <c r="F9" s="8" t="s">
        <v>3</v>
      </c>
      <c r="G9" s="1"/>
    </row>
    <row r="10" spans="1:7" ht="15" customHeight="1" x14ac:dyDescent="0.25">
      <c r="A10" s="1"/>
      <c r="B10" s="93" t="s">
        <v>64</v>
      </c>
      <c r="C10" s="94"/>
      <c r="D10" s="95"/>
      <c r="E10" s="7">
        <v>0</v>
      </c>
      <c r="F10" s="8" t="s">
        <v>3</v>
      </c>
      <c r="G10" s="1"/>
    </row>
    <row r="11" spans="1:7" ht="15" customHeight="1" x14ac:dyDescent="0.25">
      <c r="A11" s="1"/>
      <c r="B11" s="93" t="s">
        <v>65</v>
      </c>
      <c r="C11" s="94"/>
      <c r="D11" s="95"/>
      <c r="E11" s="9">
        <v>0</v>
      </c>
      <c r="F11" s="8" t="s">
        <v>3</v>
      </c>
      <c r="G11" s="1"/>
    </row>
    <row r="12" spans="1:7" ht="15" customHeight="1" x14ac:dyDescent="0.25">
      <c r="A12" s="1"/>
      <c r="B12" s="93" t="s">
        <v>42</v>
      </c>
      <c r="C12" s="94"/>
      <c r="D12" s="95"/>
      <c r="E12" s="9">
        <v>0</v>
      </c>
      <c r="F12" s="8" t="s">
        <v>3</v>
      </c>
      <c r="G12" s="1"/>
    </row>
    <row r="13" spans="1:7" ht="15" customHeight="1" x14ac:dyDescent="0.25">
      <c r="A13" s="1"/>
      <c r="B13" s="80" t="s">
        <v>41</v>
      </c>
      <c r="C13" s="81"/>
      <c r="D13" s="82"/>
      <c r="E13" s="9">
        <v>0</v>
      </c>
      <c r="F13" s="8" t="s">
        <v>3</v>
      </c>
      <c r="G13" s="1"/>
    </row>
    <row r="14" spans="1:7" ht="15" customHeight="1" x14ac:dyDescent="0.25">
      <c r="A14" s="1"/>
      <c r="B14" s="80" t="s">
        <v>44</v>
      </c>
      <c r="C14" s="81"/>
      <c r="D14" s="82"/>
      <c r="E14" s="9">
        <v>0</v>
      </c>
      <c r="F14" s="8" t="s">
        <v>3</v>
      </c>
      <c r="G14" s="1"/>
    </row>
    <row r="15" spans="1:7" ht="15" customHeight="1" x14ac:dyDescent="0.25">
      <c r="A15" s="1"/>
      <c r="B15" s="80" t="s">
        <v>43</v>
      </c>
      <c r="C15" s="81"/>
      <c r="D15" s="82"/>
      <c r="E15" s="9">
        <v>0</v>
      </c>
      <c r="F15" s="8" t="s">
        <v>3</v>
      </c>
      <c r="G15" s="1"/>
    </row>
    <row r="16" spans="1:7" ht="15" customHeight="1" x14ac:dyDescent="0.25">
      <c r="A16" s="1"/>
      <c r="B16" s="80" t="s">
        <v>27</v>
      </c>
      <c r="C16" s="81"/>
      <c r="D16" s="82"/>
      <c r="E16" s="9">
        <f>E9*'Fane 15. Nøgletal'!C10+SUM(E10:E15)*'Fane 15. Nøgletal'!C11</f>
        <v>1274401.291965229</v>
      </c>
      <c r="F16" s="8" t="s">
        <v>3</v>
      </c>
      <c r="G16" s="1"/>
    </row>
    <row r="17" spans="1:7" ht="15" customHeight="1" x14ac:dyDescent="0.25">
      <c r="A17" s="1"/>
      <c r="B17" s="80" t="s">
        <v>10</v>
      </c>
      <c r="C17" s="81"/>
      <c r="D17" s="82"/>
      <c r="E17" s="9">
        <f>-SUM(E9:E16)*'Fane 5. Individuelt eff. krav'!G10</f>
        <v>-406979.22775320004</v>
      </c>
      <c r="F17" s="8" t="s">
        <v>3</v>
      </c>
      <c r="G17" s="1"/>
    </row>
    <row r="18" spans="1:7" ht="15" customHeight="1" x14ac:dyDescent="0.25">
      <c r="A18" s="1"/>
      <c r="B18" s="80" t="s">
        <v>39</v>
      </c>
      <c r="C18" s="81"/>
      <c r="D18" s="82"/>
      <c r="E18" s="9">
        <f>-'Fane 4.1. Gen. krav - drift'!G22</f>
        <v>-450390.24999385653</v>
      </c>
      <c r="F18" s="8" t="s">
        <v>3</v>
      </c>
      <c r="G18" s="1"/>
    </row>
    <row r="19" spans="1:7" ht="15" customHeight="1" x14ac:dyDescent="0.25">
      <c r="A19" s="1"/>
      <c r="B19" s="80" t="s">
        <v>40</v>
      </c>
      <c r="C19" s="81"/>
      <c r="D19" s="82"/>
      <c r="E19" s="9">
        <f>-'Fane 4.2. Gen. krav - anlæg'!G19</f>
        <v>-921934.64144054486</v>
      </c>
      <c r="F19" s="8" t="s">
        <v>3</v>
      </c>
      <c r="G19" s="1"/>
    </row>
    <row r="20" spans="1:7" ht="15" customHeight="1" x14ac:dyDescent="0.25">
      <c r="A20" s="1"/>
      <c r="B20" s="49" t="s">
        <v>29</v>
      </c>
      <c r="C20" s="50"/>
      <c r="D20" s="51"/>
      <c r="E20" s="10">
        <f>SUM(E9:E19)</f>
        <v>72318028.142219275</v>
      </c>
      <c r="F20" s="11" t="s">
        <v>3</v>
      </c>
      <c r="G20" s="1"/>
    </row>
    <row r="21" spans="1:7" ht="15" customHeight="1" x14ac:dyDescent="0.25">
      <c r="A21" s="1"/>
      <c r="B21" s="83" t="s">
        <v>145</v>
      </c>
      <c r="C21" s="84"/>
      <c r="D21" s="84"/>
      <c r="E21" s="84"/>
      <c r="F21" s="85"/>
      <c r="G21" s="1"/>
    </row>
    <row r="22" spans="1:7" ht="15" customHeight="1" x14ac:dyDescent="0.25">
      <c r="A22" s="1"/>
      <c r="B22" s="80" t="s">
        <v>239</v>
      </c>
      <c r="C22" s="81"/>
      <c r="D22" s="82"/>
      <c r="E22" s="44">
        <v>0</v>
      </c>
      <c r="F22" s="8" t="s">
        <v>3</v>
      </c>
      <c r="G22" s="1"/>
    </row>
    <row r="23" spans="1:7" ht="15" customHeight="1" x14ac:dyDescent="0.25">
      <c r="A23" s="1"/>
      <c r="B23" s="80" t="s">
        <v>238</v>
      </c>
      <c r="C23" s="81"/>
      <c r="D23" s="82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6" t="s">
        <v>240</v>
      </c>
      <c r="C24" s="87"/>
      <c r="D24" s="88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6" t="s">
        <v>17</v>
      </c>
      <c r="C26" s="87"/>
      <c r="D26" s="88"/>
      <c r="E26" s="10">
        <v>1620909.5810019798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89" t="s">
        <v>134</v>
      </c>
      <c r="C28" s="90"/>
      <c r="D28" s="91"/>
      <c r="E28" s="10">
        <v>7464.6294784713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89" t="s">
        <v>19</v>
      </c>
      <c r="C30" s="90"/>
      <c r="D30" s="91"/>
      <c r="E30" s="10">
        <v>-3832940</v>
      </c>
      <c r="F30" s="11" t="s">
        <v>3</v>
      </c>
      <c r="G30" s="1"/>
    </row>
    <row r="31" spans="1:7" x14ac:dyDescent="0.25">
      <c r="A31" s="1"/>
      <c r="B31" s="83" t="s">
        <v>24</v>
      </c>
      <c r="C31" s="84"/>
      <c r="D31" s="85"/>
      <c r="E31" s="12">
        <f>SUM(E30,E28,E26,E20,E24)</f>
        <v>70113462.352699727</v>
      </c>
      <c r="F31" s="13" t="s">
        <v>3</v>
      </c>
      <c r="G31" s="1"/>
    </row>
    <row r="32" spans="1:7" ht="27" customHeight="1" x14ac:dyDescent="0.25">
      <c r="A32" s="1"/>
      <c r="B32" s="80" t="s">
        <v>208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YQxHlGUntZR/ZNG8x4FjWlYQCfMGPtbyvXJIc1Y+JR/N/zvv2k5Y0yj4b7sfDApl6A0PemCoEHDooGWvCPiDWA==" saltValue="izu115MPt1eC9V6AOLOcSg==" spinCount="100000" sheet="1" objects="1" scenarios="1"/>
  <mergeCells count="21"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8" t="s">
        <v>218</v>
      </c>
      <c r="C2" s="78"/>
      <c r="D2" s="78"/>
      <c r="E2" s="78"/>
      <c r="F2" s="78"/>
      <c r="G2" s="78"/>
      <c r="H2" s="78"/>
      <c r="I2" s="1"/>
    </row>
    <row r="3" spans="1:9" ht="15" customHeight="1" x14ac:dyDescent="0.25">
      <c r="A3" s="1"/>
      <c r="B3" s="78"/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83" t="s">
        <v>94</v>
      </c>
      <c r="C5" s="84"/>
      <c r="D5" s="84"/>
      <c r="E5" s="84"/>
      <c r="F5" s="84"/>
      <c r="G5" s="84"/>
      <c r="H5" s="85"/>
      <c r="I5" s="1"/>
    </row>
    <row r="6" spans="1:9" x14ac:dyDescent="0.25">
      <c r="A6" s="1"/>
      <c r="B6" s="96" t="s">
        <v>83</v>
      </c>
      <c r="C6" s="97"/>
      <c r="D6" s="97"/>
      <c r="E6" s="97"/>
      <c r="F6" s="98"/>
      <c r="G6" s="26">
        <v>22648424.557844065</v>
      </c>
      <c r="H6" s="14" t="s">
        <v>3</v>
      </c>
      <c r="I6" s="1"/>
    </row>
    <row r="7" spans="1:9" x14ac:dyDescent="0.25">
      <c r="A7" s="1"/>
      <c r="B7" s="80" t="s">
        <v>242</v>
      </c>
      <c r="C7" s="81"/>
      <c r="D7" s="81"/>
      <c r="E7" s="81"/>
      <c r="F7" s="82"/>
      <c r="G7" s="26">
        <v>0</v>
      </c>
      <c r="H7" s="14" t="s">
        <v>3</v>
      </c>
      <c r="I7" s="1"/>
    </row>
    <row r="8" spans="1:9" x14ac:dyDescent="0.25">
      <c r="A8" s="1"/>
      <c r="B8" s="96" t="s">
        <v>84</v>
      </c>
      <c r="C8" s="97"/>
      <c r="D8" s="97"/>
      <c r="E8" s="97"/>
      <c r="F8" s="98"/>
      <c r="G8" s="26">
        <f>SUM(G6:G7)*'Fane 15. Nøgletal'!C25</f>
        <v>452968.49115688133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3" t="s">
        <v>95</v>
      </c>
      <c r="C11" s="84"/>
      <c r="D11" s="84"/>
      <c r="E11" s="84"/>
      <c r="F11" s="84"/>
      <c r="G11" s="84"/>
      <c r="H11" s="85"/>
      <c r="I11" s="1"/>
    </row>
    <row r="12" spans="1:9" x14ac:dyDescent="0.25">
      <c r="A12" s="1"/>
      <c r="B12" s="96" t="s">
        <v>85</v>
      </c>
      <c r="C12" s="97"/>
      <c r="D12" s="97"/>
      <c r="E12" s="97"/>
      <c r="F12" s="98"/>
      <c r="G12" s="26">
        <f>(G6-G8)*(1+'Fane 15. Nøgletal'!C10)</f>
        <v>22583876.547854211</v>
      </c>
      <c r="H12" s="14" t="s">
        <v>3</v>
      </c>
      <c r="I12" s="1"/>
    </row>
    <row r="13" spans="1:9" x14ac:dyDescent="0.25">
      <c r="A13" s="1"/>
      <c r="B13" s="96" t="s">
        <v>244</v>
      </c>
      <c r="C13" s="97"/>
      <c r="D13" s="97"/>
      <c r="E13" s="97"/>
      <c r="F13" s="98"/>
      <c r="G13" s="26">
        <v>0</v>
      </c>
      <c r="H13" s="14" t="s">
        <v>3</v>
      </c>
      <c r="I13" s="1"/>
    </row>
    <row r="14" spans="1:9" ht="15" customHeight="1" x14ac:dyDescent="0.25">
      <c r="A14" s="1"/>
      <c r="B14" s="80" t="s">
        <v>237</v>
      </c>
      <c r="C14" s="81"/>
      <c r="D14" s="81"/>
      <c r="E14" s="81"/>
      <c r="F14" s="82"/>
      <c r="G14" s="26">
        <v>0</v>
      </c>
      <c r="H14" s="14" t="s">
        <v>3</v>
      </c>
      <c r="I14" s="1"/>
    </row>
    <row r="15" spans="1:9" x14ac:dyDescent="0.25">
      <c r="A15" s="1"/>
      <c r="B15" s="99" t="s">
        <v>86</v>
      </c>
      <c r="C15" s="100"/>
      <c r="D15" s="100"/>
      <c r="E15" s="100"/>
      <c r="F15" s="101"/>
      <c r="G15" s="26">
        <v>0</v>
      </c>
      <c r="H15" s="14" t="s">
        <v>3</v>
      </c>
      <c r="I15" s="1"/>
    </row>
    <row r="16" spans="1:9" x14ac:dyDescent="0.25">
      <c r="A16" s="1"/>
      <c r="B16" s="96" t="s">
        <v>87</v>
      </c>
      <c r="C16" s="97"/>
      <c r="D16" s="97"/>
      <c r="E16" s="97"/>
      <c r="F16" s="98"/>
      <c r="G16" s="26">
        <f>SUM(G12:G15)*'Fane 15. Nøgletal'!C25</f>
        <v>451677.53095708421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3" t="s">
        <v>96</v>
      </c>
      <c r="C19" s="84"/>
      <c r="D19" s="84"/>
      <c r="E19" s="84"/>
      <c r="F19" s="84"/>
      <c r="G19" s="84"/>
      <c r="H19" s="85"/>
      <c r="I19" s="1"/>
    </row>
    <row r="20" spans="1:9" x14ac:dyDescent="0.25">
      <c r="A20" s="1"/>
      <c r="B20" s="96" t="s">
        <v>88</v>
      </c>
      <c r="C20" s="97"/>
      <c r="D20" s="97"/>
      <c r="E20" s="97"/>
      <c r="F20" s="98"/>
      <c r="G20" s="26">
        <f>(SUM(G12:G13,G15)-(G16))*(1+'Fane 15. Nøgletal'!C10)</f>
        <v>22519512.499692827</v>
      </c>
      <c r="H20" s="14" t="s">
        <v>3</v>
      </c>
      <c r="I20" s="1"/>
    </row>
    <row r="21" spans="1:9" x14ac:dyDescent="0.25">
      <c r="A21" s="1"/>
      <c r="B21" s="99" t="s">
        <v>89</v>
      </c>
      <c r="C21" s="100"/>
      <c r="D21" s="100"/>
      <c r="E21" s="100"/>
      <c r="F21" s="101"/>
      <c r="G21" s="26">
        <v>0</v>
      </c>
      <c r="H21" s="14" t="s">
        <v>3</v>
      </c>
      <c r="I21" s="1"/>
    </row>
    <row r="22" spans="1:9" x14ac:dyDescent="0.25">
      <c r="A22" s="1"/>
      <c r="B22" s="96" t="s">
        <v>90</v>
      </c>
      <c r="C22" s="97"/>
      <c r="D22" s="97"/>
      <c r="E22" s="97"/>
      <c r="F22" s="98"/>
      <c r="G22" s="26">
        <f>SUM(G20:G21)*'Fane 15. Nøgletal'!C25</f>
        <v>450390.24999385653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3" t="s">
        <v>97</v>
      </c>
      <c r="C25" s="84"/>
      <c r="D25" s="84"/>
      <c r="E25" s="84"/>
      <c r="F25" s="84"/>
      <c r="G25" s="84"/>
      <c r="H25" s="85"/>
      <c r="I25" s="1"/>
    </row>
    <row r="26" spans="1:9" x14ac:dyDescent="0.25">
      <c r="A26" s="1"/>
      <c r="B26" s="96" t="s">
        <v>91</v>
      </c>
      <c r="C26" s="97"/>
      <c r="D26" s="97"/>
      <c r="E26" s="97"/>
      <c r="F26" s="98"/>
      <c r="G26" s="26">
        <f>(G20+G21-G22)*(1+'Fane 15. Nøgletal'!C12)</f>
        <v>22503883.958018042</v>
      </c>
      <c r="H26" s="14" t="s">
        <v>3</v>
      </c>
      <c r="I26" s="1"/>
    </row>
    <row r="27" spans="1:9" x14ac:dyDescent="0.25">
      <c r="A27" s="1"/>
      <c r="B27" s="99" t="s">
        <v>92</v>
      </c>
      <c r="C27" s="100"/>
      <c r="D27" s="100"/>
      <c r="E27" s="100"/>
      <c r="F27" s="101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6" t="s">
        <v>93</v>
      </c>
      <c r="C28" s="97"/>
      <c r="D28" s="97"/>
      <c r="E28" s="97"/>
      <c r="F28" s="98"/>
      <c r="G28" s="26">
        <f>(G26+G27)*'Fane 15. Nøgletal'!C25</f>
        <v>450077.67916036083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3" t="s">
        <v>100</v>
      </c>
      <c r="C31" s="84"/>
      <c r="D31" s="84"/>
      <c r="E31" s="84"/>
      <c r="F31" s="84"/>
      <c r="G31" s="84"/>
      <c r="H31" s="85"/>
      <c r="I31" s="1"/>
    </row>
    <row r="32" spans="1:9" x14ac:dyDescent="0.25">
      <c r="A32" s="1"/>
      <c r="B32" s="96" t="s">
        <v>101</v>
      </c>
      <c r="C32" s="97"/>
      <c r="D32" s="97"/>
      <c r="E32" s="97"/>
      <c r="F32" s="98"/>
      <c r="G32" s="26">
        <f>(G26+G27-G28)*(1+'Fane 15. Nøgletal'!C12)</f>
        <v>22488266.262551181</v>
      </c>
      <c r="H32" s="14" t="s">
        <v>3</v>
      </c>
      <c r="I32" s="1"/>
    </row>
    <row r="33" spans="1:9" x14ac:dyDescent="0.25">
      <c r="A33" s="1"/>
      <c r="B33" s="96" t="s">
        <v>149</v>
      </c>
      <c r="C33" s="97"/>
      <c r="D33" s="97"/>
      <c r="E33" s="97"/>
      <c r="F33" s="98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6" t="s">
        <v>102</v>
      </c>
      <c r="C34" s="97"/>
      <c r="D34" s="97"/>
      <c r="E34" s="97"/>
      <c r="F34" s="98"/>
      <c r="G34" s="26">
        <f>(G32+G33)*'Fane 15. Nøgletal'!C25</f>
        <v>449765.32525102363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3" t="s">
        <v>127</v>
      </c>
      <c r="C37" s="84"/>
      <c r="D37" s="84"/>
      <c r="E37" s="84"/>
      <c r="F37" s="84"/>
      <c r="G37" s="84"/>
      <c r="H37" s="85"/>
      <c r="I37" s="1"/>
    </row>
    <row r="38" spans="1:9" x14ac:dyDescent="0.25">
      <c r="A38" s="1"/>
      <c r="B38" s="96" t="s">
        <v>126</v>
      </c>
      <c r="C38" s="97"/>
      <c r="D38" s="97"/>
      <c r="E38" s="97"/>
      <c r="F38" s="98"/>
      <c r="G38" s="26">
        <f>(G32-G34)*(1+'Fane 15. Nøgletal'!C12)</f>
        <v>22472659.405764971</v>
      </c>
      <c r="H38" s="14" t="s">
        <v>3</v>
      </c>
      <c r="I38" s="1"/>
    </row>
    <row r="39" spans="1:9" x14ac:dyDescent="0.25">
      <c r="A39" s="1"/>
      <c r="B39" s="96" t="s">
        <v>150</v>
      </c>
      <c r="C39" s="97"/>
      <c r="D39" s="97"/>
      <c r="E39" s="97"/>
      <c r="F39" s="98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6" t="s">
        <v>103</v>
      </c>
      <c r="C40" s="97"/>
      <c r="D40" s="97"/>
      <c r="E40" s="97"/>
      <c r="F40" s="98"/>
      <c r="G40" s="26">
        <f>(G38+G39)*'Fane 15. Nøgletal'!C25</f>
        <v>449453.18811529945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3" t="s">
        <v>128</v>
      </c>
      <c r="C43" s="84"/>
      <c r="D43" s="84"/>
      <c r="E43" s="84"/>
      <c r="F43" s="84"/>
      <c r="G43" s="84"/>
      <c r="H43" s="85"/>
      <c r="I43" s="1"/>
    </row>
    <row r="44" spans="1:9" x14ac:dyDescent="0.25">
      <c r="A44" s="1"/>
      <c r="B44" s="96" t="s">
        <v>125</v>
      </c>
      <c r="C44" s="97"/>
      <c r="D44" s="97"/>
      <c r="E44" s="97"/>
      <c r="F44" s="98"/>
      <c r="G44" s="26">
        <f>(G38-G40)*(1+'Fane 15. Nøgletal'!C12)</f>
        <v>22457063.380137373</v>
      </c>
      <c r="H44" s="14" t="s">
        <v>3</v>
      </c>
      <c r="I44" s="1"/>
    </row>
    <row r="45" spans="1:9" x14ac:dyDescent="0.25">
      <c r="A45" s="1"/>
      <c r="B45" s="96" t="s">
        <v>151</v>
      </c>
      <c r="C45" s="97"/>
      <c r="D45" s="97"/>
      <c r="E45" s="97"/>
      <c r="F45" s="98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6" t="s">
        <v>104</v>
      </c>
      <c r="C46" s="97"/>
      <c r="D46" s="97"/>
      <c r="E46" s="97"/>
      <c r="F46" s="98"/>
      <c r="G46" s="26">
        <f>(G44+G45)*'Fane 15. Nøgletal'!C25</f>
        <v>449141.26760274748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GknVwgZODXYU/QAkqzR2CeezWVK04VtGLt4fZB/nBma6SE4QbJ8Nln13miaDmQ37q2H3Hbp5K5ncaDDYsTzrYg==" saltValue="ILI121fdi8sW3sjC+sFxfA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2" t="s">
        <v>219</v>
      </c>
      <c r="C2" s="102"/>
      <c r="D2" s="102"/>
      <c r="E2" s="102"/>
      <c r="F2" s="102"/>
      <c r="G2" s="102"/>
      <c r="H2" s="102"/>
      <c r="I2" s="1"/>
    </row>
    <row r="3" spans="1:9" ht="18.75" x14ac:dyDescent="0.3">
      <c r="A3" s="1"/>
      <c r="B3" s="55"/>
      <c r="C3" s="55"/>
      <c r="D3" s="55"/>
      <c r="E3" s="55"/>
      <c r="F3" s="55"/>
      <c r="G3" s="55"/>
      <c r="H3" s="55"/>
      <c r="I3" s="1"/>
    </row>
    <row r="4" spans="1:9" x14ac:dyDescent="0.25">
      <c r="A4" s="1"/>
      <c r="B4" s="83" t="s">
        <v>98</v>
      </c>
      <c r="C4" s="84"/>
      <c r="D4" s="84"/>
      <c r="E4" s="84"/>
      <c r="F4" s="84"/>
      <c r="G4" s="84"/>
      <c r="H4" s="85"/>
      <c r="I4" s="1"/>
    </row>
    <row r="5" spans="1:9" x14ac:dyDescent="0.25">
      <c r="A5" s="1"/>
      <c r="B5" s="96" t="s">
        <v>105</v>
      </c>
      <c r="C5" s="97"/>
      <c r="D5" s="97"/>
      <c r="E5" s="97"/>
      <c r="F5" s="98"/>
      <c r="G5" s="26">
        <v>51487105.293005534</v>
      </c>
      <c r="H5" s="14" t="s">
        <v>3</v>
      </c>
      <c r="I5" s="1"/>
    </row>
    <row r="6" spans="1:9" x14ac:dyDescent="0.25">
      <c r="A6" s="1"/>
      <c r="B6" s="96" t="s">
        <v>99</v>
      </c>
      <c r="C6" s="97"/>
      <c r="D6" s="97"/>
      <c r="E6" s="97"/>
      <c r="F6" s="98"/>
      <c r="G6" s="26">
        <f>G5*'Fane 15. Nøgletal'!C17</f>
        <v>468532.65816635039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3" t="s">
        <v>106</v>
      </c>
      <c r="C9" s="84"/>
      <c r="D9" s="84"/>
      <c r="E9" s="84"/>
      <c r="F9" s="84"/>
      <c r="G9" s="84"/>
      <c r="H9" s="85"/>
      <c r="I9" s="1"/>
    </row>
    <row r="10" spans="1:9" x14ac:dyDescent="0.25">
      <c r="A10" s="1"/>
      <c r="B10" s="96" t="s">
        <v>107</v>
      </c>
      <c r="C10" s="97"/>
      <c r="D10" s="97"/>
      <c r="E10" s="97"/>
      <c r="F10" s="98"/>
      <c r="G10" s="26">
        <f>(G5-G6)*(1+'Fane 15. Nøgletal'!C10)</f>
        <v>51911397.655948877</v>
      </c>
      <c r="H10" s="14" t="s">
        <v>3</v>
      </c>
      <c r="I10" s="1"/>
    </row>
    <row r="11" spans="1:9" x14ac:dyDescent="0.25">
      <c r="A11" s="1"/>
      <c r="B11" s="96" t="s">
        <v>245</v>
      </c>
      <c r="C11" s="97"/>
      <c r="D11" s="97"/>
      <c r="E11" s="97"/>
      <c r="F11" s="98"/>
      <c r="G11" s="26">
        <v>201869.98847834193</v>
      </c>
      <c r="H11" s="14" t="s">
        <v>3</v>
      </c>
      <c r="I11" s="1"/>
    </row>
    <row r="12" spans="1:9" x14ac:dyDescent="0.25">
      <c r="A12" s="1"/>
      <c r="B12" s="99" t="s">
        <v>108</v>
      </c>
      <c r="C12" s="100"/>
      <c r="D12" s="100"/>
      <c r="E12" s="100"/>
      <c r="F12" s="101"/>
      <c r="G12" s="26">
        <v>0</v>
      </c>
      <c r="H12" s="14" t="s">
        <v>3</v>
      </c>
      <c r="I12" s="1"/>
    </row>
    <row r="13" spans="1:9" x14ac:dyDescent="0.25">
      <c r="A13" s="1"/>
      <c r="B13" s="96" t="s">
        <v>109</v>
      </c>
      <c r="C13" s="97"/>
      <c r="D13" s="97"/>
      <c r="E13" s="97"/>
      <c r="F13" s="98"/>
      <c r="G13" s="26">
        <f>SUM(G10:G12)*'Fane 15. Nøgletal'!C18</f>
        <v>922404.83730636176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3" t="s">
        <v>110</v>
      </c>
      <c r="C16" s="84"/>
      <c r="D16" s="84"/>
      <c r="E16" s="84"/>
      <c r="F16" s="84"/>
      <c r="G16" s="84"/>
      <c r="H16" s="85"/>
      <c r="I16" s="1"/>
    </row>
    <row r="17" spans="1:9" x14ac:dyDescent="0.25">
      <c r="A17" s="1"/>
      <c r="B17" s="96" t="s">
        <v>111</v>
      </c>
      <c r="C17" s="97"/>
      <c r="D17" s="97"/>
      <c r="E17" s="97"/>
      <c r="F17" s="98"/>
      <c r="G17" s="26">
        <f>(SUM(G10:G12)-G13)*(1+'Fane 15. Nøgletal'!C10)</f>
        <v>52086702.90624547</v>
      </c>
      <c r="H17" s="14" t="s">
        <v>3</v>
      </c>
      <c r="I17" s="1"/>
    </row>
    <row r="18" spans="1:9" x14ac:dyDescent="0.25">
      <c r="A18" s="1"/>
      <c r="B18" s="99" t="s">
        <v>112</v>
      </c>
      <c r="C18" s="100"/>
      <c r="D18" s="100"/>
      <c r="E18" s="100"/>
      <c r="F18" s="101"/>
      <c r="G18" s="26">
        <v>0</v>
      </c>
      <c r="H18" s="14" t="s">
        <v>3</v>
      </c>
      <c r="I18" s="1"/>
    </row>
    <row r="19" spans="1:9" x14ac:dyDescent="0.25">
      <c r="A19" s="1"/>
      <c r="B19" s="96" t="s">
        <v>113</v>
      </c>
      <c r="C19" s="97"/>
      <c r="D19" s="97"/>
      <c r="E19" s="97"/>
      <c r="F19" s="98"/>
      <c r="G19" s="26">
        <f>G17*'Fane 15. Nøgletal'!C18+G18*'Fane 15. Nøgletal'!C19</f>
        <v>921934.64144054486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3" t="s">
        <v>114</v>
      </c>
      <c r="C22" s="84"/>
      <c r="D22" s="84"/>
      <c r="E22" s="84"/>
      <c r="F22" s="84"/>
      <c r="G22" s="84"/>
      <c r="H22" s="85"/>
      <c r="I22" s="1"/>
    </row>
    <row r="23" spans="1:9" x14ac:dyDescent="0.25">
      <c r="A23" s="1"/>
      <c r="B23" s="96" t="s">
        <v>115</v>
      </c>
      <c r="C23" s="97"/>
      <c r="D23" s="97"/>
      <c r="E23" s="97"/>
      <c r="F23" s="98"/>
      <c r="G23" s="26">
        <f>(G17+G18-G19)*(1+'Fane 15. Nøgletal'!C12)</f>
        <v>52172714.199621581</v>
      </c>
      <c r="H23" s="14" t="s">
        <v>3</v>
      </c>
      <c r="I23" s="1"/>
    </row>
    <row r="24" spans="1:9" x14ac:dyDescent="0.25">
      <c r="A24" s="1"/>
      <c r="B24" s="99" t="s">
        <v>116</v>
      </c>
      <c r="C24" s="100"/>
      <c r="D24" s="100"/>
      <c r="E24" s="100"/>
      <c r="F24" s="101"/>
      <c r="G24" s="26">
        <f>('Fane 2.1. Økonomisk ramme 2020'!C11+'Fane 2.1. Økonomisk ramme 2020'!C13+'Fane 2.1. Økonomisk ramme 2020'!C15)*(1+'Fane 15. Nøgletal'!C12)</f>
        <v>0</v>
      </c>
      <c r="H24" s="14" t="s">
        <v>3</v>
      </c>
      <c r="I24" s="1"/>
    </row>
    <row r="25" spans="1:9" x14ac:dyDescent="0.25">
      <c r="A25" s="1"/>
      <c r="B25" s="96" t="s">
        <v>117</v>
      </c>
      <c r="C25" s="97"/>
      <c r="D25" s="97"/>
      <c r="E25" s="97"/>
      <c r="F25" s="98"/>
      <c r="G25" s="26">
        <f>(G23+G24)*'Fane 15. Nøgletal'!C20</f>
        <v>1481705.0832692529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3" t="s">
        <v>118</v>
      </c>
      <c r="C28" s="84"/>
      <c r="D28" s="84"/>
      <c r="E28" s="84"/>
      <c r="F28" s="84"/>
      <c r="G28" s="84"/>
      <c r="H28" s="85"/>
      <c r="I28" s="1"/>
    </row>
    <row r="29" spans="1:9" x14ac:dyDescent="0.25">
      <c r="A29" s="1"/>
      <c r="B29" s="96" t="s">
        <v>119</v>
      </c>
      <c r="C29" s="97"/>
      <c r="D29" s="97"/>
      <c r="E29" s="97"/>
      <c r="F29" s="98"/>
      <c r="G29" s="26">
        <f>(G23+G24-G25)*(1+'Fane 15. Nøgletal'!C12)</f>
        <v>51689621.99594447</v>
      </c>
      <c r="H29" s="14" t="s">
        <v>3</v>
      </c>
      <c r="I29" s="1"/>
    </row>
    <row r="30" spans="1:9" x14ac:dyDescent="0.25">
      <c r="A30" s="1"/>
      <c r="B30" s="96" t="s">
        <v>155</v>
      </c>
      <c r="C30" s="97"/>
      <c r="D30" s="97"/>
      <c r="E30" s="97"/>
      <c r="F30" s="98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6" t="s">
        <v>120</v>
      </c>
      <c r="C31" s="97"/>
      <c r="D31" s="97"/>
      <c r="E31" s="97"/>
      <c r="F31" s="98"/>
      <c r="G31" s="26">
        <f>(G29+G30)*'Fane 15. Nøgletal'!C20</f>
        <v>1467985.2646848231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3" t="s">
        <v>129</v>
      </c>
      <c r="C34" s="84"/>
      <c r="D34" s="84"/>
      <c r="E34" s="84"/>
      <c r="F34" s="84"/>
      <c r="G34" s="84"/>
      <c r="H34" s="85"/>
      <c r="I34" s="1"/>
    </row>
    <row r="35" spans="1:9" x14ac:dyDescent="0.25">
      <c r="A35" s="1"/>
      <c r="B35" s="96" t="s">
        <v>124</v>
      </c>
      <c r="C35" s="97"/>
      <c r="D35" s="97"/>
      <c r="E35" s="97"/>
      <c r="F35" s="98"/>
      <c r="G35" s="26">
        <f>(G29+G30-G31)*(1+'Fane 15. Nøgletal'!C12)</f>
        <v>51211002.974865459</v>
      </c>
      <c r="H35" s="14" t="s">
        <v>3</v>
      </c>
      <c r="I35" s="1"/>
    </row>
    <row r="36" spans="1:9" x14ac:dyDescent="0.25">
      <c r="A36" s="1"/>
      <c r="B36" s="96" t="s">
        <v>156</v>
      </c>
      <c r="C36" s="97"/>
      <c r="D36" s="97"/>
      <c r="E36" s="97"/>
      <c r="F36" s="98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6" t="s">
        <v>121</v>
      </c>
      <c r="C37" s="97"/>
      <c r="D37" s="97"/>
      <c r="E37" s="97"/>
      <c r="F37" s="98"/>
      <c r="G37" s="26">
        <f>(G35+G36)*'Fane 15. Nøgletal'!C20</f>
        <v>1454392.4844861792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3" t="s">
        <v>130</v>
      </c>
      <c r="C40" s="84"/>
      <c r="D40" s="84"/>
      <c r="E40" s="84"/>
      <c r="F40" s="84"/>
      <c r="G40" s="84"/>
      <c r="H40" s="85"/>
      <c r="I40" s="1"/>
    </row>
    <row r="41" spans="1:9" x14ac:dyDescent="0.25">
      <c r="A41" s="1"/>
      <c r="B41" s="96" t="s">
        <v>123</v>
      </c>
      <c r="C41" s="97"/>
      <c r="D41" s="97"/>
      <c r="E41" s="97"/>
      <c r="F41" s="98"/>
      <c r="G41" s="26">
        <f>(G35+G36-G37)*(1+'Fane 15. Nøgletal'!C12)</f>
        <v>50736815.717039756</v>
      </c>
      <c r="H41" s="14" t="s">
        <v>3</v>
      </c>
      <c r="I41" s="1"/>
    </row>
    <row r="42" spans="1:9" x14ac:dyDescent="0.25">
      <c r="A42" s="1"/>
      <c r="B42" s="96" t="s">
        <v>157</v>
      </c>
      <c r="C42" s="97"/>
      <c r="D42" s="97"/>
      <c r="E42" s="97"/>
      <c r="F42" s="98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6" t="s">
        <v>122</v>
      </c>
      <c r="C43" s="97"/>
      <c r="D43" s="97"/>
      <c r="E43" s="97"/>
      <c r="F43" s="98"/>
      <c r="G43" s="26">
        <f>(G41+G42)*'Fane 15. Nøgletal'!C20</f>
        <v>1440925.5663639291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wdkf1IaQAnraS4UDkJYgkbn6jzuvAhretz0wE+f4aVft3cfwrMZm63fLbRWxZ74f0LnYd+jO/9jmcguTbVUUMA==" saltValue="mKssFLr8+suA+OtQ6LLl/Q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148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3" t="s">
        <v>10</v>
      </c>
      <c r="C8" s="84"/>
      <c r="D8" s="84"/>
      <c r="E8" s="84"/>
      <c r="F8" s="84"/>
      <c r="G8" s="84"/>
      <c r="H8" s="85"/>
      <c r="I8" s="1"/>
    </row>
    <row r="9" spans="1:9" x14ac:dyDescent="0.25">
      <c r="A9" s="1"/>
      <c r="B9" s="96" t="s">
        <v>131</v>
      </c>
      <c r="C9" s="97"/>
      <c r="D9" s="97"/>
      <c r="E9" s="97"/>
      <c r="F9" s="98"/>
      <c r="G9" s="25">
        <v>1.1977986607512095E-3</v>
      </c>
      <c r="H9" s="14"/>
      <c r="I9" s="1"/>
    </row>
    <row r="10" spans="1:9" x14ac:dyDescent="0.25">
      <c r="A10" s="1"/>
      <c r="B10" s="96" t="s">
        <v>132</v>
      </c>
      <c r="C10" s="97"/>
      <c r="D10" s="97"/>
      <c r="E10" s="97"/>
      <c r="F10" s="98"/>
      <c r="G10" s="25">
        <v>5.4924950107167695E-3</v>
      </c>
      <c r="H10" s="14"/>
      <c r="I10" s="1"/>
    </row>
    <row r="11" spans="1:9" x14ac:dyDescent="0.25">
      <c r="A11" s="1"/>
      <c r="B11" s="96" t="s">
        <v>133</v>
      </c>
      <c r="C11" s="97"/>
      <c r="D11" s="97"/>
      <c r="E11" s="97"/>
      <c r="F11" s="98"/>
      <c r="G11" s="43">
        <v>5.751292060460822E-3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3" t="s">
        <v>78</v>
      </c>
      <c r="C14" s="103"/>
      <c r="D14" s="103"/>
      <c r="E14" s="103"/>
      <c r="F14" s="103"/>
      <c r="G14" s="103"/>
      <c r="H14" s="103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yjiw+N2ood+N1xx6LgW25dXs7ldODvXM7Ps6SjMrya3TGJBvS+/MGKKM+PdX2njwAGD4KmqAvhABsTfKW6ODeg==" saltValue="ZYAOJorN+v4PqKt6YvogNQ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2019-10-15T08:58:38Z</dcterms:modified>
</cp:coreProperties>
</file>