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Hillerød Spildevand AS (S039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26" i="11" l="1"/>
  <c r="E25" i="11"/>
  <c r="E24" i="11"/>
  <c r="E23" i="11"/>
  <c r="E29" i="11"/>
  <c r="E28" i="11"/>
  <c r="E27" i="11"/>
  <c r="E22" i="11"/>
  <c r="E21" i="11"/>
  <c r="E20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19" i="11"/>
  <c r="E18" i="11"/>
  <c r="E17" i="11"/>
  <c r="E16" i="11"/>
  <c r="E15" i="11"/>
  <c r="E14" i="11"/>
  <c r="E13" i="11"/>
  <c r="E12" i="11"/>
  <c r="E11" i="11"/>
  <c r="E26" i="32" l="1"/>
  <c r="E19" i="40" l="1"/>
  <c r="E16" i="40" l="1"/>
  <c r="E12" i="40"/>
  <c r="E65" i="11" l="1"/>
  <c r="E66" i="11"/>
  <c r="E10" i="11"/>
  <c r="G8" i="30" l="1"/>
  <c r="E23" i="27" l="1"/>
  <c r="E24" i="27" s="1"/>
  <c r="E29" i="20" l="1"/>
  <c r="E23" i="20"/>
  <c r="E17" i="20"/>
  <c r="E11" i="20"/>
  <c r="E21" i="32" l="1"/>
  <c r="E12" i="32"/>
  <c r="E28" i="32" l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67" i="11" l="1"/>
  <c r="C10" i="37" s="1"/>
  <c r="C13" i="37" s="1"/>
  <c r="C14" i="37" s="1"/>
  <c r="C10" i="2" s="1"/>
  <c r="G67" i="11"/>
  <c r="E11" i="21" l="1"/>
  <c r="C11" i="21"/>
  <c r="E11" i="29"/>
  <c r="C11" i="29"/>
  <c r="C15" i="19"/>
  <c r="C16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67" i="11"/>
  <c r="E10" i="37" s="1"/>
  <c r="E13" i="37" s="1"/>
  <c r="E14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<sst xmlns="http://schemas.openxmlformats.org/spreadsheetml/2006/main" count="787" uniqueCount="319">
  <si>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</si>
  <si>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</si>
  <si>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</si>
  <si>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</si>
  <si>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</si>
  <si>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</si>
  <si>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</si>
  <si>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</si>
  <si>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</si>
  <si>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</si>
  <si>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</si>
  <si>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</si>
  <si>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</si>
  <si>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</si>
  <si>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</si>
  <si>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</si>
  <si>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</si>
  <si>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</si>
  <si>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</si>
  <si>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</si>
  <si>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</si>
  <si>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</si>
  <si>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</si>
  <si>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</si>
  <si>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</si>
  <si>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</si>
  <si>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</si>
  <si>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</si>
  <si>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</si>
  <si>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</si>
  <si>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</si>
  <si>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</si>
  <si>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</si>
  <si>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</si>
  <si>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</si>
  <si>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</si>
  <si>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</si>
  <si>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</si>
  <si>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</si>
  <si>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</si>
  <si>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</si>
  <si>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</si>
  <si>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</si>
  <si>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</si>
  <si>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</si>
  <si>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</si>
  <si>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</si>
  <si>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</si>
  <si>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</si>
  <si>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</si>
  <si>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</si>
  <si>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</si>
  <si>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</si>
  <si>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</si>
  <si>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</si>
  <si>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</si>
  <si>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</si>
  <si>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</si>
  <si>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</si>
  <si>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</si>
  <si>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</si>
  <si>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</si>
  <si>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</si>
  <si>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</si>
  <si>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</si>
  <si>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</si>
  <si>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</si>
  <si>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</si>
  <si>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</si>
  <si>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</si>
  <si>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</si>
  <si>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</si>
  <si>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</si>
  <si>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</si>
  <si>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</si>
  <si>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</si>
  <si>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</si>
  <si>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</si>
  <si>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</si>
  <si>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</si>
  <si>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</si>
  <si>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</si>
  <si>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</si>
  <si>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</si>
  <si>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</si>
  <si>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</si>
  <si>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</si>
  <si>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</si>
  <si>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</si>
  <si>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</si>
  <si>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</si>
  <si>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</si>
  <si>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</si>
  <si>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</si>
  <si>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</si>
  <si>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</si>
  <si>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</si>
  <si>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</si>
  <si>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</si>
  <si>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</si>
  <si>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</si>
  <si>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</si>
  <si>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</si>
  <si>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</si>
  <si>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</si>
  <si>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</si>
  <si>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</si>
  <si>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</si>
  <si>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</si>
  <si>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</si>
  <si>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</si>
  <si>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</si>
  <si>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</si>
  <si>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</si>
  <si>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</si>
  <si>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</si>
  <si>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</si>
  <si>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</si>
  <si>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</si>
  <si>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</si>
  <si>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</si>
  <si>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</si>
  <si>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</si>
  <si>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</si>
  <si>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</si>
  <si>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</si>
  <si>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</si>
  <si>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</si>
  <si>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</si>
  <si>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</si>
  <si>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</si>
  <si>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</si>
  <si>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</si>
  <si>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</si>
  <si>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</si>
  <si>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</si>
  <si>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</si>
  <si>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</si>
  <si>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</si>
  <si>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</si>
  <si>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</si>
  <si>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</si>
  <si>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</si>
  <si>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</si>
  <si>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</si>
  <si>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</si>
  <si>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</si>
  <si>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</si>
  <si>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</si>
  <si>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</si>
  <si>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</si>
  <si>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</si>
  <si>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</si>
  <si>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</si>
  <si>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</si>
  <si>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</si>
  <si>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</si>
  <si>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</si>
  <si>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</si>
  <si>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</si>
  <si>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</si>
  <si>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</si>
  <si>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</si>
  <si>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</si>
  <si>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</si>
  <si>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</si>
  <si>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</si>
  <si>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</si>
  <si>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</si>
  <si>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</si>
  <si>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</si>
  <si>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</si>
  <si>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</si>
  <si>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</si>
  <si>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</si>
  <si>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</si>
  <si>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</si>
  <si>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</si>
  <si>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</si>
  <si>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</si>
  <si>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</si>
  <si>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</si>
  <si>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</si>
  <si>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</si>
  <si>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</si>
  <si>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</si>
  <si>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</si>
  <si>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</si>
  <si>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</si>
  <si>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</si>
  <si>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</si>
  <si>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</si>
  <si>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</si>
  <si>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</si>
  <si>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</si>
  <si>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</si>
  <si>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</si>
  <si>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</si>
  <si>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</si>
  <si>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</si>
  <si>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</si>
  <si>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</si>
  <si>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</si>
  <si>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</si>
  <si>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</si>
  <si>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</si>
  <si>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</si>
  <si>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</si>
  <si>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</si>
  <si>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</si>
  <si>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</si>
  <si>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</si>
  <si>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</si>
  <si>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</si>
  <si>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</si>
  <si>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</si>
  <si>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</si>
  <si>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</si>
  <si>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</si>
  <si>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</si>
  <si>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</si>
  <si>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</si>
  <si>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</si>
  <si>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</si>
  <si>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</si>
  <si>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</si>
  <si>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</si>
  <si>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</si>
  <si>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</si>
  <si>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</si>
  <si>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</si>
  <si>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</si>
  <si>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</si>
  <si>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</si>
  <si>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</si>
  <si>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</si>
  <si>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</si>
  <si>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</si>
  <si>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</si>
  <si>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</si>
  <si>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</si>
  <si>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</si>
  <si>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</si>
  <si>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</si>
  <si>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</si>
  <si>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</si>
  <si>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</si>
  <si>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</si>
  <si>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</si>
  <si>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</si>
  <si>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</si>
  <si>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</si>
  <si>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</si>
  <si>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</si>
  <si>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</si>
  <si>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</si>
  <si>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</si>
  <si>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</si>
  <si>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</si>
  <si>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</si>
  <si>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</si>
  <si>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</si>
  <si>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</si>
  <si>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Erstatninger</t>
  </si>
  <si>
    <t>Videreførte omkostninger fra den økonomiske ramme for 2022</t>
  </si>
  <si>
    <t>Ø 200 mm &lt; Ledningsnet ≤ Ø 500 mm</t>
  </si>
  <si>
    <t>Ø 500 mm &lt; Ledningsnet ≤ Ø 800 mm</t>
  </si>
  <si>
    <t>Overbygning</t>
  </si>
  <si>
    <t>Pumpeinstallation Miljøklasse A (100-300 l/s) - Mek/EL</t>
  </si>
  <si>
    <t>Pumpeinstallation Miljøklasse A (100-300 l/s) - SRO</t>
  </si>
  <si>
    <t>Stik</t>
  </si>
  <si>
    <t>Ø 1000 mm &lt; Ledningsnet ≤ Ø 1200 mm</t>
  </si>
  <si>
    <t>Brønde</t>
  </si>
  <si>
    <t>Kælder</t>
  </si>
  <si>
    <t>Pumpeinstallation Miljøklasse A (300-600 l/s) - Mek/EL</t>
  </si>
  <si>
    <t>Pumpeinstallation Miljøklasse A (300-600 l/s) - SRO</t>
  </si>
  <si>
    <t>Byggemodning Solrødgård, belysning</t>
  </si>
  <si>
    <t>Byggemodning Solrødgård, beplantning</t>
  </si>
  <si>
    <t>Administrationbygninger</t>
  </si>
  <si>
    <t>Byggemodning Solrødgård, elledninger</t>
  </si>
  <si>
    <t>Byggemodning Solrødgård, brønde</t>
  </si>
  <si>
    <t>Byggemodning Solrødgård, varmeledninger</t>
  </si>
  <si>
    <t>Byggemodning Solrødgård, lyssignaler</t>
  </si>
  <si>
    <t>Byggemodning Solrødgård, bro nr. 1</t>
  </si>
  <si>
    <t>Byggemodning Solrødgård, bro nr. 2</t>
  </si>
  <si>
    <t>Byggemodning Solrødgård, bro nr. 3</t>
  </si>
  <si>
    <t>Byggemodning Solrødgård, bro nr. 4</t>
  </si>
  <si>
    <t>Byggemodning Solrødgård, bro nr. 5</t>
  </si>
  <si>
    <t>Byggemodning Solrødgård, bro nr. 6</t>
  </si>
  <si>
    <t>Byggemodning Solrødgård, bro nr. 7</t>
  </si>
  <si>
    <t>Byggemodning Solrødgård, sti nr. 1, 5, 15, 16, 17, 18</t>
  </si>
  <si>
    <t>Byggemodning Solrødgård, sti nr. 2</t>
  </si>
  <si>
    <t>Byggemodning Solrødgård, sti nr. 6 og 11</t>
  </si>
  <si>
    <t>Byggemodning Solrødgård, sti nr. 7</t>
  </si>
  <si>
    <t>Byggemodning Solrødgård, sti nr. 8 og 9</t>
  </si>
  <si>
    <t>Byggemodning Solrødgård, sti nr. 12 og 14</t>
  </si>
  <si>
    <t>Byggemodning Solrødgård, fugletårn</t>
  </si>
  <si>
    <t>Byggemodning Solrødgård, stamvej</t>
  </si>
  <si>
    <t>Byggemodning Solrødgård, vejbelysning</t>
  </si>
  <si>
    <t>Byggemodning Solrødgård, flagermushotel</t>
  </si>
  <si>
    <t>Byggemodning Solrødgård, hotspots</t>
  </si>
  <si>
    <t>KMC Solrødgård, facade</t>
  </si>
  <si>
    <t>KMC Solrødgård, tag</t>
  </si>
  <si>
    <t>KMC Solrødgård, grønt tag</t>
  </si>
  <si>
    <t>KMC Solrødgård, gulve</t>
  </si>
  <si>
    <t>KMC Solrødgård, vinduer og døre</t>
  </si>
  <si>
    <t>KMC Solrødgård, inventar</t>
  </si>
  <si>
    <t>KMC Solrødgård, sprinkler</t>
  </si>
  <si>
    <t>KMC Solrødgård, VVS</t>
  </si>
  <si>
    <t>KMC Solrødgård, el</t>
  </si>
  <si>
    <t>KMC Solrødgård, ventilation</t>
  </si>
  <si>
    <t>KMC Solrødgård, CTS-anlæg</t>
  </si>
  <si>
    <t>KMC Solrødgård, udearealer</t>
  </si>
  <si>
    <t>KMC Solrødgård, it</t>
  </si>
  <si>
    <t>KMC Solrødgård, indvendige vægge og lofter</t>
  </si>
  <si>
    <t>Anlægsprojekter igangsat senest 1. marts 2016</t>
  </si>
  <si>
    <t>Udvidelse af forsyningsområdet</t>
  </si>
  <si>
    <t>Ingen engangstillæg</t>
  </si>
  <si>
    <t>Skærpede udlederkrav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</si>
</sst>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3" t="s">
        <v>4</v>
      </c>
      <c r="E6" s="73"/>
      <c r="F6" s="73"/>
      <c r="G6" s="73"/>
      <c r="H6" s="3"/>
      <c r="I6" s="1"/>
    </row>
    <row r="7" spans="1:9" ht="15" customHeight="1" x14ac:dyDescent="0.25">
      <c r="A7" s="1"/>
      <c r="B7" s="1"/>
      <c r="C7" s="3"/>
      <c r="D7" s="73"/>
      <c r="E7" s="73"/>
      <c r="F7" s="73"/>
      <c r="G7" s="73"/>
      <c r="H7" s="3"/>
      <c r="I7" s="1"/>
    </row>
    <row r="8" spans="1:9" ht="15.75" x14ac:dyDescent="0.25">
      <c r="A8" s="1"/>
      <c r="B8" s="1"/>
      <c r="C8" s="4"/>
      <c r="D8" s="78" t="s">
        <v>172</v>
      </c>
      <c r="E8" s="78"/>
      <c r="F8" s="78"/>
      <c r="G8" s="7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7" t="s">
        <v>5</v>
      </c>
      <c r="E11" s="77"/>
      <c r="F11" s="77"/>
      <c r="G11" s="7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0" t="s">
        <v>52</v>
      </c>
      <c r="E13" s="71"/>
      <c r="F13" s="71"/>
      <c r="G13" s="72"/>
      <c r="H13" s="1"/>
      <c r="I13" s="1"/>
    </row>
    <row r="14" spans="1:9" x14ac:dyDescent="0.25">
      <c r="A14" s="1"/>
      <c r="B14" s="1"/>
      <c r="C14" s="6" t="s">
        <v>23</v>
      </c>
      <c r="D14" s="70" t="s">
        <v>54</v>
      </c>
      <c r="E14" s="71"/>
      <c r="F14" s="71"/>
      <c r="G14" s="72"/>
      <c r="H14" s="1"/>
      <c r="I14" s="1"/>
    </row>
    <row r="15" spans="1:9" x14ac:dyDescent="0.25">
      <c r="A15" s="1"/>
      <c r="B15" s="1"/>
      <c r="C15" s="6" t="s">
        <v>51</v>
      </c>
      <c r="D15" s="70" t="s">
        <v>135</v>
      </c>
      <c r="E15" s="71"/>
      <c r="F15" s="71"/>
      <c r="G15" s="72"/>
      <c r="H15" s="1"/>
      <c r="I15" s="1"/>
    </row>
    <row r="16" spans="1:9" x14ac:dyDescent="0.25">
      <c r="A16" s="1"/>
      <c r="B16" s="1"/>
      <c r="C16" s="6" t="s">
        <v>53</v>
      </c>
      <c r="D16" s="70" t="s">
        <v>136</v>
      </c>
      <c r="E16" s="71"/>
      <c r="F16" s="71"/>
      <c r="G16" s="72"/>
      <c r="H16" s="1"/>
      <c r="I16" s="1"/>
    </row>
    <row r="17" spans="1:9" x14ac:dyDescent="0.25">
      <c r="A17" s="1"/>
      <c r="B17" s="1"/>
      <c r="C17" s="6" t="s">
        <v>241</v>
      </c>
      <c r="D17" s="70" t="s">
        <v>63</v>
      </c>
      <c r="E17" s="71"/>
      <c r="F17" s="71"/>
      <c r="G17" s="72"/>
      <c r="H17" s="1"/>
      <c r="I17" s="1"/>
    </row>
    <row r="18" spans="1:9" x14ac:dyDescent="0.25">
      <c r="A18" s="1"/>
      <c r="B18" s="1"/>
      <c r="C18" s="6" t="s">
        <v>212</v>
      </c>
      <c r="D18" s="64" t="s">
        <v>180</v>
      </c>
      <c r="E18" s="65"/>
      <c r="F18" s="65"/>
      <c r="G18" s="66"/>
      <c r="H18" s="1"/>
      <c r="I18" s="1"/>
    </row>
    <row r="19" spans="1:9" x14ac:dyDescent="0.25">
      <c r="A19" s="1"/>
      <c r="B19" s="1"/>
      <c r="C19" s="6" t="s">
        <v>213</v>
      </c>
      <c r="D19" s="64" t="s">
        <v>181</v>
      </c>
      <c r="E19" s="65"/>
      <c r="F19" s="65"/>
      <c r="G19" s="66"/>
      <c r="H19" s="1"/>
      <c r="I19" s="1"/>
    </row>
    <row r="20" spans="1:9" x14ac:dyDescent="0.25">
      <c r="A20" s="1"/>
      <c r="B20" s="1"/>
      <c r="C20" s="6" t="s">
        <v>7</v>
      </c>
      <c r="D20" s="64" t="s">
        <v>10</v>
      </c>
      <c r="E20" s="65"/>
      <c r="F20" s="65"/>
      <c r="G20" s="66"/>
      <c r="H20" s="1"/>
      <c r="I20" s="1"/>
    </row>
    <row r="21" spans="1:9" x14ac:dyDescent="0.25">
      <c r="A21" s="1"/>
      <c r="B21" s="1"/>
      <c r="C21" s="6" t="s">
        <v>214</v>
      </c>
      <c r="D21" s="74" t="s">
        <v>17</v>
      </c>
      <c r="E21" s="75"/>
      <c r="F21" s="75"/>
      <c r="G21" s="76"/>
      <c r="H21" s="1"/>
      <c r="I21" s="1"/>
    </row>
    <row r="22" spans="1:9" x14ac:dyDescent="0.25">
      <c r="A22" s="1"/>
      <c r="B22" s="1"/>
      <c r="C22" s="6" t="s">
        <v>142</v>
      </c>
      <c r="D22" s="58" t="s">
        <v>176</v>
      </c>
      <c r="E22" s="59"/>
      <c r="F22" s="59"/>
      <c r="G22" s="60"/>
      <c r="H22" s="1"/>
      <c r="I22" s="1"/>
    </row>
    <row r="23" spans="1:9" x14ac:dyDescent="0.25">
      <c r="A23" s="1"/>
      <c r="B23" s="1"/>
      <c r="C23" s="6" t="s">
        <v>8</v>
      </c>
      <c r="D23" s="58" t="s">
        <v>249</v>
      </c>
      <c r="E23" s="59"/>
      <c r="F23" s="59"/>
      <c r="G23" s="60"/>
      <c r="H23" s="1"/>
      <c r="I23" s="1"/>
    </row>
    <row r="24" spans="1:9" x14ac:dyDescent="0.25">
      <c r="A24" s="1"/>
      <c r="B24" s="1"/>
      <c r="C24" s="6" t="s">
        <v>9</v>
      </c>
      <c r="D24" s="58" t="s">
        <v>55</v>
      </c>
      <c r="E24" s="59"/>
      <c r="F24" s="59"/>
      <c r="G24" s="60"/>
      <c r="H24" s="1"/>
      <c r="I24" s="1"/>
    </row>
    <row r="25" spans="1:9" x14ac:dyDescent="0.25">
      <c r="A25" s="1"/>
      <c r="B25" s="1"/>
      <c r="C25" s="6" t="s">
        <v>215</v>
      </c>
      <c r="D25" s="58" t="s">
        <v>143</v>
      </c>
      <c r="E25" s="59"/>
      <c r="F25" s="59"/>
      <c r="G25" s="60"/>
      <c r="H25" s="1"/>
      <c r="I25" s="1"/>
    </row>
    <row r="26" spans="1:9" x14ac:dyDescent="0.25">
      <c r="A26" s="1"/>
      <c r="B26" s="1"/>
      <c r="C26" s="6" t="s">
        <v>216</v>
      </c>
      <c r="D26" s="58" t="s">
        <v>144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217</v>
      </c>
      <c r="D27" s="58" t="s">
        <v>145</v>
      </c>
      <c r="E27" s="59"/>
      <c r="F27" s="59"/>
      <c r="G27" s="60"/>
      <c r="H27" s="1"/>
      <c r="I27" s="1"/>
    </row>
    <row r="28" spans="1:9" x14ac:dyDescent="0.25">
      <c r="A28" s="1"/>
      <c r="B28" s="1"/>
      <c r="C28" s="6" t="s">
        <v>22</v>
      </c>
      <c r="D28" s="58" t="s">
        <v>56</v>
      </c>
      <c r="E28" s="59"/>
      <c r="F28" s="59"/>
      <c r="G28" s="60"/>
      <c r="H28" s="1"/>
      <c r="I28" s="1"/>
    </row>
    <row r="29" spans="1:9" x14ac:dyDescent="0.25">
      <c r="A29" s="1"/>
      <c r="B29" s="1"/>
      <c r="C29" s="6" t="s">
        <v>58</v>
      </c>
      <c r="D29" s="58" t="s">
        <v>57</v>
      </c>
      <c r="E29" s="59"/>
      <c r="F29" s="59"/>
      <c r="G29" s="60"/>
      <c r="H29" s="1"/>
      <c r="I29" s="1"/>
    </row>
    <row r="30" spans="1:9" x14ac:dyDescent="0.25">
      <c r="A30" s="1"/>
      <c r="B30" s="1"/>
      <c r="C30" s="6" t="s">
        <v>59</v>
      </c>
      <c r="D30" s="67" t="s">
        <v>11</v>
      </c>
      <c r="E30" s="68"/>
      <c r="F30" s="68"/>
      <c r="G30" s="69"/>
      <c r="H30" s="1"/>
      <c r="I30" s="1"/>
    </row>
    <row r="31" spans="1:9" x14ac:dyDescent="0.25">
      <c r="A31" s="1"/>
      <c r="B31" s="1"/>
      <c r="C31" s="6" t="s">
        <v>175</v>
      </c>
      <c r="D31" s="61" t="s">
        <v>207</v>
      </c>
      <c r="E31" s="62"/>
      <c r="F31" s="62"/>
      <c r="G31" s="63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jjyCFrQa/N74JtwTOzqyUNZPriUs5fPy0mB7DdPa6HBylQR9qZ5EgXO+gQA7CkrbsoLwykf3N9kxUShveljcng==" saltValue="8LQVNlhp4FwdYm5Kd6pjQA==" spinCount="100000" sheet="1" objects="1" scenarios="1"/>
  <mergeCells count="22"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84" t="s">
        <v>66</v>
      </c>
      <c r="C8" s="85"/>
      <c r="D8" s="8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259</v>
      </c>
      <c r="C10" s="9">
        <v>1430417</v>
      </c>
      <c r="D10" s="14" t="s">
        <v>3</v>
      </c>
      <c r="E10" s="1"/>
      <c r="F10" s="1"/>
    </row>
    <row r="11" spans="1:6" x14ac:dyDescent="0.25">
      <c r="A11" s="1"/>
      <c r="B11" s="55" t="s">
        <v>260</v>
      </c>
      <c r="C11" s="9">
        <v>54870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1821657</v>
      </c>
      <c r="D12" s="14" t="s">
        <v>3</v>
      </c>
      <c r="E12" s="1"/>
      <c r="F12" s="1"/>
    </row>
    <row r="13" spans="1:6" x14ac:dyDescent="0.25">
      <c r="A13" s="1"/>
      <c r="B13" s="55" t="s">
        <v>262</v>
      </c>
      <c r="C13" s="9">
        <v>523390</v>
      </c>
      <c r="D13" s="14" t="s">
        <v>3</v>
      </c>
      <c r="E13" s="1"/>
      <c r="F13" s="1"/>
    </row>
    <row r="14" spans="1:6" x14ac:dyDescent="0.25">
      <c r="A14" s="1"/>
      <c r="B14" s="55" t="s">
        <v>263</v>
      </c>
      <c r="C14" s="9">
        <v>18885</v>
      </c>
      <c r="D14" s="14" t="s">
        <v>3</v>
      </c>
      <c r="E14" s="1"/>
      <c r="F14" s="1"/>
    </row>
    <row r="15" spans="1:6" x14ac:dyDescent="0.25">
      <c r="A15" s="1"/>
      <c r="B15" s="40" t="s">
        <v>68</v>
      </c>
      <c r="C15" s="12">
        <f>SUM(C10:C14)</f>
        <v>3849219</v>
      </c>
      <c r="D15" s="13" t="s">
        <v>3</v>
      </c>
      <c r="E15" s="1"/>
      <c r="F15" s="1"/>
    </row>
    <row r="16" spans="1:6" x14ac:dyDescent="0.25">
      <c r="A16" s="1"/>
      <c r="B16" s="40" t="s">
        <v>69</v>
      </c>
      <c r="C16" s="12">
        <f>C15*(1+'Fane 15. Nøgletal'!C12)^2</f>
        <v>4002372.0720017101</v>
      </c>
      <c r="D16" s="13" t="s">
        <v>3</v>
      </c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84" t="s">
        <v>236</v>
      </c>
      <c r="C19" s="85"/>
      <c r="D19" s="86"/>
      <c r="E19" s="1"/>
      <c r="F19" s="1"/>
    </row>
    <row r="20" spans="1:6" x14ac:dyDescent="0.25">
      <c r="A20" s="1"/>
      <c r="B20" s="55" t="s">
        <v>197</v>
      </c>
      <c r="C20" s="9">
        <v>1678803</v>
      </c>
      <c r="D20" s="14" t="s">
        <v>3</v>
      </c>
      <c r="E20" s="1"/>
      <c r="F20" s="1"/>
    </row>
    <row r="21" spans="1:6" x14ac:dyDescent="0.25">
      <c r="A21" s="1"/>
      <c r="B21" s="55" t="s">
        <v>198</v>
      </c>
      <c r="C21" s="9">
        <v>1678803</v>
      </c>
      <c r="D21" s="14" t="s">
        <v>3</v>
      </c>
      <c r="E21" s="1"/>
      <c r="F21" s="1"/>
    </row>
    <row r="22" spans="1:6" x14ac:dyDescent="0.25">
      <c r="A22" s="1"/>
      <c r="B22" s="55" t="s">
        <v>199</v>
      </c>
      <c r="C22" s="9">
        <v>1678803</v>
      </c>
      <c r="D22" s="14" t="s">
        <v>3</v>
      </c>
      <c r="E22" s="1"/>
      <c r="F22" s="1"/>
    </row>
    <row r="23" spans="1:6" x14ac:dyDescent="0.25">
      <c r="A23" s="1"/>
      <c r="B23" s="55" t="s">
        <v>200</v>
      </c>
      <c r="C23" s="9">
        <v>1678803</v>
      </c>
      <c r="D23" s="14" t="s">
        <v>3</v>
      </c>
      <c r="E23" s="1"/>
      <c r="F23" s="1"/>
    </row>
    <row r="24" spans="1:6" x14ac:dyDescent="0.25">
      <c r="A24" s="1"/>
      <c r="B24" s="84"/>
      <c r="C24" s="85"/>
      <c r="D24" s="86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84" t="s">
        <v>196</v>
      </c>
      <c r="C27" s="85"/>
      <c r="D27" s="86"/>
      <c r="E27" s="1"/>
      <c r="F27" s="1"/>
    </row>
    <row r="28" spans="1:6" x14ac:dyDescent="0.25">
      <c r="A28" s="1"/>
      <c r="B28" s="55" t="s">
        <v>197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5" t="s">
        <v>198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5" t="s">
        <v>199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5" t="s">
        <v>200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84"/>
      <c r="C32" s="85"/>
      <c r="D32" s="86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WUIjBx5v+dDzG2NbvGjLpm5QChmN9i9EcFtqoefMFr4sWPcIyuJNHVibSJanJg2CCbQQ9dDQyAZ5LyZihuZDNQ==" saltValue="9IABvb5Gsn7ei3rIbwu+pQ==" spinCount="100000" sheet="1" objects="1" scenarios="1"/>
  <mergeCells count="6">
    <mergeCell ref="B32:D32"/>
    <mergeCell ref="B3:D4"/>
    <mergeCell ref="B8:D8"/>
    <mergeCell ref="B19:D19"/>
    <mergeCell ref="B27:D27"/>
    <mergeCell ref="B24:D24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226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ht="15" customHeight="1" x14ac:dyDescent="0.25">
      <c r="A5" s="1"/>
      <c r="B5" s="48"/>
      <c r="C5" s="48"/>
      <c r="D5" s="48"/>
      <c r="E5" s="48"/>
      <c r="F5" s="48"/>
      <c r="G5" s="1"/>
    </row>
    <row r="6" spans="1:7" ht="15" customHeight="1" x14ac:dyDescent="0.25">
      <c r="A6" s="1"/>
      <c r="B6" s="48"/>
      <c r="C6" s="48"/>
      <c r="D6" s="48"/>
      <c r="E6" s="48"/>
      <c r="F6" s="48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183</v>
      </c>
      <c r="C8" s="85"/>
      <c r="D8" s="85"/>
      <c r="E8" s="85"/>
      <c r="F8" s="86"/>
      <c r="G8" s="1"/>
    </row>
    <row r="9" spans="1:7" x14ac:dyDescent="0.25">
      <c r="A9" s="1"/>
      <c r="B9" s="97" t="s">
        <v>184</v>
      </c>
      <c r="C9" s="98"/>
      <c r="D9" s="99"/>
      <c r="E9" s="9">
        <v>85851883.943402544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88697913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4000</v>
      </c>
      <c r="F11" s="14" t="s">
        <v>3</v>
      </c>
      <c r="G11" s="1"/>
    </row>
    <row r="12" spans="1:7" x14ac:dyDescent="0.25">
      <c r="A12" s="1"/>
      <c r="B12" s="87" t="s">
        <v>186</v>
      </c>
      <c r="C12" s="88"/>
      <c r="D12" s="89"/>
      <c r="E12" s="10">
        <f>E9-(E10-E11)</f>
        <v>-2842029.0565974563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84" t="s">
        <v>73</v>
      </c>
      <c r="C17" s="85"/>
      <c r="D17" s="85"/>
      <c r="E17" s="85"/>
      <c r="F17" s="86"/>
      <c r="G17" s="1"/>
    </row>
    <row r="18" spans="1:7" x14ac:dyDescent="0.25">
      <c r="A18" s="1"/>
      <c r="B18" s="97" t="s">
        <v>74</v>
      </c>
      <c r="C18" s="98"/>
      <c r="D18" s="99"/>
      <c r="E18" s="9">
        <v>94242986.728760317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93647844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7" t="s">
        <v>76</v>
      </c>
      <c r="C21" s="88"/>
      <c r="D21" s="89"/>
      <c r="E21" s="10">
        <f>E18-(E19-E20)</f>
        <v>595142.72876031697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84" t="s">
        <v>179</v>
      </c>
      <c r="C25" s="85"/>
      <c r="D25" s="85"/>
      <c r="E25" s="85"/>
      <c r="F25" s="86"/>
      <c r="G25" s="1"/>
    </row>
    <row r="26" spans="1:7" x14ac:dyDescent="0.25">
      <c r="A26" s="1"/>
      <c r="B26" s="105" t="s">
        <v>174</v>
      </c>
      <c r="C26" s="106"/>
      <c r="D26" s="107"/>
      <c r="E26" s="9">
        <f>IF(AND(E12&lt;0,E21&gt;0),E12,IF(AND(E21&lt;0,E12+E21&lt;0),(E12+E21),IF(AND(E12&lt;0,E21&lt;0),(E12+E21),0)))</f>
        <v>-2842029.0565974563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7" t="s">
        <v>251</v>
      </c>
      <c r="C28" s="88"/>
      <c r="D28" s="89"/>
      <c r="E28" s="10">
        <f>E26/E27</f>
        <v>-1421014.5282987282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A+tdYa+rT9GqWBliHYLvVaANWxatusXMiyVrKs2nH0opZQLLDv1pU8zZzEsOT+vETcvGzGOLx78GvSTfXa3CEg==" saltValue="UgfdV8yg/J2ELqG8m41POQ==" spinCount="100000" sheet="1" objects="1" scenarios="1"/>
  <mergeCells count="17"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  <mergeCell ref="B25:F25"/>
    <mergeCell ref="B26:D26"/>
    <mergeCell ref="B29:F29"/>
    <mergeCell ref="B27:D27"/>
    <mergeCell ref="B28:D28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252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84" t="s">
        <v>177</v>
      </c>
      <c r="C9" s="85"/>
      <c r="D9" s="85"/>
      <c r="E9" s="85"/>
      <c r="F9" s="8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0</v>
      </c>
      <c r="F11" s="8" t="s">
        <v>3</v>
      </c>
      <c r="G11" s="1"/>
    </row>
    <row r="12" spans="1:7" x14ac:dyDescent="0.25">
      <c r="A12" s="1"/>
      <c r="B12" s="87" t="s">
        <v>203</v>
      </c>
      <c r="C12" s="88"/>
      <c r="D12" s="89"/>
      <c r="E12" s="10">
        <f>E11-E10</f>
        <v>0</v>
      </c>
      <c r="F12" s="11" t="s">
        <v>3</v>
      </c>
      <c r="G12" s="1"/>
    </row>
    <row r="13" spans="1:7" x14ac:dyDescent="0.25">
      <c r="A13" s="1"/>
      <c r="B13" s="84" t="s">
        <v>178</v>
      </c>
      <c r="C13" s="85"/>
      <c r="D13" s="85"/>
      <c r="E13" s="85"/>
      <c r="F13" s="8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7" t="s">
        <v>203</v>
      </c>
      <c r="C16" s="88"/>
      <c r="D16" s="89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84" t="s">
        <v>173</v>
      </c>
      <c r="C17" s="85"/>
      <c r="D17" s="85"/>
      <c r="E17" s="85"/>
      <c r="F17" s="8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0</v>
      </c>
      <c r="F18" s="8" t="s">
        <v>3</v>
      </c>
      <c r="G18" s="1"/>
    </row>
    <row r="19" spans="1:7" ht="29.25" customHeight="1" x14ac:dyDescent="0.25">
      <c r="A19" s="1"/>
      <c r="B19" s="90" t="s">
        <v>182</v>
      </c>
      <c r="C19" s="91"/>
      <c r="D19" s="92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56642.509579873644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56642.509579873644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Or4PCAHr7utGwWJwprekjJywlSiPiXTScg438zXH+G/Ij/A52uha/ldMOfiNDlMRcd7Ur0NzyEuFC2keBtU6PA==" saltValue="xkpLc+kwXzrgCKWlxuPZg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102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254</v>
      </c>
      <c r="C8" s="85"/>
      <c r="D8" s="85"/>
      <c r="E8" s="85"/>
      <c r="F8" s="85"/>
      <c r="G8" s="85"/>
      <c r="H8" s="8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ht="26.25" x14ac:dyDescent="0.25">
      <c r="A10" s="1"/>
      <c r="B10" s="57" t="s">
        <v>265</v>
      </c>
      <c r="C10" s="45">
        <v>75</v>
      </c>
      <c r="D10" s="9">
        <v>9268649.25</v>
      </c>
      <c r="E10" s="9">
        <f>IFERROR(D10/C10,0)</f>
        <v>123581.99</v>
      </c>
      <c r="F10" s="9">
        <v>0</v>
      </c>
      <c r="G10" s="9">
        <v>195568.5</v>
      </c>
      <c r="H10" s="14" t="s">
        <v>3</v>
      </c>
      <c r="I10" s="1"/>
    </row>
    <row r="11" spans="1:9" ht="26.25" x14ac:dyDescent="0.25">
      <c r="A11" s="1"/>
      <c r="B11" s="57" t="s">
        <v>266</v>
      </c>
      <c r="C11" s="45">
        <v>75</v>
      </c>
      <c r="D11" s="9">
        <v>16385655.939999999</v>
      </c>
      <c r="E11" s="9">
        <f t="shared" ref="E11:E64" si="0">IFERROR(D11/C11,0)</f>
        <v>218475.41253333332</v>
      </c>
      <c r="F11" s="9">
        <v>0</v>
      </c>
      <c r="G11" s="9">
        <v>345973.34</v>
      </c>
      <c r="H11" s="14" t="s">
        <v>3</v>
      </c>
      <c r="I11" s="1"/>
    </row>
    <row r="12" spans="1:9" x14ac:dyDescent="0.25">
      <c r="A12" s="1"/>
      <c r="B12" s="57" t="s">
        <v>267</v>
      </c>
      <c r="C12" s="45">
        <v>75</v>
      </c>
      <c r="D12" s="9">
        <v>7127879.2400000002</v>
      </c>
      <c r="E12" s="9">
        <f t="shared" si="0"/>
        <v>95038.389866666665</v>
      </c>
      <c r="F12" s="9">
        <v>0</v>
      </c>
      <c r="G12" s="9">
        <v>150398.25</v>
      </c>
      <c r="H12" s="14" t="s">
        <v>3</v>
      </c>
      <c r="I12" s="1"/>
    </row>
    <row r="13" spans="1:9" ht="39" x14ac:dyDescent="0.25">
      <c r="A13" s="1"/>
      <c r="B13" s="57" t="s">
        <v>268</v>
      </c>
      <c r="C13" s="45">
        <v>20</v>
      </c>
      <c r="D13" s="9">
        <v>3976778.9</v>
      </c>
      <c r="E13" s="9">
        <f t="shared" si="0"/>
        <v>198838.94500000001</v>
      </c>
      <c r="F13" s="9">
        <v>0</v>
      </c>
      <c r="G13" s="9">
        <v>83910.03</v>
      </c>
      <c r="H13" s="14" t="s">
        <v>3</v>
      </c>
      <c r="I13" s="1"/>
    </row>
    <row r="14" spans="1:9" ht="39" x14ac:dyDescent="0.25">
      <c r="A14" s="1"/>
      <c r="B14" s="57" t="s">
        <v>269</v>
      </c>
      <c r="C14" s="45">
        <v>10</v>
      </c>
      <c r="D14" s="9">
        <v>524070.53</v>
      </c>
      <c r="E14" s="9">
        <f t="shared" si="0"/>
        <v>52407.053</v>
      </c>
      <c r="F14" s="9">
        <v>0</v>
      </c>
      <c r="G14" s="9">
        <v>11057.89</v>
      </c>
      <c r="H14" s="14" t="s">
        <v>3</v>
      </c>
      <c r="I14" s="1"/>
    </row>
    <row r="15" spans="1:9" x14ac:dyDescent="0.25">
      <c r="A15" s="1"/>
      <c r="B15" s="57" t="s">
        <v>270</v>
      </c>
      <c r="C15" s="45">
        <v>75</v>
      </c>
      <c r="D15" s="9">
        <v>1077052.6499999999</v>
      </c>
      <c r="E15" s="9">
        <f t="shared" si="0"/>
        <v>14360.701999999999</v>
      </c>
      <c r="F15" s="9">
        <v>0</v>
      </c>
      <c r="G15" s="9">
        <v>22725.81</v>
      </c>
      <c r="H15" s="14" t="s">
        <v>3</v>
      </c>
      <c r="I15" s="1"/>
    </row>
    <row r="16" spans="1:9" ht="26.25" x14ac:dyDescent="0.25">
      <c r="A16" s="1"/>
      <c r="B16" s="57" t="s">
        <v>265</v>
      </c>
      <c r="C16" s="45">
        <v>75</v>
      </c>
      <c r="D16" s="9">
        <v>21537251.300000001</v>
      </c>
      <c r="E16" s="9">
        <f t="shared" si="0"/>
        <v>287163.35066666669</v>
      </c>
      <c r="F16" s="9">
        <v>0</v>
      </c>
      <c r="G16" s="9">
        <v>454436</v>
      </c>
      <c r="H16" s="14" t="s">
        <v>3</v>
      </c>
      <c r="I16" s="1"/>
    </row>
    <row r="17" spans="1:9" ht="26.25" x14ac:dyDescent="0.25">
      <c r="A17" s="1"/>
      <c r="B17" s="57" t="s">
        <v>266</v>
      </c>
      <c r="C17" s="45">
        <v>75</v>
      </c>
      <c r="D17" s="9">
        <v>10254068.470000001</v>
      </c>
      <c r="E17" s="9">
        <f t="shared" si="0"/>
        <v>136720.91293333334</v>
      </c>
      <c r="F17" s="9">
        <v>0</v>
      </c>
      <c r="G17" s="9">
        <v>216360.84</v>
      </c>
      <c r="H17" s="14" t="s">
        <v>3</v>
      </c>
      <c r="I17" s="1"/>
    </row>
    <row r="18" spans="1:9" ht="26.25" x14ac:dyDescent="0.25">
      <c r="A18" s="1"/>
      <c r="B18" s="57" t="s">
        <v>271</v>
      </c>
      <c r="C18" s="45">
        <v>75</v>
      </c>
      <c r="D18" s="9">
        <v>18767307.07</v>
      </c>
      <c r="E18" s="9">
        <f t="shared" si="0"/>
        <v>250230.76093333334</v>
      </c>
      <c r="F18" s="9">
        <v>0</v>
      </c>
      <c r="G18" s="9">
        <v>395990.18</v>
      </c>
      <c r="H18" s="14" t="s">
        <v>3</v>
      </c>
      <c r="I18" s="1"/>
    </row>
    <row r="19" spans="1:9" ht="26.25" x14ac:dyDescent="0.25">
      <c r="A19" s="1"/>
      <c r="B19" s="57" t="s">
        <v>265</v>
      </c>
      <c r="C19" s="45">
        <v>75</v>
      </c>
      <c r="D19" s="9">
        <v>12011076.52</v>
      </c>
      <c r="E19" s="9">
        <f t="shared" si="0"/>
        <v>160147.68693333332</v>
      </c>
      <c r="F19" s="9">
        <v>0</v>
      </c>
      <c r="G19" s="9">
        <v>253433.71</v>
      </c>
      <c r="H19" s="14" t="s">
        <v>3</v>
      </c>
      <c r="I19" s="1"/>
    </row>
    <row r="20" spans="1:9" x14ac:dyDescent="0.25">
      <c r="A20" s="1"/>
      <c r="B20" s="57" t="s">
        <v>272</v>
      </c>
      <c r="C20" s="45">
        <v>75</v>
      </c>
      <c r="D20" s="9">
        <v>1419041.76</v>
      </c>
      <c r="E20" s="9">
        <f t="shared" ref="E20:E29" si="1">IFERROR(D20/C20,0)</f>
        <v>18920.556799999998</v>
      </c>
      <c r="F20" s="9">
        <v>0</v>
      </c>
      <c r="G20" s="9">
        <v>29941.78</v>
      </c>
      <c r="H20" s="14" t="s">
        <v>3</v>
      </c>
      <c r="I20" s="1"/>
    </row>
    <row r="21" spans="1:9" x14ac:dyDescent="0.25">
      <c r="A21" s="1"/>
      <c r="B21" s="57" t="s">
        <v>273</v>
      </c>
      <c r="C21" s="45">
        <v>75</v>
      </c>
      <c r="D21" s="9">
        <v>6399348.6900000004</v>
      </c>
      <c r="E21" s="9">
        <f t="shared" si="1"/>
        <v>85324.6492</v>
      </c>
      <c r="F21" s="9">
        <v>0</v>
      </c>
      <c r="G21" s="9">
        <v>147727.4</v>
      </c>
      <c r="H21" s="14" t="s">
        <v>3</v>
      </c>
      <c r="I21" s="1"/>
    </row>
    <row r="22" spans="1:9" ht="39" x14ac:dyDescent="0.25">
      <c r="A22" s="1"/>
      <c r="B22" s="57" t="s">
        <v>274</v>
      </c>
      <c r="C22" s="45">
        <v>20</v>
      </c>
      <c r="D22" s="9">
        <v>6109268.0599999996</v>
      </c>
      <c r="E22" s="9">
        <f t="shared" si="1"/>
        <v>305463.40299999999</v>
      </c>
      <c r="F22" s="9">
        <v>0</v>
      </c>
      <c r="G22" s="9">
        <v>128905.56</v>
      </c>
      <c r="H22" s="14" t="s">
        <v>3</v>
      </c>
      <c r="I22" s="1"/>
    </row>
    <row r="23" spans="1:9" ht="39" x14ac:dyDescent="0.25">
      <c r="A23" s="1"/>
      <c r="B23" s="57" t="s">
        <v>275</v>
      </c>
      <c r="C23" s="45">
        <v>10</v>
      </c>
      <c r="D23" s="9">
        <v>423353.17</v>
      </c>
      <c r="E23" s="9">
        <f t="shared" ref="E23:E26" si="2">IFERROR(D23/C23,0)</f>
        <v>42335.316999999995</v>
      </c>
      <c r="F23" s="9">
        <v>0</v>
      </c>
      <c r="G23" s="9">
        <v>8932.75</v>
      </c>
      <c r="H23" s="14" t="s">
        <v>3</v>
      </c>
      <c r="I23" s="1"/>
    </row>
    <row r="24" spans="1:9" ht="26.25" x14ac:dyDescent="0.25">
      <c r="A24" s="1"/>
      <c r="B24" s="57" t="s">
        <v>276</v>
      </c>
      <c r="C24" s="45">
        <v>30</v>
      </c>
      <c r="D24" s="9">
        <v>312849.61</v>
      </c>
      <c r="E24" s="9">
        <f t="shared" si="2"/>
        <v>10428.320333333333</v>
      </c>
      <c r="F24" s="9">
        <v>0</v>
      </c>
      <c r="G24" s="9">
        <v>6601.13</v>
      </c>
      <c r="H24" s="14" t="s">
        <v>3</v>
      </c>
      <c r="I24" s="1"/>
    </row>
    <row r="25" spans="1:9" ht="26.25" x14ac:dyDescent="0.25">
      <c r="A25" s="1"/>
      <c r="B25" s="57" t="s">
        <v>277</v>
      </c>
      <c r="C25" s="45">
        <v>40</v>
      </c>
      <c r="D25" s="9">
        <v>3779775.2</v>
      </c>
      <c r="E25" s="9">
        <f t="shared" si="2"/>
        <v>94494.38</v>
      </c>
      <c r="F25" s="9">
        <v>0</v>
      </c>
      <c r="G25" s="9">
        <v>79753.259999999995</v>
      </c>
      <c r="H25" s="14" t="s">
        <v>3</v>
      </c>
      <c r="I25" s="1"/>
    </row>
    <row r="26" spans="1:9" x14ac:dyDescent="0.25">
      <c r="A26" s="1"/>
      <c r="B26" s="57" t="s">
        <v>278</v>
      </c>
      <c r="C26" s="45">
        <v>75</v>
      </c>
      <c r="D26" s="9">
        <v>1275847.8700000001</v>
      </c>
      <c r="E26" s="9">
        <f t="shared" si="2"/>
        <v>17011.304933333337</v>
      </c>
      <c r="F26" s="9">
        <v>0</v>
      </c>
      <c r="G26" s="9">
        <v>26920.39</v>
      </c>
      <c r="H26" s="14" t="s">
        <v>3</v>
      </c>
      <c r="I26" s="1"/>
    </row>
    <row r="27" spans="1:9" x14ac:dyDescent="0.25">
      <c r="A27" s="1"/>
      <c r="B27" s="57" t="s">
        <v>278</v>
      </c>
      <c r="C27" s="45">
        <v>75</v>
      </c>
      <c r="D27" s="9">
        <v>4668986.3899999997</v>
      </c>
      <c r="E27" s="9">
        <f t="shared" si="1"/>
        <v>62253.15186666666</v>
      </c>
      <c r="F27" s="9">
        <v>0</v>
      </c>
      <c r="G27" s="9">
        <v>98515.61</v>
      </c>
      <c r="H27" s="14" t="s">
        <v>3</v>
      </c>
      <c r="I27" s="1"/>
    </row>
    <row r="28" spans="1:9" ht="26.25" x14ac:dyDescent="0.25">
      <c r="A28" s="1"/>
      <c r="B28" s="57" t="s">
        <v>279</v>
      </c>
      <c r="C28" s="45">
        <v>30</v>
      </c>
      <c r="D28" s="9">
        <v>1613352.53</v>
      </c>
      <c r="E28" s="9">
        <f t="shared" si="1"/>
        <v>53778.417666666668</v>
      </c>
      <c r="F28" s="9">
        <v>0</v>
      </c>
      <c r="G28" s="9">
        <v>34041.74</v>
      </c>
      <c r="H28" s="14" t="s">
        <v>3</v>
      </c>
      <c r="I28" s="1"/>
    </row>
    <row r="29" spans="1:9" ht="26.25" x14ac:dyDescent="0.25">
      <c r="A29" s="1"/>
      <c r="B29" s="57" t="s">
        <v>280</v>
      </c>
      <c r="C29" s="45">
        <v>75</v>
      </c>
      <c r="D29" s="9">
        <v>1968260.01</v>
      </c>
      <c r="E29" s="9">
        <f t="shared" si="1"/>
        <v>26243.466799999998</v>
      </c>
      <c r="F29" s="9">
        <v>0</v>
      </c>
      <c r="G29" s="9">
        <v>41530.29</v>
      </c>
      <c r="H29" s="14" t="s">
        <v>3</v>
      </c>
      <c r="I29" s="1"/>
    </row>
    <row r="30" spans="1:9" ht="26.25" x14ac:dyDescent="0.25">
      <c r="A30" s="1"/>
      <c r="B30" s="57" t="s">
        <v>281</v>
      </c>
      <c r="C30" s="45">
        <v>40</v>
      </c>
      <c r="D30" s="9">
        <v>1278395.72</v>
      </c>
      <c r="E30" s="9">
        <f t="shared" si="0"/>
        <v>31959.893</v>
      </c>
      <c r="F30" s="9">
        <v>0</v>
      </c>
      <c r="G30" s="9">
        <v>26974.15</v>
      </c>
      <c r="H30" s="14" t="s">
        <v>3</v>
      </c>
      <c r="I30" s="1"/>
    </row>
    <row r="31" spans="1:9" ht="26.25" x14ac:dyDescent="0.25">
      <c r="A31" s="1"/>
      <c r="B31" s="57" t="s">
        <v>282</v>
      </c>
      <c r="C31" s="45">
        <v>30</v>
      </c>
      <c r="D31" s="9">
        <v>1779891.93</v>
      </c>
      <c r="E31" s="9">
        <f t="shared" si="0"/>
        <v>59329.731</v>
      </c>
      <c r="F31" s="9">
        <v>0</v>
      </c>
      <c r="G31" s="9">
        <v>37555.72</v>
      </c>
      <c r="H31" s="14" t="s">
        <v>3</v>
      </c>
      <c r="I31" s="1"/>
    </row>
    <row r="32" spans="1:9" ht="26.25" x14ac:dyDescent="0.25">
      <c r="A32" s="1"/>
      <c r="B32" s="57" t="s">
        <v>283</v>
      </c>
      <c r="C32" s="45">
        <v>50</v>
      </c>
      <c r="D32" s="9">
        <v>776511.16</v>
      </c>
      <c r="E32" s="9">
        <f t="shared" si="0"/>
        <v>15530.2232</v>
      </c>
      <c r="F32" s="9">
        <v>0</v>
      </c>
      <c r="G32" s="9">
        <v>16384.39</v>
      </c>
      <c r="H32" s="14" t="s">
        <v>3</v>
      </c>
      <c r="I32" s="1"/>
    </row>
    <row r="33" spans="1:9" ht="26.25" x14ac:dyDescent="0.25">
      <c r="A33" s="1"/>
      <c r="B33" s="57" t="s">
        <v>284</v>
      </c>
      <c r="C33" s="45">
        <v>50</v>
      </c>
      <c r="D33" s="9">
        <v>615804.26</v>
      </c>
      <c r="E33" s="9">
        <f t="shared" si="0"/>
        <v>12316.0852</v>
      </c>
      <c r="F33" s="9">
        <v>0</v>
      </c>
      <c r="G33" s="9">
        <v>12993.47</v>
      </c>
      <c r="H33" s="14" t="s">
        <v>3</v>
      </c>
      <c r="I33" s="1"/>
    </row>
    <row r="34" spans="1:9" ht="26.25" x14ac:dyDescent="0.25">
      <c r="A34" s="1"/>
      <c r="B34" s="57" t="s">
        <v>285</v>
      </c>
      <c r="C34" s="45">
        <v>50</v>
      </c>
      <c r="D34" s="9">
        <v>447804.96</v>
      </c>
      <c r="E34" s="9">
        <f t="shared" si="0"/>
        <v>8956.0992000000006</v>
      </c>
      <c r="F34" s="9">
        <v>0</v>
      </c>
      <c r="G34" s="9">
        <v>9448.68</v>
      </c>
      <c r="H34" s="14" t="s">
        <v>3</v>
      </c>
      <c r="I34" s="1"/>
    </row>
    <row r="35" spans="1:9" ht="26.25" x14ac:dyDescent="0.25">
      <c r="A35" s="1"/>
      <c r="B35" s="57" t="s">
        <v>286</v>
      </c>
      <c r="C35" s="45">
        <v>50</v>
      </c>
      <c r="D35" s="9">
        <v>85058.37</v>
      </c>
      <c r="E35" s="9">
        <f t="shared" si="0"/>
        <v>1701.1673999999998</v>
      </c>
      <c r="F35" s="9">
        <v>0</v>
      </c>
      <c r="G35" s="9">
        <v>1794.73</v>
      </c>
      <c r="H35" s="14" t="s">
        <v>3</v>
      </c>
      <c r="I35" s="1"/>
    </row>
    <row r="36" spans="1:9" ht="26.25" x14ac:dyDescent="0.25">
      <c r="A36" s="1"/>
      <c r="B36" s="57" t="s">
        <v>287</v>
      </c>
      <c r="C36" s="45">
        <v>50</v>
      </c>
      <c r="D36" s="9">
        <v>78242.62</v>
      </c>
      <c r="E36" s="9">
        <f t="shared" si="0"/>
        <v>1564.8524</v>
      </c>
      <c r="F36" s="9">
        <v>0</v>
      </c>
      <c r="G36" s="9">
        <v>1650.92</v>
      </c>
      <c r="H36" s="14" t="s">
        <v>3</v>
      </c>
      <c r="I36" s="1"/>
    </row>
    <row r="37" spans="1:9" ht="26.25" x14ac:dyDescent="0.25">
      <c r="A37" s="1"/>
      <c r="B37" s="57" t="s">
        <v>288</v>
      </c>
      <c r="C37" s="45">
        <v>50</v>
      </c>
      <c r="D37" s="9">
        <v>78242.62</v>
      </c>
      <c r="E37" s="9">
        <f t="shared" si="0"/>
        <v>1564.8524</v>
      </c>
      <c r="F37" s="9">
        <v>0</v>
      </c>
      <c r="G37" s="9">
        <v>1650.92</v>
      </c>
      <c r="H37" s="14" t="s">
        <v>3</v>
      </c>
      <c r="I37" s="1"/>
    </row>
    <row r="38" spans="1:9" ht="26.25" x14ac:dyDescent="0.25">
      <c r="A38" s="1"/>
      <c r="B38" s="57" t="s">
        <v>289</v>
      </c>
      <c r="C38" s="45">
        <v>50</v>
      </c>
      <c r="D38" s="9">
        <v>107823.2</v>
      </c>
      <c r="E38" s="9">
        <f t="shared" si="0"/>
        <v>2156.4639999999999</v>
      </c>
      <c r="F38" s="9">
        <v>0</v>
      </c>
      <c r="G38" s="9">
        <v>2275.0700000000002</v>
      </c>
      <c r="H38" s="14" t="s">
        <v>3</v>
      </c>
      <c r="I38" s="1"/>
    </row>
    <row r="39" spans="1:9" ht="26.25" x14ac:dyDescent="0.25">
      <c r="A39" s="1"/>
      <c r="B39" s="57" t="s">
        <v>290</v>
      </c>
      <c r="C39" s="45">
        <v>20</v>
      </c>
      <c r="D39" s="9">
        <v>2657746.0699999998</v>
      </c>
      <c r="E39" s="9">
        <f t="shared" si="0"/>
        <v>132887.30349999998</v>
      </c>
      <c r="F39" s="9">
        <v>0</v>
      </c>
      <c r="G39" s="9">
        <v>56078.44</v>
      </c>
      <c r="H39" s="14" t="s">
        <v>3</v>
      </c>
      <c r="I39" s="1"/>
    </row>
    <row r="40" spans="1:9" ht="26.25" x14ac:dyDescent="0.25">
      <c r="A40" s="1"/>
      <c r="B40" s="57" t="s">
        <v>291</v>
      </c>
      <c r="C40" s="45">
        <v>20</v>
      </c>
      <c r="D40" s="9">
        <v>261420.49</v>
      </c>
      <c r="E40" s="9">
        <f t="shared" si="0"/>
        <v>13071.0245</v>
      </c>
      <c r="F40" s="9">
        <v>0</v>
      </c>
      <c r="G40" s="9">
        <v>5515.97</v>
      </c>
      <c r="H40" s="14" t="s">
        <v>3</v>
      </c>
      <c r="I40" s="1"/>
    </row>
    <row r="41" spans="1:9" ht="26.25" x14ac:dyDescent="0.25">
      <c r="A41" s="1"/>
      <c r="B41" s="57" t="s">
        <v>292</v>
      </c>
      <c r="C41" s="45">
        <v>20</v>
      </c>
      <c r="D41" s="9">
        <v>2368773.34</v>
      </c>
      <c r="E41" s="9">
        <f t="shared" si="0"/>
        <v>118438.66699999999</v>
      </c>
      <c r="F41" s="9">
        <v>0</v>
      </c>
      <c r="G41" s="9">
        <v>49981.120000000003</v>
      </c>
      <c r="H41" s="14" t="s">
        <v>3</v>
      </c>
      <c r="I41" s="1"/>
    </row>
    <row r="42" spans="1:9" ht="26.25" x14ac:dyDescent="0.25">
      <c r="A42" s="1"/>
      <c r="B42" s="57" t="s">
        <v>293</v>
      </c>
      <c r="C42" s="45">
        <v>20</v>
      </c>
      <c r="D42" s="9">
        <v>443016.22</v>
      </c>
      <c r="E42" s="9">
        <f t="shared" si="0"/>
        <v>22150.810999999998</v>
      </c>
      <c r="F42" s="9">
        <v>0</v>
      </c>
      <c r="G42" s="9">
        <v>9347.64</v>
      </c>
      <c r="H42" s="14" t="s">
        <v>3</v>
      </c>
      <c r="I42" s="1"/>
    </row>
    <row r="43" spans="1:9" ht="26.25" x14ac:dyDescent="0.25">
      <c r="A43" s="1"/>
      <c r="B43" s="57" t="s">
        <v>294</v>
      </c>
      <c r="C43" s="45">
        <v>20</v>
      </c>
      <c r="D43" s="9">
        <v>1372018.55</v>
      </c>
      <c r="E43" s="9">
        <f t="shared" si="0"/>
        <v>68600.927500000005</v>
      </c>
      <c r="F43" s="9">
        <v>0</v>
      </c>
      <c r="G43" s="9">
        <v>28949.59</v>
      </c>
      <c r="H43" s="14" t="s">
        <v>3</v>
      </c>
      <c r="I43" s="1"/>
    </row>
    <row r="44" spans="1:9" ht="26.25" x14ac:dyDescent="0.25">
      <c r="A44" s="1"/>
      <c r="B44" s="57" t="s">
        <v>295</v>
      </c>
      <c r="C44" s="45">
        <v>20</v>
      </c>
      <c r="D44" s="9">
        <v>477305.57</v>
      </c>
      <c r="E44" s="9">
        <f t="shared" si="0"/>
        <v>23865.2785</v>
      </c>
      <c r="F44" s="9">
        <v>0</v>
      </c>
      <c r="G44" s="9">
        <v>10071.15</v>
      </c>
      <c r="H44" s="14" t="s">
        <v>3</v>
      </c>
      <c r="I44" s="1"/>
    </row>
    <row r="45" spans="1:9" ht="26.25" x14ac:dyDescent="0.25">
      <c r="A45" s="1"/>
      <c r="B45" s="57" t="s">
        <v>296</v>
      </c>
      <c r="C45" s="45">
        <v>40</v>
      </c>
      <c r="D45" s="9">
        <v>257156.21</v>
      </c>
      <c r="E45" s="9">
        <f t="shared" si="0"/>
        <v>6428.9052499999998</v>
      </c>
      <c r="F45" s="9">
        <v>0</v>
      </c>
      <c r="G45" s="9">
        <v>5426</v>
      </c>
      <c r="H45" s="14" t="s">
        <v>3</v>
      </c>
      <c r="I45" s="1"/>
    </row>
    <row r="46" spans="1:9" ht="26.25" x14ac:dyDescent="0.25">
      <c r="A46" s="1"/>
      <c r="B46" s="57" t="s">
        <v>297</v>
      </c>
      <c r="C46" s="45">
        <v>20</v>
      </c>
      <c r="D46" s="9">
        <v>10909785.439999999</v>
      </c>
      <c r="E46" s="9">
        <f t="shared" si="0"/>
        <v>545489.272</v>
      </c>
      <c r="F46" s="9">
        <v>0</v>
      </c>
      <c r="G46" s="9">
        <v>230196.47</v>
      </c>
      <c r="H46" s="14" t="s">
        <v>3</v>
      </c>
      <c r="I46" s="1"/>
    </row>
    <row r="47" spans="1:9" ht="26.25" x14ac:dyDescent="0.25">
      <c r="A47" s="1"/>
      <c r="B47" s="57" t="s">
        <v>298</v>
      </c>
      <c r="C47" s="45">
        <v>30</v>
      </c>
      <c r="D47" s="9">
        <v>304798.07</v>
      </c>
      <c r="E47" s="9">
        <f t="shared" si="0"/>
        <v>10159.935666666666</v>
      </c>
      <c r="F47" s="9">
        <v>0</v>
      </c>
      <c r="G47" s="9">
        <v>6431.24</v>
      </c>
      <c r="H47" s="14" t="s">
        <v>3</v>
      </c>
      <c r="I47" s="1"/>
    </row>
    <row r="48" spans="1:9" ht="26.25" x14ac:dyDescent="0.25">
      <c r="A48" s="1"/>
      <c r="B48" s="57" t="s">
        <v>299</v>
      </c>
      <c r="C48" s="45">
        <v>40</v>
      </c>
      <c r="D48" s="9">
        <v>583899.48</v>
      </c>
      <c r="E48" s="9">
        <f t="shared" si="0"/>
        <v>14597.486999999999</v>
      </c>
      <c r="F48" s="9">
        <v>0</v>
      </c>
      <c r="G48" s="9">
        <v>12320.28</v>
      </c>
      <c r="H48" s="14" t="s">
        <v>3</v>
      </c>
      <c r="I48" s="1"/>
    </row>
    <row r="49" spans="1:9" ht="26.25" x14ac:dyDescent="0.25">
      <c r="A49" s="1"/>
      <c r="B49" s="57" t="s">
        <v>300</v>
      </c>
      <c r="C49" s="45">
        <v>10</v>
      </c>
      <c r="D49" s="9">
        <v>383815.89</v>
      </c>
      <c r="E49" s="9">
        <f t="shared" si="0"/>
        <v>38381.589</v>
      </c>
      <c r="F49" s="9">
        <v>0</v>
      </c>
      <c r="G49" s="9">
        <v>8098.52</v>
      </c>
      <c r="H49" s="14" t="s">
        <v>3</v>
      </c>
      <c r="I49" s="1"/>
    </row>
    <row r="50" spans="1:9" x14ac:dyDescent="0.25">
      <c r="A50" s="1"/>
      <c r="B50" s="57" t="s">
        <v>278</v>
      </c>
      <c r="C50" s="45">
        <v>75</v>
      </c>
      <c r="D50" s="9">
        <v>9470147.2300000004</v>
      </c>
      <c r="E50" s="9">
        <f t="shared" si="0"/>
        <v>126268.62973333334</v>
      </c>
      <c r="F50" s="9">
        <v>0</v>
      </c>
      <c r="G50" s="9">
        <v>199820.11</v>
      </c>
      <c r="H50" s="14" t="s">
        <v>3</v>
      </c>
      <c r="I50" s="1"/>
    </row>
    <row r="51" spans="1:9" x14ac:dyDescent="0.25">
      <c r="A51" s="1"/>
      <c r="B51" s="57" t="s">
        <v>278</v>
      </c>
      <c r="C51" s="45">
        <v>75</v>
      </c>
      <c r="D51" s="9">
        <v>1224445.8600000001</v>
      </c>
      <c r="E51" s="9">
        <f t="shared" si="0"/>
        <v>16325.944800000001</v>
      </c>
      <c r="F51" s="9">
        <v>0</v>
      </c>
      <c r="G51" s="9">
        <v>25835.81</v>
      </c>
      <c r="H51" s="14" t="s">
        <v>3</v>
      </c>
      <c r="I51" s="1"/>
    </row>
    <row r="52" spans="1:9" x14ac:dyDescent="0.25">
      <c r="A52" s="1"/>
      <c r="B52" s="57" t="s">
        <v>301</v>
      </c>
      <c r="C52" s="45">
        <v>30</v>
      </c>
      <c r="D52" s="9">
        <v>4205910.08</v>
      </c>
      <c r="E52" s="9">
        <f t="shared" si="0"/>
        <v>140197.00266666667</v>
      </c>
      <c r="F52" s="9">
        <v>0</v>
      </c>
      <c r="G52" s="9">
        <v>88744.7</v>
      </c>
      <c r="H52" s="14" t="s">
        <v>3</v>
      </c>
      <c r="I52" s="1"/>
    </row>
    <row r="53" spans="1:9" x14ac:dyDescent="0.25">
      <c r="A53" s="1"/>
      <c r="B53" s="57" t="s">
        <v>302</v>
      </c>
      <c r="C53" s="45">
        <v>30</v>
      </c>
      <c r="D53" s="9">
        <v>1547350.84</v>
      </c>
      <c r="E53" s="9">
        <f t="shared" si="0"/>
        <v>51578.361333333334</v>
      </c>
      <c r="F53" s="9">
        <v>0</v>
      </c>
      <c r="G53" s="9">
        <v>32649.1</v>
      </c>
      <c r="H53" s="14" t="s">
        <v>3</v>
      </c>
      <c r="I53" s="1"/>
    </row>
    <row r="54" spans="1:9" x14ac:dyDescent="0.25">
      <c r="A54" s="1"/>
      <c r="B54" s="57" t="s">
        <v>303</v>
      </c>
      <c r="C54" s="45">
        <v>15</v>
      </c>
      <c r="D54" s="9">
        <v>269635.51</v>
      </c>
      <c r="E54" s="9">
        <f t="shared" si="0"/>
        <v>17975.700666666668</v>
      </c>
      <c r="F54" s="9">
        <v>0</v>
      </c>
      <c r="G54" s="9">
        <v>5689.31</v>
      </c>
      <c r="H54" s="14" t="s">
        <v>3</v>
      </c>
      <c r="I54" s="1"/>
    </row>
    <row r="55" spans="1:9" x14ac:dyDescent="0.25">
      <c r="A55" s="1"/>
      <c r="B55" s="57" t="s">
        <v>304</v>
      </c>
      <c r="C55" s="45">
        <v>30</v>
      </c>
      <c r="D55" s="9">
        <v>711684.52</v>
      </c>
      <c r="E55" s="9">
        <f t="shared" si="0"/>
        <v>23722.817333333332</v>
      </c>
      <c r="F55" s="9">
        <v>0</v>
      </c>
      <c r="G55" s="9">
        <v>15016.54</v>
      </c>
      <c r="H55" s="14" t="s">
        <v>3</v>
      </c>
      <c r="I55" s="1"/>
    </row>
    <row r="56" spans="1:9" ht="26.25" x14ac:dyDescent="0.25">
      <c r="A56" s="1"/>
      <c r="B56" s="57" t="s">
        <v>305</v>
      </c>
      <c r="C56" s="45">
        <v>30</v>
      </c>
      <c r="D56" s="9">
        <v>1466400.98</v>
      </c>
      <c r="E56" s="9">
        <f t="shared" si="0"/>
        <v>48880.032666666666</v>
      </c>
      <c r="F56" s="9">
        <v>0</v>
      </c>
      <c r="G56" s="9">
        <v>30941.06</v>
      </c>
      <c r="H56" s="14" t="s">
        <v>3</v>
      </c>
      <c r="I56" s="1"/>
    </row>
    <row r="57" spans="1:9" x14ac:dyDescent="0.25">
      <c r="A57" s="1"/>
      <c r="B57" s="57" t="s">
        <v>306</v>
      </c>
      <c r="C57" s="45">
        <v>20</v>
      </c>
      <c r="D57" s="9">
        <v>784102.41</v>
      </c>
      <c r="E57" s="9">
        <f t="shared" si="0"/>
        <v>39205.120500000005</v>
      </c>
      <c r="F57" s="9">
        <v>0</v>
      </c>
      <c r="G57" s="9">
        <v>16544.560000000001</v>
      </c>
      <c r="H57" s="14" t="s">
        <v>3</v>
      </c>
      <c r="I57" s="1"/>
    </row>
    <row r="58" spans="1:9" x14ac:dyDescent="0.25">
      <c r="A58" s="1"/>
      <c r="B58" s="57" t="s">
        <v>307</v>
      </c>
      <c r="C58" s="45">
        <v>30</v>
      </c>
      <c r="D58" s="9">
        <v>573988.05000000005</v>
      </c>
      <c r="E58" s="9">
        <f t="shared" si="0"/>
        <v>19132.935000000001</v>
      </c>
      <c r="F58" s="9">
        <v>0</v>
      </c>
      <c r="G58" s="9">
        <v>12111.15</v>
      </c>
      <c r="H58" s="14" t="s">
        <v>3</v>
      </c>
      <c r="I58" s="1"/>
    </row>
    <row r="59" spans="1:9" x14ac:dyDescent="0.25">
      <c r="A59" s="1"/>
      <c r="B59" s="57" t="s">
        <v>308</v>
      </c>
      <c r="C59" s="45">
        <v>30</v>
      </c>
      <c r="D59" s="9">
        <v>2193122.25</v>
      </c>
      <c r="E59" s="9">
        <f t="shared" si="0"/>
        <v>73104.074999999997</v>
      </c>
      <c r="F59" s="9">
        <v>0</v>
      </c>
      <c r="G59" s="9">
        <v>46274.879999999997</v>
      </c>
      <c r="H59" s="14" t="s">
        <v>3</v>
      </c>
      <c r="I59" s="1"/>
    </row>
    <row r="60" spans="1:9" x14ac:dyDescent="0.25">
      <c r="A60" s="1"/>
      <c r="B60" s="57" t="s">
        <v>309</v>
      </c>
      <c r="C60" s="45">
        <v>30</v>
      </c>
      <c r="D60" s="9">
        <v>3269776.4</v>
      </c>
      <c r="E60" s="9">
        <f t="shared" si="0"/>
        <v>108992.54666666666</v>
      </c>
      <c r="F60" s="9">
        <v>0</v>
      </c>
      <c r="G60" s="9">
        <v>68992.28</v>
      </c>
      <c r="H60" s="14" t="s">
        <v>3</v>
      </c>
      <c r="I60" s="1"/>
    </row>
    <row r="61" spans="1:9" ht="26.25" x14ac:dyDescent="0.25">
      <c r="A61" s="1"/>
      <c r="B61" s="57" t="s">
        <v>310</v>
      </c>
      <c r="C61" s="45">
        <v>30</v>
      </c>
      <c r="D61" s="9">
        <v>1920884.12</v>
      </c>
      <c r="E61" s="9">
        <f t="shared" si="0"/>
        <v>64029.470666666668</v>
      </c>
      <c r="F61" s="9">
        <v>0</v>
      </c>
      <c r="G61" s="9">
        <v>40530.65</v>
      </c>
      <c r="H61" s="14" t="s">
        <v>3</v>
      </c>
      <c r="I61" s="1"/>
    </row>
    <row r="62" spans="1:9" ht="26.25" x14ac:dyDescent="0.25">
      <c r="A62" s="1"/>
      <c r="B62" s="57" t="s">
        <v>311</v>
      </c>
      <c r="C62" s="45">
        <v>10</v>
      </c>
      <c r="D62" s="9">
        <v>336179.26</v>
      </c>
      <c r="E62" s="9">
        <f t="shared" si="0"/>
        <v>33617.925999999999</v>
      </c>
      <c r="F62" s="9">
        <v>0</v>
      </c>
      <c r="G62" s="9">
        <v>7093.38</v>
      </c>
      <c r="H62" s="14" t="s">
        <v>3</v>
      </c>
      <c r="I62" s="1"/>
    </row>
    <row r="63" spans="1:9" ht="26.25" x14ac:dyDescent="0.25">
      <c r="A63" s="1"/>
      <c r="B63" s="57" t="s">
        <v>312</v>
      </c>
      <c r="C63" s="45">
        <v>40</v>
      </c>
      <c r="D63" s="9">
        <v>2620911.62</v>
      </c>
      <c r="E63" s="9">
        <f t="shared" si="0"/>
        <v>65522.790500000003</v>
      </c>
      <c r="F63" s="9">
        <v>0</v>
      </c>
      <c r="G63" s="9">
        <v>55301.24</v>
      </c>
      <c r="H63" s="14" t="s">
        <v>3</v>
      </c>
      <c r="I63" s="1"/>
    </row>
    <row r="64" spans="1:9" x14ac:dyDescent="0.25">
      <c r="A64" s="1"/>
      <c r="B64" s="57" t="s">
        <v>313</v>
      </c>
      <c r="C64" s="45">
        <v>10</v>
      </c>
      <c r="D64" s="9">
        <v>312840.53000000003</v>
      </c>
      <c r="E64" s="9">
        <f t="shared" si="0"/>
        <v>31284.053000000004</v>
      </c>
      <c r="F64" s="9">
        <v>0</v>
      </c>
      <c r="G64" s="9">
        <v>6600.94</v>
      </c>
      <c r="H64" s="14" t="s">
        <v>3</v>
      </c>
      <c r="I64" s="1"/>
    </row>
    <row r="65" spans="1:9" ht="26.25" x14ac:dyDescent="0.25">
      <c r="A65" s="1"/>
      <c r="B65" s="57" t="s">
        <v>314</v>
      </c>
      <c r="C65" s="45">
        <v>30</v>
      </c>
      <c r="D65" s="9">
        <v>3202843.39</v>
      </c>
      <c r="E65" s="9">
        <f t="shared" ref="E65:E66" si="3">IFERROR(D65/C65,0)</f>
        <v>106761.44633333334</v>
      </c>
      <c r="F65" s="9">
        <v>0</v>
      </c>
      <c r="G65" s="9">
        <v>67580</v>
      </c>
      <c r="H65" s="14" t="s">
        <v>3</v>
      </c>
      <c r="I65" s="1"/>
    </row>
    <row r="66" spans="1:9" x14ac:dyDescent="0.25">
      <c r="A66" s="1"/>
      <c r="B66" s="57" t="s">
        <v>278</v>
      </c>
      <c r="C66" s="45">
        <v>75</v>
      </c>
      <c r="D66" s="9">
        <v>607617.96</v>
      </c>
      <c r="E66" s="9">
        <f t="shared" si="3"/>
        <v>8101.5727999999999</v>
      </c>
      <c r="F66" s="9">
        <v>0</v>
      </c>
      <c r="G66" s="9">
        <v>12820.74</v>
      </c>
      <c r="H66" s="14" t="s">
        <v>3</v>
      </c>
      <c r="I66" s="1"/>
    </row>
    <row r="67" spans="1:9" x14ac:dyDescent="0.25">
      <c r="A67" s="1"/>
      <c r="B67" s="84" t="s">
        <v>255</v>
      </c>
      <c r="C67" s="85"/>
      <c r="D67" s="86"/>
      <c r="E67" s="12">
        <f>SUM(E10:E66)</f>
        <v>4357069.1658500014</v>
      </c>
      <c r="F67" s="12">
        <f>SUM(F10:F66)</f>
        <v>0</v>
      </c>
      <c r="G67" s="12">
        <f>SUM(G10:G66)</f>
        <v>3998415.3800000008</v>
      </c>
      <c r="H67" s="13" t="s">
        <v>3</v>
      </c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</sheetData>
  <sheetProtection algorithmName="SHA-512" hashValue="rTvwuTHJWlPtqkE9HZmB0915xhckXzhM69FCyMUsrBBT3X2VU2X+Oid7oGfIjvtYgljaQt8o3/mOLB51Q6yZ9A==" saltValue="qYHqhPfZvJtf+ctzn7+vsw==" spinCount="100000" sheet="1" objects="1" scenarios="1"/>
  <mergeCells count="3">
    <mergeCell ref="B3:H4"/>
    <mergeCell ref="B67:D67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315</v>
      </c>
      <c r="C10" s="24">
        <f>'Fane 9. Anlægsprojekter'!F67</f>
        <v>0</v>
      </c>
      <c r="D10" s="14" t="s">
        <v>3</v>
      </c>
      <c r="E10" s="9">
        <f>SUM('Fane 9. Anlægsprojekter'!E67,'Fane 9. Anlægsprojekter'!G67)</f>
        <v>8355484.5458500022</v>
      </c>
      <c r="F10" s="14" t="s">
        <v>3</v>
      </c>
      <c r="G10" s="1"/>
    </row>
    <row r="11" spans="1:7" x14ac:dyDescent="0.25">
      <c r="A11" s="1"/>
      <c r="B11" s="27" t="s">
        <v>318</v>
      </c>
      <c r="C11" s="24">
        <v>662325</v>
      </c>
      <c r="D11" s="14" t="s">
        <v>3</v>
      </c>
      <c r="E11" s="9">
        <v>0</v>
      </c>
      <c r="F11" s="14" t="s">
        <v>3</v>
      </c>
      <c r="G11" s="1"/>
    </row>
    <row r="12" spans="1:7" x14ac:dyDescent="0.25">
      <c r="A12" s="1"/>
      <c r="B12" s="46" t="s">
        <v>316</v>
      </c>
      <c r="C12" s="24">
        <v>144414</v>
      </c>
      <c r="D12" s="14" t="s">
        <v>3</v>
      </c>
      <c r="E12" s="9">
        <v>121535</v>
      </c>
      <c r="F12" s="14" t="s">
        <v>3</v>
      </c>
      <c r="G12" s="1"/>
    </row>
    <row r="13" spans="1:7" x14ac:dyDescent="0.25">
      <c r="A13" s="1"/>
      <c r="B13" s="40" t="s">
        <v>60</v>
      </c>
      <c r="C13" s="12">
        <f>SUM(C10:C12)</f>
        <v>806739</v>
      </c>
      <c r="D13" s="13" t="s">
        <v>3</v>
      </c>
      <c r="E13" s="12">
        <f>SUM(E10:E12)</f>
        <v>8477019.5458500013</v>
      </c>
      <c r="F13" s="13" t="s">
        <v>3</v>
      </c>
      <c r="G13" s="1"/>
    </row>
    <row r="14" spans="1:7" x14ac:dyDescent="0.25">
      <c r="A14" s="1"/>
      <c r="B14" s="40" t="s">
        <v>70</v>
      </c>
      <c r="C14" s="12">
        <f>C13*(1+'Fane 15. Nøgletal'!C12)</f>
        <v>822631.75829999999</v>
      </c>
      <c r="D14" s="13" t="s">
        <v>3</v>
      </c>
      <c r="E14" s="12">
        <f>E13*(1+'Fane 15. Nøgletal'!C12)</f>
        <v>8644016.830903247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0tMOvD0/9ODGMWjx1gel8MSLhrnM9aiNLkCJZLG3UTg3aa975ekVuKxj3AzqFYldkl48xkQklnmxjql8qmc9Nw==" saltValue="akKR1FiY+BBTsJ5gPRX1X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187</v>
      </c>
      <c r="C8" s="85"/>
      <c r="D8" s="85"/>
      <c r="E8" s="85"/>
      <c r="F8" s="86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317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84" t="s">
        <v>188</v>
      </c>
      <c r="C16" s="85"/>
      <c r="D16" s="85"/>
      <c r="E16" s="85"/>
      <c r="F16" s="86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317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84" t="s">
        <v>189</v>
      </c>
      <c r="C24" s="85"/>
      <c r="D24" s="85"/>
      <c r="E24" s="85"/>
      <c r="F24" s="86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317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84" t="s">
        <v>190</v>
      </c>
      <c r="C32" s="85"/>
      <c r="D32" s="85"/>
      <c r="E32" s="85"/>
      <c r="F32" s="86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317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RDtGVZtvZ2GkF3/W9qSYbZzBdVnaQB8obVSsmWch6i+C/+XjvRKLtTxVQ+GH6wpvEzVH6xNICK084VA3jp7Gbg==" saltValue="NtnLUUbVy7lNvd/7I6ho1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227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93"/>
      <c r="C5" s="93"/>
      <c r="D5" s="93"/>
      <c r="E5" s="93"/>
      <c r="F5" s="9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160</v>
      </c>
      <c r="C8" s="85"/>
      <c r="D8" s="85"/>
      <c r="E8" s="85"/>
      <c r="F8" s="86"/>
      <c r="G8" s="1"/>
    </row>
    <row r="9" spans="1:7" x14ac:dyDescent="0.25">
      <c r="A9" s="1"/>
      <c r="B9" s="111" t="s">
        <v>159</v>
      </c>
      <c r="C9" s="112"/>
      <c r="D9" s="113"/>
      <c r="E9" s="9">
        <v>0</v>
      </c>
      <c r="F9" s="14" t="s">
        <v>3</v>
      </c>
      <c r="G9" s="1"/>
    </row>
    <row r="10" spans="1:7" x14ac:dyDescent="0.25">
      <c r="A10" s="1"/>
      <c r="B10" s="94" t="s">
        <v>10</v>
      </c>
      <c r="C10" s="95"/>
      <c r="D10" s="96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94" t="s">
        <v>39</v>
      </c>
      <c r="C11" s="95"/>
      <c r="D11" s="96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84" t="s">
        <v>164</v>
      </c>
      <c r="C12" s="85"/>
      <c r="D12" s="86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161</v>
      </c>
      <c r="C14" s="85"/>
      <c r="D14" s="85"/>
      <c r="E14" s="85"/>
      <c r="F14" s="86"/>
      <c r="G14" s="1"/>
    </row>
    <row r="15" spans="1:7" x14ac:dyDescent="0.25">
      <c r="A15" s="1"/>
      <c r="B15" s="111" t="s">
        <v>159</v>
      </c>
      <c r="C15" s="112"/>
      <c r="D15" s="113"/>
      <c r="E15" s="9">
        <v>0</v>
      </c>
      <c r="F15" s="14" t="s">
        <v>3</v>
      </c>
      <c r="G15" s="1"/>
    </row>
    <row r="16" spans="1:7" x14ac:dyDescent="0.25">
      <c r="A16" s="1"/>
      <c r="B16" s="94" t="s">
        <v>10</v>
      </c>
      <c r="C16" s="95"/>
      <c r="D16" s="96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94" t="s">
        <v>39</v>
      </c>
      <c r="C17" s="95"/>
      <c r="D17" s="96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84" t="s">
        <v>165</v>
      </c>
      <c r="C18" s="85"/>
      <c r="D18" s="86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162</v>
      </c>
      <c r="C20" s="85"/>
      <c r="D20" s="85"/>
      <c r="E20" s="85"/>
      <c r="F20" s="86"/>
      <c r="G20" s="1"/>
    </row>
    <row r="21" spans="1:7" x14ac:dyDescent="0.25">
      <c r="A21" s="1"/>
      <c r="B21" s="111" t="s">
        <v>159</v>
      </c>
      <c r="C21" s="112"/>
      <c r="D21" s="113"/>
      <c r="E21" s="9">
        <v>0</v>
      </c>
      <c r="F21" s="14" t="s">
        <v>3</v>
      </c>
      <c r="G21" s="1"/>
    </row>
    <row r="22" spans="1:7" x14ac:dyDescent="0.25">
      <c r="A22" s="1"/>
      <c r="B22" s="94" t="s">
        <v>10</v>
      </c>
      <c r="C22" s="95"/>
      <c r="D22" s="96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94" t="s">
        <v>39</v>
      </c>
      <c r="C23" s="95"/>
      <c r="D23" s="96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84" t="s">
        <v>166</v>
      </c>
      <c r="C24" s="85"/>
      <c r="D24" s="86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163</v>
      </c>
      <c r="C26" s="85"/>
      <c r="D26" s="85"/>
      <c r="E26" s="85"/>
      <c r="F26" s="86"/>
      <c r="G26" s="1"/>
    </row>
    <row r="27" spans="1:7" x14ac:dyDescent="0.25">
      <c r="A27" s="1"/>
      <c r="B27" s="111" t="s">
        <v>159</v>
      </c>
      <c r="C27" s="112"/>
      <c r="D27" s="113"/>
      <c r="E27" s="9">
        <v>0</v>
      </c>
      <c r="F27" s="14" t="s">
        <v>3</v>
      </c>
      <c r="G27" s="1"/>
    </row>
    <row r="28" spans="1:7" x14ac:dyDescent="0.25">
      <c r="A28" s="1"/>
      <c r="B28" s="94" t="s">
        <v>10</v>
      </c>
      <c r="C28" s="95"/>
      <c r="D28" s="96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94" t="s">
        <v>39</v>
      </c>
      <c r="C29" s="95"/>
      <c r="D29" s="96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84" t="s">
        <v>167</v>
      </c>
      <c r="C30" s="85"/>
      <c r="D30" s="86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GWA0y23Pzyr8nQ7ujwQoqjbtRm9HumLvA/acExVdk6y6WZ1oRGEz+uTVAI2Zj0gs2Q34h1wfejZCboWaB+R1gw==" saltValue="Zvqjg8qx/25VvqG8xmmojQ==" spinCount="100000" sheet="1" objects="1" scenarios="1"/>
  <mergeCells count="21"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223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32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2FjLmfpRtnXoTCFiL1uH8USNj6GVmxLWaCl+pbsrhFkom7IKB/5B48EgazcvyyVJzi4hpcjN9zgPQEdsXVTBRA==" saltValue="E0oxuUHLOtcPAtPNI8eTO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222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169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170</v>
      </c>
      <c r="C14" s="85"/>
      <c r="D14" s="85"/>
      <c r="E14" s="85"/>
      <c r="F14" s="8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168</v>
      </c>
      <c r="C20" s="85"/>
      <c r="D20" s="85"/>
      <c r="E20" s="85"/>
      <c r="F20" s="8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171</v>
      </c>
      <c r="C26" s="85"/>
      <c r="D26" s="85"/>
      <c r="E26" s="85"/>
      <c r="F26" s="8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sBPd//Ox39aWRGX45AGCatLlIC9P+0BWMxMoaTQi1sKZ4rJzm2Sl4/24sQLHHPe0pqye0Kn6DXhnXDSG0mpdZQ==" saltValue="nVpi2i00YXEK/H5mHd+uOw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18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8774335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-8774335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0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0</v>
      </c>
      <c r="H13" s="14" t="s">
        <v>28</v>
      </c>
      <c r="I13" s="1"/>
    </row>
    <row r="14" spans="1:9" x14ac:dyDescent="0.25">
      <c r="A14" s="1"/>
      <c r="B14" s="84" t="s">
        <v>138</v>
      </c>
      <c r="C14" s="85"/>
      <c r="D14" s="85"/>
      <c r="E14" s="85"/>
      <c r="F14" s="86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QUTTcqBjXat6I+gjIjW91hseLftEZS0QZo1xkBk+eWh5n/ORC6z0KkEuWKtSBNXz/8hOhS3i5tp9Zeuro4ABXw==" saltValue="KWKB/OVlYtgwxMnj1D/Fr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85988227.880507603</v>
      </c>
      <c r="D9" s="8" t="s">
        <v>3</v>
      </c>
      <c r="E9" s="1"/>
    </row>
    <row r="10" spans="1:5" ht="17.100000000000001" customHeight="1" x14ac:dyDescent="0.25">
      <c r="A10" s="1"/>
      <c r="B10" s="49" t="s">
        <v>64</v>
      </c>
      <c r="C10" s="7">
        <f>'Fane 10.1. Varige tillæg'!C14</f>
        <v>822631.75829999999</v>
      </c>
      <c r="D10" s="8" t="s">
        <v>3</v>
      </c>
      <c r="E10" s="1"/>
    </row>
    <row r="11" spans="1:5" ht="17.100000000000001" customHeight="1" x14ac:dyDescent="0.25">
      <c r="A11" s="1"/>
      <c r="B11" s="49" t="s">
        <v>65</v>
      </c>
      <c r="C11" s="9">
        <f>'Fane 10.1. Varige tillæg'!E14</f>
        <v>8644016.830903247</v>
      </c>
      <c r="D11" s="8" t="s">
        <v>3</v>
      </c>
      <c r="E11" s="1"/>
    </row>
    <row r="12" spans="1:5" ht="17.100000000000001" customHeight="1" x14ac:dyDescent="0.25">
      <c r="A12" s="1"/>
      <c r="B12" s="49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49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49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49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49" t="s">
        <v>27</v>
      </c>
      <c r="C16" s="9">
        <f>SUM(C9:C15)*'Fane 15. Nøgletal'!C12</f>
        <v>1880461.0664533037</v>
      </c>
      <c r="D16" s="8" t="s">
        <v>3</v>
      </c>
      <c r="E16" s="1"/>
    </row>
    <row r="17" spans="1:5" ht="17.100000000000001" customHeight="1" x14ac:dyDescent="0.25">
      <c r="A17" s="1"/>
      <c r="B17" s="49" t="s">
        <v>10</v>
      </c>
      <c r="C17" s="9">
        <f>-SUM(C9:C16)*'Fane 5. Individuelt eff. krav'!G11</f>
        <v>-662591.05547984771</v>
      </c>
      <c r="D17" s="8" t="s">
        <v>3</v>
      </c>
      <c r="E17" s="1"/>
    </row>
    <row r="18" spans="1:5" ht="17.100000000000001" customHeight="1" x14ac:dyDescent="0.25">
      <c r="A18" s="1"/>
      <c r="B18" s="49" t="s">
        <v>39</v>
      </c>
      <c r="C18" s="9">
        <f>-'Fane 4.1. Gen. krav - drift'!G28</f>
        <v>-769154.90978014248</v>
      </c>
      <c r="D18" s="8" t="s">
        <v>3</v>
      </c>
      <c r="E18" s="1"/>
    </row>
    <row r="19" spans="1:5" ht="17.100000000000001" customHeight="1" x14ac:dyDescent="0.25">
      <c r="A19" s="1"/>
      <c r="B19" s="49" t="s">
        <v>40</v>
      </c>
      <c r="C19" s="9">
        <f>-'Fane 4.2. Gen. krav - anlæg'!G25</f>
        <v>-1725411.2224134502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94178180.348490715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omk.'!C16+'Fane 6. Ikke-påvirkelige omk.'!C20+'Fane 6. Ikke-påvirkelige omk.'!C28</f>
        <v>5681175.0720017105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49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49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-1421014.5282987282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56642.509579873644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98494983.401773572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2fzQxbYigclgHhShnAEDHEhDu4nJPq32GU8iuF1gYbAHL7+JfhY5M7obL/IEE6j4O2H3jvHCQuMwQ6c8aivonQ==" saltValue="9SKaVr3UmcNGHARJUTviG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3" t="s">
        <v>248</v>
      </c>
      <c r="C3" s="93"/>
      <c r="D3" s="1"/>
    </row>
    <row r="4" spans="1:4" ht="25.5" customHeight="1" x14ac:dyDescent="0.25">
      <c r="A4" s="1"/>
      <c r="B4" s="93"/>
      <c r="C4" s="9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R/TKdrnu39z/aOnVO5oUbl4aYZtCWu0QkSpJ88OG+3yNkj1GlU1WRI7/JUn5cyIRXA3Wz570/lruJH9AHckDVw==" saltValue="HRB9gX1FZ9DWsfsePNQaPA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94178180.348490715</v>
      </c>
      <c r="D9" s="8" t="s">
        <v>3</v>
      </c>
      <c r="E9" s="1"/>
    </row>
    <row r="10" spans="1:5" ht="15" customHeight="1" x14ac:dyDescent="0.25">
      <c r="A10" s="1"/>
      <c r="B10" s="49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49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1855310.1528652669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-653728.98932071635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-768621.11627275497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-1709434.8117077374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92901705.584054768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Nøgletal'!C12)+'Fane 6. Ikke-påvirkelige omk.'!C21+'Fane 6. Ikke-påvirkelige omk.'!C29</f>
        <v>5760021.8018201441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-1421014.5282987282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97240712.857576191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why+SZfLqVf158V7wuSTmaQzTjYvEOMQESRt53LrjDde9z73qCHagcnEZihch1n/w+uCZjAHRfP73PeKgnqk9g==" saltValue="YJGQRhLusiPrqvMB/iPKv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92901705.584054768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1830163.6000058788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-644868.4596889026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-768087.69321806182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-1693606.334257426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91625306.696896255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Nøgletal'!C12)^2+'Fane 6. Ikke-påvirkelige omk.'!C22+'Fane 6. Ikke-påvirkelige omk.'!C30</f>
        <v>5840421.8122160006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97465728.509112254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SirkgwXtHmLqkzuVMl1jGZ61i+/wgKVDCNsFFz/SjVLSEuX1pEEcXrMpRkEY1b8rFLBQsXF4wpTuuigb4WjWXg==" saltValue="BQWyRzWvCWZk8KLIncsAn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264</v>
      </c>
      <c r="C9" s="7">
        <f>'Fane 2.3. Økonomisk ramme 2022'!C16</f>
        <v>91625306.696896255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1805018.5419288562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-636008.45675208012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-767554.64035896852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-1677924.4202774963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90348837.721436575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Nøgletal'!C12)^3+'Fane 6. Ikke-påvirkelige omk.'!C23+'Fane 6. Ikke-påvirkelige omk.'!C31</f>
        <v>5922405.7028166559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96271243.424253225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+Ioi6+bwoN0LM0D7xiJ+Kzv0IiEejezfb1WMtndxfXRFcgGOxqiKIMrSbTo7u1H1UT8OuCasc4VwvIkyrs3r8A==" saltValue="Iw3C2fl7UHUtf4Zmtx9Ss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243</v>
      </c>
      <c r="C3" s="93"/>
      <c r="D3" s="93"/>
      <c r="E3" s="93"/>
      <c r="F3" s="93"/>
      <c r="G3" s="1"/>
    </row>
    <row r="4" spans="1:7" ht="29.2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86866556.285120383</v>
      </c>
      <c r="F9" s="8" t="s">
        <v>3</v>
      </c>
      <c r="G9" s="1"/>
    </row>
    <row r="10" spans="1:7" ht="15" customHeight="1" x14ac:dyDescent="0.25">
      <c r="A10" s="1"/>
      <c r="B10" s="94" t="s">
        <v>64</v>
      </c>
      <c r="C10" s="95"/>
      <c r="D10" s="96"/>
      <c r="E10" s="7">
        <v>0</v>
      </c>
      <c r="F10" s="8" t="s">
        <v>3</v>
      </c>
      <c r="G10" s="1"/>
    </row>
    <row r="11" spans="1:7" ht="15" customHeight="1" x14ac:dyDescent="0.25">
      <c r="A11" s="1"/>
      <c r="B11" s="94" t="s">
        <v>65</v>
      </c>
      <c r="C11" s="95"/>
      <c r="D11" s="96"/>
      <c r="E11" s="9">
        <v>175097.97719999999</v>
      </c>
      <c r="F11" s="8" t="s">
        <v>3</v>
      </c>
      <c r="G11" s="1"/>
    </row>
    <row r="12" spans="1:7" ht="15" customHeight="1" x14ac:dyDescent="0.25">
      <c r="A12" s="1"/>
      <c r="B12" s="94" t="s">
        <v>42</v>
      </c>
      <c r="C12" s="95"/>
      <c r="D12" s="96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1523123.8908042868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-907465.45156767056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-752900.67076688434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-916184.15028252441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85988227.880507603</v>
      </c>
      <c r="F20" s="11" t="s">
        <v>3</v>
      </c>
      <c r="G20" s="1"/>
    </row>
    <row r="21" spans="1:7" ht="15" customHeight="1" x14ac:dyDescent="0.25">
      <c r="A21" s="1"/>
      <c r="B21" s="84" t="s">
        <v>145</v>
      </c>
      <c r="C21" s="85"/>
      <c r="D21" s="85"/>
      <c r="E21" s="85"/>
      <c r="F21" s="8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0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87" t="s">
        <v>240</v>
      </c>
      <c r="C24" s="88"/>
      <c r="D24" s="89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7" t="s">
        <v>17</v>
      </c>
      <c r="C26" s="88"/>
      <c r="D26" s="89"/>
      <c r="E26" s="10">
        <v>6853307.4154746197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0" t="s">
        <v>134</v>
      </c>
      <c r="C28" s="91"/>
      <c r="D28" s="92"/>
      <c r="E28" s="10">
        <v>-1718414.4297501133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0" t="s">
        <v>19</v>
      </c>
      <c r="C30" s="91"/>
      <c r="D30" s="92"/>
      <c r="E30" s="10">
        <v>0</v>
      </c>
      <c r="F30" s="11" t="s">
        <v>3</v>
      </c>
      <c r="G30" s="1"/>
    </row>
    <row r="31" spans="1:7" x14ac:dyDescent="0.25">
      <c r="A31" s="1"/>
      <c r="B31" s="84" t="s">
        <v>24</v>
      </c>
      <c r="C31" s="85"/>
      <c r="D31" s="86"/>
      <c r="E31" s="12">
        <f>SUM(E30,E28,E26,E20,E24)</f>
        <v>91123120.866232112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EhS1P/blh/v7Y+17ztyPdYyMS60T9EDHkPcN5ExlONM8u3ir3eXMEMuXJ7wPr1lFLx2hL+/40GlH7ec5TNdcRQ==" saltValue="Oy8uikqlfqn7jDUFtKi+lA==" spinCount="100000" sheet="1" objects="1" scenarios="1"/>
  <mergeCells count="21"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  <mergeCell ref="B22:D22"/>
    <mergeCell ref="B23:D23"/>
    <mergeCell ref="B21:F21"/>
    <mergeCell ref="B24:D24"/>
    <mergeCell ref="B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84" t="s">
        <v>94</v>
      </c>
      <c r="C5" s="85"/>
      <c r="D5" s="85"/>
      <c r="E5" s="85"/>
      <c r="F5" s="85"/>
      <c r="G5" s="85"/>
      <c r="H5" s="8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37929744.954657242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0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758594.89909314481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84" t="s">
        <v>95</v>
      </c>
      <c r="C11" s="85"/>
      <c r="D11" s="85"/>
      <c r="E11" s="85"/>
      <c r="F11" s="85"/>
      <c r="G11" s="85"/>
      <c r="H11" s="8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37821645.181536473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-69016.65188274892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0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755052.57059307455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4" t="s">
        <v>96</v>
      </c>
      <c r="C19" s="85"/>
      <c r="D19" s="85"/>
      <c r="E19" s="85"/>
      <c r="F19" s="85"/>
      <c r="G19" s="85"/>
      <c r="H19" s="8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37645033.538344219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752900.67076688434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84" t="s">
        <v>97</v>
      </c>
      <c r="C25" s="85"/>
      <c r="D25" s="85"/>
      <c r="E25" s="85"/>
      <c r="F25" s="85"/>
      <c r="G25" s="85"/>
      <c r="H25" s="8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37618907.88506861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838837.60393851006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769154.90978014248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84" t="s">
        <v>100</v>
      </c>
      <c r="C31" s="85"/>
      <c r="D31" s="85"/>
      <c r="E31" s="85"/>
      <c r="F31" s="85"/>
      <c r="G31" s="85"/>
      <c r="H31" s="8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38431055.813637748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768621.11627275497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84" t="s">
        <v>127</v>
      </c>
      <c r="C37" s="85"/>
      <c r="D37" s="85"/>
      <c r="E37" s="85"/>
      <c r="F37" s="85"/>
      <c r="G37" s="85"/>
      <c r="H37" s="8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38404384.660903089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768087.69321806182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84" t="s">
        <v>128</v>
      </c>
      <c r="C43" s="85"/>
      <c r="D43" s="85"/>
      <c r="E43" s="85"/>
      <c r="F43" s="85"/>
      <c r="G43" s="85"/>
      <c r="H43" s="8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38377732.017948426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767554.64035896852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/Qh8e4e+LNn09y10s5YUOfXlF1bOPS7c8knIR4eRjW0YZfM0QlapC509c+YlxhdYqckoxyKBlZcksbMV1P3inA==" saltValue="ronTjyOngK5yiZxTm8q5GA==" spinCount="100000" sheet="1" objects="1" scenarios="1"/>
  <mergeCells count="31">
    <mergeCell ref="B2:H4"/>
    <mergeCell ref="B5:H5"/>
    <mergeCell ref="B6:F6"/>
    <mergeCell ref="B8:F8"/>
    <mergeCell ref="B12:F12"/>
    <mergeCell ref="B11:H11"/>
    <mergeCell ref="B7:F7"/>
    <mergeCell ref="B44:F44"/>
    <mergeCell ref="B46:F46"/>
    <mergeCell ref="B39:F39"/>
    <mergeCell ref="B45:F45"/>
    <mergeCell ref="B40:F40"/>
    <mergeCell ref="B38:F38"/>
    <mergeCell ref="B33:F33"/>
    <mergeCell ref="B34:F34"/>
    <mergeCell ref="B25:H25"/>
    <mergeCell ref="B43:H43"/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84" t="s">
        <v>98</v>
      </c>
      <c r="C4" s="85"/>
      <c r="D4" s="85"/>
      <c r="E4" s="85"/>
      <c r="F4" s="85"/>
      <c r="G4" s="85"/>
      <c r="H4" s="8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54065227.474607795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491993.57001893094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84" t="s">
        <v>106</v>
      </c>
      <c r="C9" s="85"/>
      <c r="D9" s="85"/>
      <c r="E9" s="85"/>
      <c r="F9" s="85"/>
      <c r="G9" s="85"/>
      <c r="H9" s="8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54510765.497919172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-2810114.2985806675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915101.52622829156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84" t="s">
        <v>110</v>
      </c>
      <c r="C16" s="85"/>
      <c r="D16" s="85"/>
      <c r="E16" s="85"/>
      <c r="F16" s="85"/>
      <c r="G16" s="85"/>
      <c r="H16" s="8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51674296.792389639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178057.13301467997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916184.15028252441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84" t="s">
        <v>114</v>
      </c>
      <c r="C22" s="85"/>
      <c r="D22" s="85"/>
      <c r="E22" s="85"/>
      <c r="F22" s="85"/>
      <c r="G22" s="85"/>
      <c r="H22" s="8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51939612.319691695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8814303.9624720421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1725411.2224134502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84" t="s">
        <v>118</v>
      </c>
      <c r="C28" s="85"/>
      <c r="D28" s="85"/>
      <c r="E28" s="85"/>
      <c r="F28" s="85"/>
      <c r="G28" s="85"/>
      <c r="H28" s="8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60191366.60942737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1709434.8117077374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84" t="s">
        <v>129</v>
      </c>
      <c r="C34" s="85"/>
      <c r="D34" s="85"/>
      <c r="E34" s="85"/>
      <c r="F34" s="85"/>
      <c r="G34" s="85"/>
      <c r="H34" s="8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59634025.854134716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1693606.334257426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84" t="s">
        <v>130</v>
      </c>
      <c r="C40" s="85"/>
      <c r="D40" s="85"/>
      <c r="E40" s="85"/>
      <c r="F40" s="85"/>
      <c r="G40" s="85"/>
      <c r="H40" s="8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59081845.784418881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1677924.4202774963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RlIu8wok2o8d3gT7JdU/4mCyneNziUDpwWS4+kheh2vg3EtJJgF+hoIbaKWk4Zwgk/fQRQS0tT2C7P6FV5qiIA==" saltValue="yy9TDlXJuzzIaXog5fb4aQ==" spinCount="100000" sheet="1" objects="1" scenarios="1"/>
  <mergeCells count="29"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10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0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1.024634702972667E-2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6.8073021808104104E-3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G6j3yFsARYGN6m40tFoWfEK6vRiSpMm7QGEQRSsSJsZkUQ6vdv3chEeIT78/aIlOe54fQidK/udjfTRlC1lOCw==" saltValue="okgv+WqevVlzGDXoel8VEA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2019-10-14T15:59:58Z</dcterms:modified>
</cp:coreProperties>
</file>