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Brønderslev Spildevand AS (S012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9" i="40" l="1"/>
  <c r="E16" i="40" l="1"/>
  <c r="E12" i="40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1" i="11" l="1"/>
  <c r="C10" i="37" s="1"/>
  <c r="C11" i="37" s="1"/>
  <c r="C12" i="37" s="1"/>
  <c r="C10" i="2" s="1"/>
  <c r="G11" i="11"/>
  <c r="E11" i="21" l="1"/>
  <c r="C11" i="21"/>
  <c r="E11" i="29"/>
  <c r="C11" i="29"/>
  <c r="C13" i="19"/>
  <c r="C14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1" i="37" s="1"/>
  <c r="E12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<sst xmlns="http://schemas.openxmlformats.org/spreadsheetml/2006/main" count="665" uniqueCount="265">
  <si>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</si>
  <si>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</si>
  <si>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</si>
  <si>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</si>
  <si>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</si>
  <si>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</si>
  <si>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</si>
  <si>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</si>
  <si>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</si>
  <si>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</si>
  <si>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</si>
  <si>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</si>
  <si>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</si>
  <si>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</si>
  <si>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</si>
  <si>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</si>
  <si>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</si>
  <si>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</si>
  <si>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</si>
  <si>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</si>
  <si>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</si>
  <si>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</si>
  <si>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</si>
  <si>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</si>
  <si>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</si>
  <si>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</si>
  <si>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</si>
  <si>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</si>
  <si>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</si>
  <si>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</si>
  <si>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</si>
  <si>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</si>
  <si>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</si>
  <si>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</si>
  <si>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</si>
  <si>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</si>
  <si>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</si>
  <si>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</si>
  <si>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</si>
  <si>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</si>
  <si>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</si>
  <si>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</si>
  <si>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</si>
  <si>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</si>
  <si>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</si>
  <si>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</si>
  <si>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</si>
  <si>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</si>
  <si>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</si>
  <si>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</si>
  <si>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</si>
  <si>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</si>
  <si>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</si>
  <si>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</si>
  <si>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</si>
  <si>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</si>
  <si>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</si>
  <si>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</si>
  <si>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</si>
  <si>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</si>
  <si>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</si>
  <si>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</si>
  <si>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</si>
  <si>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</si>
  <si>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</si>
  <si>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</si>
  <si>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</si>
  <si>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</si>
  <si>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</si>
  <si>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</si>
  <si>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</si>
  <si>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</si>
  <si>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</si>
  <si>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</si>
  <si>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</si>
  <si>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</si>
  <si>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</si>
  <si>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</si>
  <si>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</si>
  <si>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</si>
  <si>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</si>
  <si>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</si>
  <si>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</si>
  <si>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</si>
  <si>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</si>
  <si>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</si>
  <si>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</si>
  <si>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</si>
  <si>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</si>
  <si>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</si>
  <si>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</si>
  <si>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</si>
  <si>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</si>
  <si>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</si>
  <si>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</si>
  <si>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</si>
  <si>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</si>
  <si>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</si>
  <si>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</si>
  <si>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</si>
  <si>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</si>
  <si>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</si>
  <si>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</si>
  <si>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</si>
  <si>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</si>
  <si>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</si>
  <si>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</si>
  <si>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</si>
  <si>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</si>
  <si>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</si>
  <si>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</si>
  <si>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</si>
  <si>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</si>
  <si>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</si>
  <si>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</si>
  <si>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</si>
  <si>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</si>
  <si>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</si>
  <si>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</si>
  <si>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</si>
  <si>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</si>
  <si>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</si>
  <si>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</si>
  <si>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</si>
  <si>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</si>
  <si>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</si>
  <si>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</si>
  <si>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</si>
  <si>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</si>
  <si>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</si>
  <si>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</si>
  <si>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</si>
  <si>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</si>
  <si>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</si>
  <si>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</si>
  <si>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</si>
  <si>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</si>
  <si>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</si>
  <si>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</si>
  <si>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</si>
  <si>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</si>
  <si>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</si>
  <si>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</si>
  <si>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</si>
  <si>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</si>
  <si>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</si>
  <si>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</si>
  <si>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</si>
  <si>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</si>
  <si>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</si>
  <si>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</si>
  <si>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</si>
  <si>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</si>
  <si>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</si>
  <si>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</si>
  <si>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</si>
  <si>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</si>
  <si>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</si>
  <si>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</si>
  <si>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</si>
  <si>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</si>
  <si>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</si>
  <si>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</si>
  <si>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</si>
  <si>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</si>
  <si>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</si>
  <si>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</si>
  <si>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</si>
  <si>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</si>
  <si>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</si>
  <si>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</si>
  <si>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</si>
  <si>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</si>
  <si>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</si>
  <si>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</si>
  <si>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</si>
  <si>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</si>
  <si>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</si>
  <si>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</si>
  <si>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</si>
  <si>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</si>
  <si>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</si>
  <si>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</si>
  <si>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</si>
  <si>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</si>
  <si>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</si>
  <si>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</si>
  <si>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</si>
  <si>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</si>
  <si>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</si>
  <si>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</si>
  <si>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</si>
  <si>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</si>
  <si>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</si>
  <si>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</si>
  <si>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</si>
  <si>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</si>
  <si>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</si>
  <si>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</si>
  <si>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</si>
  <si>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</si>
  <si>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</si>
  <si>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</si>
  <si>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</si>
  <si>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</si>
  <si>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</si>
  <si>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</si>
  <si>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</si>
  <si>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</si>
  <si>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</si>
  <si>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</si>
  <si>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</si>
  <si>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</si>
  <si>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</si>
  <si>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</si>
  <si>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</si>
  <si>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</si>
  <si>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</si>
  <si>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</si>
  <si>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</si>
  <si>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</si>
  <si>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</si>
  <si>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</si>
  <si>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</si>
  <si>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</si>
  <si>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</si>
  <si>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</si>
  <si>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</si>
  <si>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</si>
  <si>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</si>
  <si>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</si>
  <si>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</si>
  <si>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</si>
  <si>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</si>
  <si>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</si>
  <si>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</si>
  <si>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</si>
  <si>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</si>
  <si>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</si>
  <si>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</si>
  <si>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</si>
  <si>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</si>
  <si>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</si>
  <si>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</si>
  <si>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</si>
  <si>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</si>
  <si>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</si>
  <si>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</si>
  <si>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</si>
  <si>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</si>
  <si>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</si>
  <si>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</si>
  <si>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</si>
  <si>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</si>
  <si>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</si>
  <si>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</si>
  <si>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</si>
  <si>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</si>
  <si>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</si>
  <si>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Spildevandsafgift</t>
  </si>
  <si>
    <t>Afgift til Forsyningssekretariatet</t>
  </si>
  <si>
    <t>Køb af ydelser og produkter fra andre vandselskaber reguleret af vandsektorloven</t>
  </si>
  <si>
    <t>Ingen engangstillæg</t>
  </si>
  <si>
    <t>Ingen anlægsprojekter</t>
  </si>
  <si>
    <t>Anlægsprojekter igangsat senest 1. marts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</si>
</sst>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60" t="s">
        <v>4</v>
      </c>
      <c r="E6" s="60"/>
      <c r="F6" s="60"/>
      <c r="G6" s="60"/>
      <c r="H6" s="3"/>
      <c r="I6" s="1"/>
    </row>
    <row r="7" spans="1:9" ht="15" customHeight="1" x14ac:dyDescent="0.25">
      <c r="A7" s="1"/>
      <c r="B7" s="1"/>
      <c r="C7" s="3"/>
      <c r="D7" s="60"/>
      <c r="E7" s="60"/>
      <c r="F7" s="60"/>
      <c r="G7" s="60"/>
      <c r="H7" s="3"/>
      <c r="I7" s="1"/>
    </row>
    <row r="8" spans="1:9" ht="15.75" x14ac:dyDescent="0.25">
      <c r="A8" s="1"/>
      <c r="B8" s="1"/>
      <c r="C8" s="4"/>
      <c r="D8" s="68" t="s">
        <v>172</v>
      </c>
      <c r="E8" s="68"/>
      <c r="F8" s="68"/>
      <c r="G8" s="6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67" t="s">
        <v>5</v>
      </c>
      <c r="E11" s="67"/>
      <c r="F11" s="67"/>
      <c r="G11" s="6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57" t="s">
        <v>52</v>
      </c>
      <c r="E13" s="58"/>
      <c r="F13" s="58"/>
      <c r="G13" s="59"/>
      <c r="H13" s="1"/>
      <c r="I13" s="1"/>
    </row>
    <row r="14" spans="1:9" x14ac:dyDescent="0.25">
      <c r="A14" s="1"/>
      <c r="B14" s="1"/>
      <c r="C14" s="6" t="s">
        <v>23</v>
      </c>
      <c r="D14" s="57" t="s">
        <v>54</v>
      </c>
      <c r="E14" s="58"/>
      <c r="F14" s="58"/>
      <c r="G14" s="59"/>
      <c r="H14" s="1"/>
      <c r="I14" s="1"/>
    </row>
    <row r="15" spans="1:9" x14ac:dyDescent="0.25">
      <c r="A15" s="1"/>
      <c r="B15" s="1"/>
      <c r="C15" s="6" t="s">
        <v>51</v>
      </c>
      <c r="D15" s="57" t="s">
        <v>135</v>
      </c>
      <c r="E15" s="58"/>
      <c r="F15" s="58"/>
      <c r="G15" s="59"/>
      <c r="H15" s="1"/>
      <c r="I15" s="1"/>
    </row>
    <row r="16" spans="1:9" x14ac:dyDescent="0.25">
      <c r="A16" s="1"/>
      <c r="B16" s="1"/>
      <c r="C16" s="6" t="s">
        <v>53</v>
      </c>
      <c r="D16" s="57" t="s">
        <v>136</v>
      </c>
      <c r="E16" s="58"/>
      <c r="F16" s="58"/>
      <c r="G16" s="59"/>
      <c r="H16" s="1"/>
      <c r="I16" s="1"/>
    </row>
    <row r="17" spans="1:9" x14ac:dyDescent="0.25">
      <c r="A17" s="1"/>
      <c r="B17" s="1"/>
      <c r="C17" s="6" t="s">
        <v>241</v>
      </c>
      <c r="D17" s="57" t="s">
        <v>63</v>
      </c>
      <c r="E17" s="58"/>
      <c r="F17" s="58"/>
      <c r="G17" s="59"/>
      <c r="H17" s="1"/>
      <c r="I17" s="1"/>
    </row>
    <row r="18" spans="1:9" x14ac:dyDescent="0.25">
      <c r="A18" s="1"/>
      <c r="B18" s="1"/>
      <c r="C18" s="6" t="s">
        <v>212</v>
      </c>
      <c r="D18" s="69" t="s">
        <v>180</v>
      </c>
      <c r="E18" s="70"/>
      <c r="F18" s="70"/>
      <c r="G18" s="71"/>
      <c r="H18" s="1"/>
      <c r="I18" s="1"/>
    </row>
    <row r="19" spans="1:9" x14ac:dyDescent="0.25">
      <c r="A19" s="1"/>
      <c r="B19" s="1"/>
      <c r="C19" s="6" t="s">
        <v>213</v>
      </c>
      <c r="D19" s="69" t="s">
        <v>181</v>
      </c>
      <c r="E19" s="70"/>
      <c r="F19" s="70"/>
      <c r="G19" s="71"/>
      <c r="H19" s="1"/>
      <c r="I19" s="1"/>
    </row>
    <row r="20" spans="1:9" x14ac:dyDescent="0.25">
      <c r="A20" s="1"/>
      <c r="B20" s="1"/>
      <c r="C20" s="6" t="s">
        <v>7</v>
      </c>
      <c r="D20" s="69" t="s">
        <v>10</v>
      </c>
      <c r="E20" s="70"/>
      <c r="F20" s="70"/>
      <c r="G20" s="71"/>
      <c r="H20" s="1"/>
      <c r="I20" s="1"/>
    </row>
    <row r="21" spans="1:9" x14ac:dyDescent="0.25">
      <c r="A21" s="1"/>
      <c r="B21" s="1"/>
      <c r="C21" s="6" t="s">
        <v>214</v>
      </c>
      <c r="D21" s="61" t="s">
        <v>17</v>
      </c>
      <c r="E21" s="62"/>
      <c r="F21" s="62"/>
      <c r="G21" s="63"/>
      <c r="H21" s="1"/>
      <c r="I21" s="1"/>
    </row>
    <row r="22" spans="1:9" x14ac:dyDescent="0.25">
      <c r="A22" s="1"/>
      <c r="B22" s="1"/>
      <c r="C22" s="6" t="s">
        <v>142</v>
      </c>
      <c r="D22" s="64" t="s">
        <v>176</v>
      </c>
      <c r="E22" s="65"/>
      <c r="F22" s="65"/>
      <c r="G22" s="66"/>
      <c r="H22" s="1"/>
      <c r="I22" s="1"/>
    </row>
    <row r="23" spans="1:9" x14ac:dyDescent="0.25">
      <c r="A23" s="1"/>
      <c r="B23" s="1"/>
      <c r="C23" s="6" t="s">
        <v>8</v>
      </c>
      <c r="D23" s="64" t="s">
        <v>249</v>
      </c>
      <c r="E23" s="65"/>
      <c r="F23" s="65"/>
      <c r="G23" s="66"/>
      <c r="H23" s="1"/>
      <c r="I23" s="1"/>
    </row>
    <row r="24" spans="1:9" x14ac:dyDescent="0.25">
      <c r="A24" s="1"/>
      <c r="B24" s="1"/>
      <c r="C24" s="6" t="s">
        <v>9</v>
      </c>
      <c r="D24" s="64" t="s">
        <v>55</v>
      </c>
      <c r="E24" s="65"/>
      <c r="F24" s="65"/>
      <c r="G24" s="66"/>
      <c r="H24" s="1"/>
      <c r="I24" s="1"/>
    </row>
    <row r="25" spans="1:9" x14ac:dyDescent="0.25">
      <c r="A25" s="1"/>
      <c r="B25" s="1"/>
      <c r="C25" s="6" t="s">
        <v>215</v>
      </c>
      <c r="D25" s="64" t="s">
        <v>143</v>
      </c>
      <c r="E25" s="65"/>
      <c r="F25" s="65"/>
      <c r="G25" s="66"/>
      <c r="H25" s="1"/>
      <c r="I25" s="1"/>
    </row>
    <row r="26" spans="1:9" x14ac:dyDescent="0.25">
      <c r="A26" s="1"/>
      <c r="B26" s="1"/>
      <c r="C26" s="6" t="s">
        <v>216</v>
      </c>
      <c r="D26" s="64" t="s">
        <v>144</v>
      </c>
      <c r="E26" s="65"/>
      <c r="F26" s="65"/>
      <c r="G26" s="66"/>
      <c r="H26" s="1"/>
      <c r="I26" s="1"/>
    </row>
    <row r="27" spans="1:9" x14ac:dyDescent="0.25">
      <c r="A27" s="1"/>
      <c r="B27" s="1"/>
      <c r="C27" s="6" t="s">
        <v>217</v>
      </c>
      <c r="D27" s="64" t="s">
        <v>145</v>
      </c>
      <c r="E27" s="65"/>
      <c r="F27" s="65"/>
      <c r="G27" s="66"/>
      <c r="H27" s="1"/>
      <c r="I27" s="1"/>
    </row>
    <row r="28" spans="1:9" x14ac:dyDescent="0.25">
      <c r="A28" s="1"/>
      <c r="B28" s="1"/>
      <c r="C28" s="6" t="s">
        <v>22</v>
      </c>
      <c r="D28" s="64" t="s">
        <v>56</v>
      </c>
      <c r="E28" s="65"/>
      <c r="F28" s="65"/>
      <c r="G28" s="66"/>
      <c r="H28" s="1"/>
      <c r="I28" s="1"/>
    </row>
    <row r="29" spans="1:9" x14ac:dyDescent="0.25">
      <c r="A29" s="1"/>
      <c r="B29" s="1"/>
      <c r="C29" s="6" t="s">
        <v>58</v>
      </c>
      <c r="D29" s="64" t="s">
        <v>57</v>
      </c>
      <c r="E29" s="65"/>
      <c r="F29" s="65"/>
      <c r="G29" s="66"/>
      <c r="H29" s="1"/>
      <c r="I29" s="1"/>
    </row>
    <row r="30" spans="1:9" x14ac:dyDescent="0.25">
      <c r="A30" s="1"/>
      <c r="B30" s="1"/>
      <c r="C30" s="6" t="s">
        <v>59</v>
      </c>
      <c r="D30" s="75" t="s">
        <v>11</v>
      </c>
      <c r="E30" s="76"/>
      <c r="F30" s="76"/>
      <c r="G30" s="77"/>
      <c r="H30" s="1"/>
      <c r="I30" s="1"/>
    </row>
    <row r="31" spans="1:9" x14ac:dyDescent="0.25">
      <c r="A31" s="1"/>
      <c r="B31" s="1"/>
      <c r="C31" s="6" t="s">
        <v>175</v>
      </c>
      <c r="D31" s="72" t="s">
        <v>207</v>
      </c>
      <c r="E31" s="73"/>
      <c r="F31" s="73"/>
      <c r="G31" s="74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/6YwryRhxZ5eYHgjOY4qf5BOcwNBBrLXUv1rP1mt1JCFwxaRgKNqSrw2IOrryYMXj2e3BKhpHCfSC8/b+J13mQ==" saltValue="3RZ2KI0l5f0ofQgzTUlZvQ==" spinCount="100000" sheet="1" objects="1" scenarios="1"/>
  <mergeCells count="22"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49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8" t="s">
        <v>220</v>
      </c>
      <c r="C3" s="78"/>
      <c r="D3" s="78"/>
      <c r="E3" s="1"/>
      <c r="F3" s="1"/>
    </row>
    <row r="4" spans="1:6" ht="15" customHeight="1" x14ac:dyDescent="0.25">
      <c r="A4" s="1"/>
      <c r="B4" s="78"/>
      <c r="C4" s="78"/>
      <c r="D4" s="78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93" t="s">
        <v>66</v>
      </c>
      <c r="C8" s="94"/>
      <c r="D8" s="95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4" t="s">
        <v>259</v>
      </c>
      <c r="C10" s="9">
        <v>1285498</v>
      </c>
      <c r="D10" s="14" t="s">
        <v>3</v>
      </c>
      <c r="E10" s="1"/>
      <c r="F10" s="1"/>
    </row>
    <row r="11" spans="1:6" x14ac:dyDescent="0.25">
      <c r="A11" s="1"/>
      <c r="B11" s="54" t="s">
        <v>260</v>
      </c>
      <c r="C11" s="9">
        <v>38842</v>
      </c>
      <c r="D11" s="14" t="s">
        <v>3</v>
      </c>
      <c r="E11" s="1"/>
      <c r="F11" s="1"/>
    </row>
    <row r="12" spans="1:6" ht="26.25" x14ac:dyDescent="0.25">
      <c r="A12" s="1"/>
      <c r="B12" s="35" t="s">
        <v>261</v>
      </c>
      <c r="C12" s="9">
        <v>77010</v>
      </c>
      <c r="D12" s="14" t="s">
        <v>3</v>
      </c>
      <c r="E12" s="1"/>
      <c r="F12" s="1"/>
    </row>
    <row r="13" spans="1:6" x14ac:dyDescent="0.25">
      <c r="A13" s="1"/>
      <c r="B13" s="40" t="s">
        <v>68</v>
      </c>
      <c r="C13" s="12">
        <f>SUM(C10:C12)</f>
        <v>1401350</v>
      </c>
      <c r="D13" s="13" t="s">
        <v>3</v>
      </c>
      <c r="E13" s="1"/>
      <c r="F13" s="1"/>
    </row>
    <row r="14" spans="1:6" x14ac:dyDescent="0.25">
      <c r="A14" s="1"/>
      <c r="B14" s="40" t="s">
        <v>69</v>
      </c>
      <c r="C14" s="12">
        <f>C13*(1+'Fane 15. Nøgletal'!C12)^2</f>
        <v>1457107.0399215</v>
      </c>
      <c r="D14" s="13" t="s">
        <v>3</v>
      </c>
      <c r="E14" s="1"/>
      <c r="F14" s="1"/>
    </row>
    <row r="15" spans="1:6" x14ac:dyDescent="0.25">
      <c r="A15" s="1"/>
      <c r="B15" s="16"/>
      <c r="C15" s="15"/>
      <c r="D15" s="15"/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93" t="s">
        <v>236</v>
      </c>
      <c r="C17" s="94"/>
      <c r="D17" s="95"/>
      <c r="E17" s="1"/>
      <c r="F17" s="1"/>
    </row>
    <row r="18" spans="1:6" x14ac:dyDescent="0.25">
      <c r="A18" s="1"/>
      <c r="B18" s="54" t="s">
        <v>197</v>
      </c>
      <c r="C18" s="9">
        <v>0</v>
      </c>
      <c r="D18" s="14" t="s">
        <v>3</v>
      </c>
      <c r="E18" s="1"/>
      <c r="F18" s="1"/>
    </row>
    <row r="19" spans="1:6" x14ac:dyDescent="0.25">
      <c r="A19" s="1"/>
      <c r="B19" s="54" t="s">
        <v>198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4" t="s">
        <v>199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4" t="s">
        <v>200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93"/>
      <c r="C22" s="94"/>
      <c r="D22" s="95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93" t="s">
        <v>196</v>
      </c>
      <c r="C25" s="94"/>
      <c r="D25" s="95"/>
      <c r="E25" s="1"/>
      <c r="F25" s="1"/>
    </row>
    <row r="26" spans="1:6" x14ac:dyDescent="0.25">
      <c r="A26" s="1"/>
      <c r="B26" s="54" t="s">
        <v>197</v>
      </c>
      <c r="C26" s="9">
        <v>0</v>
      </c>
      <c r="D26" s="14" t="s">
        <v>3</v>
      </c>
      <c r="E26" s="1"/>
      <c r="F26" s="1"/>
    </row>
    <row r="27" spans="1:6" x14ac:dyDescent="0.25">
      <c r="A27" s="1"/>
      <c r="B27" s="54" t="s">
        <v>198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4" t="s">
        <v>199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4" t="s">
        <v>200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93"/>
      <c r="C30" s="94"/>
      <c r="D30" s="95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sheetProtection algorithmName="SHA-512" hashValue="aBVzFs3h28GgLwkWG0sTPUKkzmytI57OuQX+2NiI7/KE4NGMJcle+pBd5A2/5YC0txIPPGtNzH7s7SXR2b8RvA==" saltValue="7SgXBkIdaiP/g+21Vz+ZkA==" spinCount="100000" sheet="1" objects="1" scenarios="1"/>
  <mergeCells count="6">
    <mergeCell ref="B30:D30"/>
    <mergeCell ref="B3:D4"/>
    <mergeCell ref="B8:D8"/>
    <mergeCell ref="B17:D17"/>
    <mergeCell ref="B25:D25"/>
    <mergeCell ref="B22:D22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3" t="s">
        <v>226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ht="15" customHeight="1" x14ac:dyDescent="0.25">
      <c r="A5" s="1"/>
      <c r="B5" s="52"/>
      <c r="C5" s="52"/>
      <c r="D5" s="52"/>
      <c r="E5" s="52"/>
      <c r="F5" s="52"/>
      <c r="G5" s="1"/>
    </row>
    <row r="6" spans="1:7" ht="15" customHeight="1" x14ac:dyDescent="0.25">
      <c r="A6" s="1"/>
      <c r="B6" s="52"/>
      <c r="C6" s="52"/>
      <c r="D6" s="52"/>
      <c r="E6" s="52"/>
      <c r="F6" s="52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183</v>
      </c>
      <c r="C8" s="94"/>
      <c r="D8" s="94"/>
      <c r="E8" s="94"/>
      <c r="F8" s="95"/>
      <c r="G8" s="1"/>
    </row>
    <row r="9" spans="1:7" x14ac:dyDescent="0.25">
      <c r="A9" s="1"/>
      <c r="B9" s="96" t="s">
        <v>184</v>
      </c>
      <c r="C9" s="97"/>
      <c r="D9" s="98"/>
      <c r="E9" s="9">
        <v>53184174.163348973</v>
      </c>
      <c r="F9" s="14" t="s">
        <v>3</v>
      </c>
      <c r="G9" s="1"/>
    </row>
    <row r="10" spans="1:7" x14ac:dyDescent="0.25">
      <c r="A10" s="1"/>
      <c r="B10" s="96" t="s">
        <v>185</v>
      </c>
      <c r="C10" s="97"/>
      <c r="D10" s="98"/>
      <c r="E10" s="9">
        <v>49452683</v>
      </c>
      <c r="F10" s="14" t="s">
        <v>3</v>
      </c>
      <c r="G10" s="1"/>
    </row>
    <row r="11" spans="1:7" x14ac:dyDescent="0.25">
      <c r="A11" s="1"/>
      <c r="B11" s="96" t="s">
        <v>50</v>
      </c>
      <c r="C11" s="97"/>
      <c r="D11" s="98"/>
      <c r="E11" s="9">
        <v>0</v>
      </c>
      <c r="F11" s="14" t="s">
        <v>3</v>
      </c>
      <c r="G11" s="1"/>
    </row>
    <row r="12" spans="1:7" x14ac:dyDescent="0.25">
      <c r="A12" s="1"/>
      <c r="B12" s="87" t="s">
        <v>186</v>
      </c>
      <c r="C12" s="88"/>
      <c r="D12" s="89"/>
      <c r="E12" s="10">
        <f>E9-(E10-E11)</f>
        <v>3731491.1633489728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0" t="s">
        <v>208</v>
      </c>
      <c r="C14" s="81"/>
      <c r="D14" s="81"/>
      <c r="E14" s="81"/>
      <c r="F14" s="8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93" t="s">
        <v>73</v>
      </c>
      <c r="C17" s="94"/>
      <c r="D17" s="94"/>
      <c r="E17" s="94"/>
      <c r="F17" s="95"/>
      <c r="G17" s="1"/>
    </row>
    <row r="18" spans="1:7" x14ac:dyDescent="0.25">
      <c r="A18" s="1"/>
      <c r="B18" s="96" t="s">
        <v>74</v>
      </c>
      <c r="C18" s="97"/>
      <c r="D18" s="98"/>
      <c r="E18" s="9">
        <v>63225051.325628541</v>
      </c>
      <c r="F18" s="14" t="s">
        <v>3</v>
      </c>
      <c r="G18" s="1"/>
    </row>
    <row r="19" spans="1:7" x14ac:dyDescent="0.25">
      <c r="A19" s="1"/>
      <c r="B19" s="96" t="s">
        <v>75</v>
      </c>
      <c r="C19" s="97"/>
      <c r="D19" s="98"/>
      <c r="E19" s="9">
        <v>55710297</v>
      </c>
      <c r="F19" s="14" t="s">
        <v>3</v>
      </c>
      <c r="G19" s="1"/>
    </row>
    <row r="20" spans="1:7" x14ac:dyDescent="0.25">
      <c r="A20" s="1"/>
      <c r="B20" s="96" t="s">
        <v>50</v>
      </c>
      <c r="C20" s="97"/>
      <c r="D20" s="98"/>
      <c r="E20" s="9">
        <v>0</v>
      </c>
      <c r="F20" s="14" t="s">
        <v>3</v>
      </c>
      <c r="G20" s="1"/>
    </row>
    <row r="21" spans="1:7" x14ac:dyDescent="0.25">
      <c r="A21" s="1"/>
      <c r="B21" s="87" t="s">
        <v>76</v>
      </c>
      <c r="C21" s="88"/>
      <c r="D21" s="89"/>
      <c r="E21" s="10">
        <f>E18-(E19-E20)</f>
        <v>7514754.3256285414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93" t="s">
        <v>179</v>
      </c>
      <c r="C25" s="94"/>
      <c r="D25" s="94"/>
      <c r="E25" s="94"/>
      <c r="F25" s="95"/>
      <c r="G25" s="1"/>
    </row>
    <row r="26" spans="1:7" x14ac:dyDescent="0.25">
      <c r="A26" s="1"/>
      <c r="B26" s="104" t="s">
        <v>174</v>
      </c>
      <c r="C26" s="105"/>
      <c r="D26" s="106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4" t="s">
        <v>204</v>
      </c>
      <c r="C27" s="105"/>
      <c r="D27" s="106"/>
      <c r="E27" s="9">
        <v>2</v>
      </c>
      <c r="F27" s="14" t="s">
        <v>28</v>
      </c>
      <c r="G27" s="1"/>
    </row>
    <row r="28" spans="1:7" x14ac:dyDescent="0.25">
      <c r="A28" s="1"/>
      <c r="B28" s="87" t="s">
        <v>251</v>
      </c>
      <c r="C28" s="88"/>
      <c r="D28" s="89"/>
      <c r="E28" s="10">
        <f>E26/E27</f>
        <v>0</v>
      </c>
      <c r="F28" s="17" t="s">
        <v>3</v>
      </c>
      <c r="G28" s="1"/>
    </row>
    <row r="29" spans="1:7" x14ac:dyDescent="0.25">
      <c r="A29" s="1"/>
      <c r="B29" s="107"/>
      <c r="C29" s="108"/>
      <c r="D29" s="108"/>
      <c r="E29" s="108"/>
      <c r="F29" s="109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W9nd63k+gNxLZ1N6mlXC++ULGXtYHM+WH8dYTgGdEdQNCKoF2Bep8nH8q2WDRtGL5IkAWL+iNr7AUoB+JFTTeQ==" saltValue="w+PRuZcpRxTivNoJ80HHAQ==" spinCount="100000" sheet="1" objects="1" scenarios="1"/>
  <mergeCells count="17">
    <mergeCell ref="B25:F25"/>
    <mergeCell ref="B26:D26"/>
    <mergeCell ref="B29:F29"/>
    <mergeCell ref="B27:D27"/>
    <mergeCell ref="B28:D28"/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83" t="s">
        <v>252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93" t="s">
        <v>177</v>
      </c>
      <c r="C9" s="94"/>
      <c r="D9" s="94"/>
      <c r="E9" s="94"/>
      <c r="F9" s="94"/>
      <c r="G9" s="1"/>
    </row>
    <row r="10" spans="1:7" x14ac:dyDescent="0.25">
      <c r="A10" s="1"/>
      <c r="B10" s="80" t="s">
        <v>201</v>
      </c>
      <c r="C10" s="81"/>
      <c r="D10" s="82"/>
      <c r="E10" s="7">
        <v>0</v>
      </c>
      <c r="F10" s="8" t="s">
        <v>3</v>
      </c>
      <c r="G10" s="1"/>
    </row>
    <row r="11" spans="1:7" x14ac:dyDescent="0.25">
      <c r="A11" s="1"/>
      <c r="B11" s="96" t="s">
        <v>202</v>
      </c>
      <c r="C11" s="97"/>
      <c r="D11" s="98"/>
      <c r="E11" s="7">
        <v>0</v>
      </c>
      <c r="F11" s="8" t="s">
        <v>3</v>
      </c>
      <c r="G11" s="1"/>
    </row>
    <row r="12" spans="1:7" x14ac:dyDescent="0.25">
      <c r="A12" s="1"/>
      <c r="B12" s="87" t="s">
        <v>203</v>
      </c>
      <c r="C12" s="88"/>
      <c r="D12" s="89"/>
      <c r="E12" s="10">
        <f>E11-E10</f>
        <v>0</v>
      </c>
      <c r="F12" s="11" t="s">
        <v>3</v>
      </c>
      <c r="G12" s="1"/>
    </row>
    <row r="13" spans="1:7" x14ac:dyDescent="0.25">
      <c r="A13" s="1"/>
      <c r="B13" s="93" t="s">
        <v>178</v>
      </c>
      <c r="C13" s="94"/>
      <c r="D13" s="94"/>
      <c r="E13" s="94"/>
      <c r="F13" s="94"/>
      <c r="G13" s="1"/>
    </row>
    <row r="14" spans="1:7" x14ac:dyDescent="0.25">
      <c r="A14" s="1"/>
      <c r="B14" s="96" t="s">
        <v>210</v>
      </c>
      <c r="C14" s="97"/>
      <c r="D14" s="98"/>
      <c r="E14" s="9">
        <v>0</v>
      </c>
      <c r="F14" s="8" t="s">
        <v>3</v>
      </c>
      <c r="G14" s="1"/>
    </row>
    <row r="15" spans="1:7" x14ac:dyDescent="0.25">
      <c r="A15" s="1"/>
      <c r="B15" s="80" t="s">
        <v>211</v>
      </c>
      <c r="C15" s="81"/>
      <c r="D15" s="82"/>
      <c r="E15" s="9">
        <v>0</v>
      </c>
      <c r="F15" s="8" t="s">
        <v>3</v>
      </c>
      <c r="G15" s="1"/>
    </row>
    <row r="16" spans="1:7" x14ac:dyDescent="0.25">
      <c r="A16" s="1"/>
      <c r="B16" s="87" t="s">
        <v>203</v>
      </c>
      <c r="C16" s="88"/>
      <c r="D16" s="89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93" t="s">
        <v>173</v>
      </c>
      <c r="C17" s="94"/>
      <c r="D17" s="94"/>
      <c r="E17" s="94"/>
      <c r="F17" s="94"/>
      <c r="G17" s="1"/>
    </row>
    <row r="18" spans="1:7" ht="28.15" customHeight="1" x14ac:dyDescent="0.25">
      <c r="A18" s="1"/>
      <c r="B18" s="80" t="s">
        <v>258</v>
      </c>
      <c r="C18" s="81"/>
      <c r="D18" s="82"/>
      <c r="E18" s="9">
        <v>0</v>
      </c>
      <c r="F18" s="8" t="s">
        <v>3</v>
      </c>
      <c r="G18" s="1"/>
    </row>
    <row r="19" spans="1:7" ht="29.25" customHeight="1" x14ac:dyDescent="0.25">
      <c r="A19" s="1"/>
      <c r="B19" s="90" t="s">
        <v>182</v>
      </c>
      <c r="C19" s="91"/>
      <c r="D19" s="92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cFFEoBdVEqZ8AshAn87+Xa73QfyP8iZty4TJKcLcCGnsU52uffZh7M2lH/C+kqEIFXQCLZd7uhQBhCCqH/xziA==" saltValue="RNV0aKsuZSR1yfn3w7ESCw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253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254</v>
      </c>
      <c r="C8" s="94"/>
      <c r="D8" s="94"/>
      <c r="E8" s="94"/>
      <c r="F8" s="94"/>
      <c r="G8" s="94"/>
      <c r="H8" s="95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6" t="s">
        <v>263</v>
      </c>
      <c r="C10" s="45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93" t="s">
        <v>255</v>
      </c>
      <c r="C11" s="94"/>
      <c r="D11" s="95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Ln94TPGRcrDjIMm80syli4AWmWat3PfsvtVGYSAvaNwhp9LK+JK3tQ5c28WYtMZD5HTWjOOeGNQScOuQtM7DCQ==" saltValue="5GV4H3UDHV52ta4dpTxb/Q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225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0" t="s">
        <v>25</v>
      </c>
      <c r="C9" s="50" t="s">
        <v>16</v>
      </c>
      <c r="D9" s="51"/>
      <c r="E9" s="50" t="s">
        <v>48</v>
      </c>
      <c r="F9" s="39"/>
      <c r="G9" s="1"/>
    </row>
    <row r="10" spans="1:7" x14ac:dyDescent="0.25">
      <c r="A10" s="1"/>
      <c r="B10" s="27" t="s">
        <v>264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40" t="s">
        <v>60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70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FXXB7iHbubdvl0JohcuiKM7/PvEmNLywIzKK0zeFK+4CiBXF1r+n9irtva5cpzWCmktkutGxFvwEWeF9/uCJxA==" saltValue="pZsXPuhL1cU72cLOMCm68Q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224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187</v>
      </c>
      <c r="C8" s="94"/>
      <c r="D8" s="94"/>
      <c r="E8" s="94"/>
      <c r="F8" s="95"/>
      <c r="G8" s="1"/>
    </row>
    <row r="9" spans="1:7" x14ac:dyDescent="0.25">
      <c r="A9" s="1"/>
      <c r="B9" s="50" t="s">
        <v>25</v>
      </c>
      <c r="C9" s="50" t="s">
        <v>16</v>
      </c>
      <c r="D9" s="51"/>
      <c r="E9" s="50" t="s">
        <v>48</v>
      </c>
      <c r="F9" s="39"/>
      <c r="G9" s="1"/>
    </row>
    <row r="10" spans="1:7" x14ac:dyDescent="0.25">
      <c r="A10" s="1"/>
      <c r="B10" s="27" t="s">
        <v>262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93" t="s">
        <v>188</v>
      </c>
      <c r="C16" s="94"/>
      <c r="D16" s="94"/>
      <c r="E16" s="94"/>
      <c r="F16" s="95"/>
      <c r="G16" s="1"/>
    </row>
    <row r="17" spans="1:7" x14ac:dyDescent="0.25">
      <c r="A17" s="1"/>
      <c r="B17" s="50" t="s">
        <v>25</v>
      </c>
      <c r="C17" s="50" t="s">
        <v>16</v>
      </c>
      <c r="D17" s="51"/>
      <c r="E17" s="50" t="s">
        <v>48</v>
      </c>
      <c r="F17" s="39"/>
      <c r="G17" s="1"/>
    </row>
    <row r="18" spans="1:7" x14ac:dyDescent="0.25">
      <c r="A18" s="1"/>
      <c r="B18" s="27" t="s">
        <v>262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93" t="s">
        <v>189</v>
      </c>
      <c r="C24" s="94"/>
      <c r="D24" s="94"/>
      <c r="E24" s="94"/>
      <c r="F24" s="95"/>
      <c r="G24" s="1"/>
    </row>
    <row r="25" spans="1:7" x14ac:dyDescent="0.25">
      <c r="A25" s="1"/>
      <c r="B25" s="50" t="s">
        <v>25</v>
      </c>
      <c r="C25" s="50" t="s">
        <v>16</v>
      </c>
      <c r="D25" s="51"/>
      <c r="E25" s="50" t="s">
        <v>48</v>
      </c>
      <c r="F25" s="39"/>
      <c r="G25" s="1"/>
    </row>
    <row r="26" spans="1:7" x14ac:dyDescent="0.25">
      <c r="A26" s="1"/>
      <c r="B26" s="27" t="s">
        <v>262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93" t="s">
        <v>190</v>
      </c>
      <c r="C32" s="94"/>
      <c r="D32" s="94"/>
      <c r="E32" s="94"/>
      <c r="F32" s="95"/>
      <c r="G32" s="1"/>
    </row>
    <row r="33" spans="1:7" x14ac:dyDescent="0.25">
      <c r="A33" s="1"/>
      <c r="B33" s="50" t="s">
        <v>25</v>
      </c>
      <c r="C33" s="50" t="s">
        <v>16</v>
      </c>
      <c r="D33" s="51"/>
      <c r="E33" s="50" t="s">
        <v>48</v>
      </c>
      <c r="F33" s="39"/>
      <c r="G33" s="1"/>
    </row>
    <row r="34" spans="1:7" x14ac:dyDescent="0.25">
      <c r="A34" s="1"/>
      <c r="B34" s="27" t="s">
        <v>262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VZYX/PeZ8WZiqpWYS0bEOXoVul/MuKEzMb1aaXzzeBmrUIB9D8Y8/YiaXI7a70qD3mnG+ew/pIFJBZz9TRht9A==" saltValue="CATaxBK/rLjYGGkQ033C2w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227</v>
      </c>
      <c r="C3" s="83"/>
      <c r="D3" s="83"/>
      <c r="E3" s="83"/>
      <c r="F3" s="83"/>
      <c r="G3" s="1"/>
    </row>
    <row r="4" spans="1:7" ht="1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83"/>
      <c r="C5" s="83"/>
      <c r="D5" s="83"/>
      <c r="E5" s="83"/>
      <c r="F5" s="8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160</v>
      </c>
      <c r="C8" s="94"/>
      <c r="D8" s="94"/>
      <c r="E8" s="94"/>
      <c r="F8" s="95"/>
      <c r="G8" s="1"/>
    </row>
    <row r="9" spans="1:7" x14ac:dyDescent="0.25">
      <c r="A9" s="1"/>
      <c r="B9" s="110" t="s">
        <v>159</v>
      </c>
      <c r="C9" s="111"/>
      <c r="D9" s="112"/>
      <c r="E9" s="9">
        <v>0</v>
      </c>
      <c r="F9" s="14" t="s">
        <v>3</v>
      </c>
      <c r="G9" s="1"/>
    </row>
    <row r="10" spans="1:7" x14ac:dyDescent="0.25">
      <c r="A10" s="1"/>
      <c r="B10" s="84" t="s">
        <v>10</v>
      </c>
      <c r="C10" s="85"/>
      <c r="D10" s="86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84" t="s">
        <v>39</v>
      </c>
      <c r="C11" s="85"/>
      <c r="D11" s="86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93" t="s">
        <v>164</v>
      </c>
      <c r="C12" s="94"/>
      <c r="D12" s="95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3" t="s">
        <v>161</v>
      </c>
      <c r="C14" s="94"/>
      <c r="D14" s="94"/>
      <c r="E14" s="94"/>
      <c r="F14" s="95"/>
      <c r="G14" s="1"/>
    </row>
    <row r="15" spans="1:7" x14ac:dyDescent="0.25">
      <c r="A15" s="1"/>
      <c r="B15" s="110" t="s">
        <v>159</v>
      </c>
      <c r="C15" s="111"/>
      <c r="D15" s="112"/>
      <c r="E15" s="9">
        <v>0</v>
      </c>
      <c r="F15" s="14" t="s">
        <v>3</v>
      </c>
      <c r="G15" s="1"/>
    </row>
    <row r="16" spans="1:7" x14ac:dyDescent="0.25">
      <c r="A16" s="1"/>
      <c r="B16" s="84" t="s">
        <v>10</v>
      </c>
      <c r="C16" s="85"/>
      <c r="D16" s="86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84" t="s">
        <v>39</v>
      </c>
      <c r="C17" s="85"/>
      <c r="D17" s="86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93" t="s">
        <v>165</v>
      </c>
      <c r="C18" s="94"/>
      <c r="D18" s="95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3" t="s">
        <v>162</v>
      </c>
      <c r="C20" s="94"/>
      <c r="D20" s="94"/>
      <c r="E20" s="94"/>
      <c r="F20" s="95"/>
      <c r="G20" s="1"/>
    </row>
    <row r="21" spans="1:7" x14ac:dyDescent="0.25">
      <c r="A21" s="1"/>
      <c r="B21" s="110" t="s">
        <v>159</v>
      </c>
      <c r="C21" s="111"/>
      <c r="D21" s="112"/>
      <c r="E21" s="9">
        <v>0</v>
      </c>
      <c r="F21" s="14" t="s">
        <v>3</v>
      </c>
      <c r="G21" s="1"/>
    </row>
    <row r="22" spans="1:7" x14ac:dyDescent="0.25">
      <c r="A22" s="1"/>
      <c r="B22" s="84" t="s">
        <v>10</v>
      </c>
      <c r="C22" s="85"/>
      <c r="D22" s="86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84" t="s">
        <v>39</v>
      </c>
      <c r="C23" s="85"/>
      <c r="D23" s="86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93" t="s">
        <v>166</v>
      </c>
      <c r="C24" s="94"/>
      <c r="D24" s="95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3" t="s">
        <v>163</v>
      </c>
      <c r="C26" s="94"/>
      <c r="D26" s="94"/>
      <c r="E26" s="94"/>
      <c r="F26" s="95"/>
      <c r="G26" s="1"/>
    </row>
    <row r="27" spans="1:7" x14ac:dyDescent="0.25">
      <c r="A27" s="1"/>
      <c r="B27" s="110" t="s">
        <v>159</v>
      </c>
      <c r="C27" s="111"/>
      <c r="D27" s="112"/>
      <c r="E27" s="9">
        <v>0</v>
      </c>
      <c r="F27" s="14" t="s">
        <v>3</v>
      </c>
      <c r="G27" s="1"/>
    </row>
    <row r="28" spans="1:7" x14ac:dyDescent="0.25">
      <c r="A28" s="1"/>
      <c r="B28" s="84" t="s">
        <v>10</v>
      </c>
      <c r="C28" s="85"/>
      <c r="D28" s="86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84" t="s">
        <v>39</v>
      </c>
      <c r="C29" s="85"/>
      <c r="D29" s="86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93" t="s">
        <v>167</v>
      </c>
      <c r="C30" s="94"/>
      <c r="D30" s="95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/zZNxxXhLe08vyWLrgPHpY06KMvC/ygEBnx5Krtdnq80n/LF91LgOkjIywtPu2Trcig5LR/u3lz95+yfVvD40Q==" saltValue="svHFpnJdmWa7FmjJuQOo1Q==" spinCount="100000" sheet="1" objects="1" scenarios="1"/>
  <mergeCells count="21"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223</v>
      </c>
      <c r="C3" s="83"/>
      <c r="D3" s="83"/>
      <c r="E3" s="83"/>
      <c r="F3" s="83"/>
      <c r="G3" s="1"/>
    </row>
    <row r="4" spans="1:7" ht="25.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32</v>
      </c>
      <c r="C8" s="94"/>
      <c r="D8" s="94"/>
      <c r="E8" s="94"/>
      <c r="F8" s="95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J2cj4GftuAfcEVvz+m7jVTBbNwhTNiM8beIrhb4TY179ViXp8qv5MJW9+LESTbFM3a81mDY2Qh6QLenlFObuHg==" saltValue="sCsRbMuxDeOlVR3kVB92D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222</v>
      </c>
      <c r="C3" s="83"/>
      <c r="D3" s="83"/>
      <c r="E3" s="83"/>
      <c r="F3" s="83"/>
      <c r="G3" s="1"/>
    </row>
    <row r="4" spans="1:7" ht="25.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93" t="s">
        <v>169</v>
      </c>
      <c r="C8" s="94"/>
      <c r="D8" s="94"/>
      <c r="E8" s="94"/>
      <c r="F8" s="95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93" t="s">
        <v>170</v>
      </c>
      <c r="C14" s="94"/>
      <c r="D14" s="94"/>
      <c r="E14" s="94"/>
      <c r="F14" s="95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93" t="s">
        <v>168</v>
      </c>
      <c r="C20" s="94"/>
      <c r="D20" s="94"/>
      <c r="E20" s="94"/>
      <c r="F20" s="95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93" t="s">
        <v>171</v>
      </c>
      <c r="C26" s="94"/>
      <c r="D26" s="94"/>
      <c r="E26" s="94"/>
      <c r="F26" s="95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bCZGsS4QWaQnMGqFZB7JniCSmSkBa8/sawtGSOZHWLLlFLY2ONjgVwL/UUHkL9ann9B7t6VCo5EewA9j2X1P2w==" saltValue="cI6gzbNp/3SOlF7+TdFTQ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221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18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6" t="s">
        <v>12</v>
      </c>
      <c r="C9" s="97"/>
      <c r="D9" s="97"/>
      <c r="E9" s="97"/>
      <c r="F9" s="98"/>
      <c r="G9" s="9">
        <v>7058662</v>
      </c>
      <c r="H9" s="14" t="s">
        <v>3</v>
      </c>
      <c r="I9" s="1"/>
    </row>
    <row r="10" spans="1:9" x14ac:dyDescent="0.25">
      <c r="A10" s="1"/>
      <c r="B10" s="96" t="s">
        <v>137</v>
      </c>
      <c r="C10" s="97"/>
      <c r="D10" s="97"/>
      <c r="E10" s="97"/>
      <c r="F10" s="98"/>
      <c r="G10" s="9">
        <v>0</v>
      </c>
      <c r="H10" s="14" t="s">
        <v>3</v>
      </c>
      <c r="I10" s="1"/>
    </row>
    <row r="11" spans="1:9" x14ac:dyDescent="0.25">
      <c r="A11" s="1"/>
      <c r="B11" s="96" t="s">
        <v>77</v>
      </c>
      <c r="C11" s="97"/>
      <c r="D11" s="97"/>
      <c r="E11" s="97"/>
      <c r="F11" s="98"/>
      <c r="G11" s="9">
        <v>-7058662</v>
      </c>
      <c r="H11" s="14" t="s">
        <v>3</v>
      </c>
      <c r="I11" s="1"/>
    </row>
    <row r="12" spans="1:9" x14ac:dyDescent="0.25">
      <c r="A12" s="1"/>
      <c r="B12" s="113" t="s">
        <v>15</v>
      </c>
      <c r="C12" s="114"/>
      <c r="D12" s="114"/>
      <c r="E12" s="114"/>
      <c r="F12" s="115"/>
      <c r="G12" s="19">
        <f>(G9+G10)+G11</f>
        <v>0</v>
      </c>
      <c r="H12" s="18" t="s">
        <v>3</v>
      </c>
      <c r="I12" s="1"/>
    </row>
    <row r="13" spans="1:9" x14ac:dyDescent="0.25">
      <c r="A13" s="1"/>
      <c r="B13" s="96" t="s">
        <v>13</v>
      </c>
      <c r="C13" s="97"/>
      <c r="D13" s="97"/>
      <c r="E13" s="97"/>
      <c r="F13" s="98"/>
      <c r="G13" s="9">
        <v>0</v>
      </c>
      <c r="H13" s="14" t="s">
        <v>28</v>
      </c>
      <c r="I13" s="1"/>
    </row>
    <row r="14" spans="1:9" x14ac:dyDescent="0.25">
      <c r="A14" s="1"/>
      <c r="B14" s="93" t="s">
        <v>138</v>
      </c>
      <c r="C14" s="94"/>
      <c r="D14" s="94"/>
      <c r="E14" s="94"/>
      <c r="F14" s="95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HW8sKQRhPQY59DXUdLlJIJEpNIlem2l4x/47wS3zdnwtO5CvREvvXDCc/hdANGLY+HbHiLMtvEUedZNBaQ/jBw==" saltValue="rv9uML8wHifHEw8bUm2gOQ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62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50068042.492862582</v>
      </c>
      <c r="D9" s="8" t="s">
        <v>3</v>
      </c>
      <c r="E9" s="1"/>
    </row>
    <row r="10" spans="1:5" ht="17.100000000000001" customHeight="1" x14ac:dyDescent="0.25">
      <c r="A10" s="1"/>
      <c r="B10" s="53" t="s">
        <v>64</v>
      </c>
      <c r="C10" s="7">
        <f>'Fane 10.1. Varige tillæg'!C12</f>
        <v>0</v>
      </c>
      <c r="D10" s="8" t="s">
        <v>3</v>
      </c>
      <c r="E10" s="1"/>
    </row>
    <row r="11" spans="1:5" ht="17.100000000000001" customHeight="1" x14ac:dyDescent="0.25">
      <c r="A11" s="1"/>
      <c r="B11" s="53" t="s">
        <v>65</v>
      </c>
      <c r="C11" s="9">
        <f>'Fane 10.1. Varige tillæg'!E12</f>
        <v>0</v>
      </c>
      <c r="D11" s="8" t="s">
        <v>3</v>
      </c>
      <c r="E11" s="1"/>
    </row>
    <row r="12" spans="1:5" ht="17.100000000000001" customHeight="1" x14ac:dyDescent="0.25">
      <c r="A12" s="1"/>
      <c r="B12" s="53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53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53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53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53" t="s">
        <v>27</v>
      </c>
      <c r="C16" s="9">
        <f>SUM(C9:C15)*'Fane 15. Nøgletal'!C12</f>
        <v>986340.43710939283</v>
      </c>
      <c r="D16" s="8" t="s">
        <v>3</v>
      </c>
      <c r="E16" s="1"/>
    </row>
    <row r="17" spans="1:5" ht="17.100000000000001" customHeight="1" x14ac:dyDescent="0.25">
      <c r="A17" s="1"/>
      <c r="B17" s="53" t="s">
        <v>10</v>
      </c>
      <c r="C17" s="9">
        <f>-SUM(C9:C16)*'Fane 5. Individuelt eff. krav'!G11</f>
        <v>-483118.45187892369</v>
      </c>
      <c r="D17" s="8" t="s">
        <v>3</v>
      </c>
      <c r="E17" s="1"/>
    </row>
    <row r="18" spans="1:5" ht="17.100000000000001" customHeight="1" x14ac:dyDescent="0.25">
      <c r="A18" s="1"/>
      <c r="B18" s="53" t="s">
        <v>39</v>
      </c>
      <c r="C18" s="9">
        <f>-'Fane 4.1. Gen. krav - drift'!G28</f>
        <v>-332276.87771053147</v>
      </c>
      <c r="D18" s="8" t="s">
        <v>3</v>
      </c>
      <c r="E18" s="1"/>
    </row>
    <row r="19" spans="1:5" ht="17.100000000000001" customHeight="1" x14ac:dyDescent="0.25">
      <c r="A19" s="1"/>
      <c r="B19" s="53" t="s">
        <v>40</v>
      </c>
      <c r="C19" s="9">
        <f>-'Fane 4.2. Gen. krav - anlæg'!G25</f>
        <v>-1003513.2866932288</v>
      </c>
      <c r="D19" s="8" t="s">
        <v>3</v>
      </c>
      <c r="E19" s="1"/>
    </row>
    <row r="20" spans="1:5" ht="17.100000000000001" customHeight="1" x14ac:dyDescent="0.25">
      <c r="A20" s="1"/>
      <c r="B20" s="47" t="s">
        <v>29</v>
      </c>
      <c r="C20" s="10">
        <f>SUM(C9:C19)</f>
        <v>49235474.313689299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omk.'!C14+'Fane 6. Ikke-påvirkelige omk.'!C18+'Fane 6. Ikke-påvirkelige omk.'!C26</f>
        <v>1457107.0399215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7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53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53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7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50692581.353610799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oVsTiAqzAWXdAYtwIFzDblvvSg3hS3jVr3pRxUf5hu0c1l3TcB0DS2b8N8z133cle1OUsEUPWRZgQbWYkTP7lg==" saltValue="cqHGMuZR4kV2nDjVCK+pg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83" t="s">
        <v>248</v>
      </c>
      <c r="C3" s="83"/>
      <c r="D3" s="1"/>
    </row>
    <row r="4" spans="1:4" ht="25.5" customHeight="1" x14ac:dyDescent="0.25">
      <c r="A4" s="1"/>
      <c r="B4" s="83"/>
      <c r="C4" s="8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4" t="s">
        <v>228</v>
      </c>
      <c r="C9" s="28">
        <v>1.2699999999999999E-2</v>
      </c>
      <c r="D9" s="1"/>
    </row>
    <row r="10" spans="1:4" x14ac:dyDescent="0.25">
      <c r="A10" s="1"/>
      <c r="B10" s="54" t="s">
        <v>229</v>
      </c>
      <c r="C10" s="28">
        <v>1.7500000000000002E-2</v>
      </c>
      <c r="D10" s="1"/>
    </row>
    <row r="11" spans="1:4" x14ac:dyDescent="0.25">
      <c r="A11" s="1"/>
      <c r="B11" s="54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4" t="s">
        <v>231</v>
      </c>
      <c r="C17" s="25">
        <v>9.1000000000000004E-3</v>
      </c>
      <c r="D17" s="1"/>
    </row>
    <row r="18" spans="1:4" x14ac:dyDescent="0.25">
      <c r="A18" s="1"/>
      <c r="B18" s="54" t="s">
        <v>232</v>
      </c>
      <c r="C18" s="25">
        <v>1.77E-2</v>
      </c>
      <c r="D18" s="1"/>
    </row>
    <row r="19" spans="1:4" x14ac:dyDescent="0.25">
      <c r="A19" s="1"/>
      <c r="B19" s="54" t="s">
        <v>233</v>
      </c>
      <c r="C19" s="25">
        <v>8.6999999999999994E-3</v>
      </c>
      <c r="D19" s="1"/>
    </row>
    <row r="20" spans="1:4" x14ac:dyDescent="0.25">
      <c r="A20" s="1"/>
      <c r="B20" s="54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4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B2ti+E8F9m//+/23N0WAEHIWmVIHgMZ9udOcx8Fg1sFQzoA62XQvlhLjFstebriI2MUNmzr90ZRv/cilh/Vn1Q==" saltValue="VDzIfwgtBkOe7JzylsNkYQ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82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49235474.313689299</v>
      </c>
      <c r="D9" s="8" t="s">
        <v>3</v>
      </c>
      <c r="E9" s="1"/>
    </row>
    <row r="10" spans="1:5" ht="15" customHeight="1" x14ac:dyDescent="0.25">
      <c r="A10" s="1"/>
      <c r="B10" s="53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53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969938.84397967916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-475084.8034720943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-332046.2775574004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-994221.27548535855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48404060.801154122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Nøgletal'!C12)+'Fane 6. Ikke-påvirkelige omk.'!C19+'Fane 6. Ikke-påvirkelige omk.'!C27</f>
        <v>1485812.0486079536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49889872.849762075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rbKObhCIg7ms9R9gnFqoqUhKb2kSKIfD54gqQBugHCfy5omSBKw9TBVlv0zcUf9xracD+ABVaIG+BeYCs9TCgw==" saltValue="63BSDyHZkP1mjru2FDiPUg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246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48404060.801154122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953559.99778273609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-467062.29671832069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-331815.83744077559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-985015.3034694274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47573727.361308336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Nøgletal'!C12)^2+'Fane 6. Ikke-påvirkelige omk.'!C20+'Fane 6. Ikke-påvirkelige omk.'!C28</f>
        <v>1515082.5459655304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49088809.907273866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5gxOValt5yUxDLsiSHISPBRs6kV4l+8N3CqLErX4aoK7TGIqToG7UtdCvgfClWk46AlD20WNHCP/LeiN4PZZ6Q==" saltValue="Khg9GZWSvgU8L2Ik+TvOt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247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47573727.361308336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937202.42901777418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-459050.21184284787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-331585.55724959169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-975894.57396725845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46744399.447266415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Nøgletal'!C12)^3+'Fane 6. Ikke-påvirkelige omk.'!C21+'Fane 6. Ikke-påvirkelige omk.'!C29</f>
        <v>1544929.6721210512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7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53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53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7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48289329.119387463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/7Tzk1EFJ7WrO8CiKsRZ9Shq/LP+X+YZYC5yEIuF3G+zaJjdZRCsA90dkCyq4FMOF8wa0bt8MNqsTcw0vsx2fA==" saltValue="1j9B9n8Z0quuxZkFjDZk0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3" t="s">
        <v>243</v>
      </c>
      <c r="C3" s="83"/>
      <c r="D3" s="83"/>
      <c r="E3" s="83"/>
      <c r="F3" s="83"/>
      <c r="G3" s="1"/>
    </row>
    <row r="4" spans="1:7" ht="29.25" customHeight="1" x14ac:dyDescent="0.25">
      <c r="A4" s="1"/>
      <c r="B4" s="83"/>
      <c r="C4" s="83"/>
      <c r="D4" s="83"/>
      <c r="E4" s="83"/>
      <c r="F4" s="8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0" t="s">
        <v>79</v>
      </c>
      <c r="C9" s="81"/>
      <c r="D9" s="82"/>
      <c r="E9" s="7">
        <v>50456553.311953641</v>
      </c>
      <c r="F9" s="8" t="s">
        <v>3</v>
      </c>
      <c r="G9" s="1"/>
    </row>
    <row r="10" spans="1:7" ht="15" customHeight="1" x14ac:dyDescent="0.25">
      <c r="A10" s="1"/>
      <c r="B10" s="84" t="s">
        <v>64</v>
      </c>
      <c r="C10" s="85"/>
      <c r="D10" s="86"/>
      <c r="E10" s="7">
        <v>0</v>
      </c>
      <c r="F10" s="8" t="s">
        <v>3</v>
      </c>
      <c r="G10" s="1"/>
    </row>
    <row r="11" spans="1:7" ht="15" customHeight="1" x14ac:dyDescent="0.25">
      <c r="A11" s="1"/>
      <c r="B11" s="84" t="s">
        <v>65</v>
      </c>
      <c r="C11" s="85"/>
      <c r="D11" s="86"/>
      <c r="E11" s="9">
        <v>0</v>
      </c>
      <c r="F11" s="8" t="s">
        <v>3</v>
      </c>
      <c r="G11" s="1"/>
    </row>
    <row r="12" spans="1:7" ht="15" customHeight="1" x14ac:dyDescent="0.25">
      <c r="A12" s="1"/>
      <c r="B12" s="84" t="s">
        <v>42</v>
      </c>
      <c r="C12" s="85"/>
      <c r="D12" s="86"/>
      <c r="E12" s="9">
        <v>0</v>
      </c>
      <c r="F12" s="8" t="s">
        <v>3</v>
      </c>
      <c r="G12" s="1"/>
    </row>
    <row r="13" spans="1:7" ht="15" customHeight="1" x14ac:dyDescent="0.25">
      <c r="A13" s="1"/>
      <c r="B13" s="80" t="s">
        <v>41</v>
      </c>
      <c r="C13" s="81"/>
      <c r="D13" s="82"/>
      <c r="E13" s="9">
        <v>0</v>
      </c>
      <c r="F13" s="8" t="s">
        <v>3</v>
      </c>
      <c r="G13" s="1"/>
    </row>
    <row r="14" spans="1:7" ht="15" customHeight="1" x14ac:dyDescent="0.25">
      <c r="A14" s="1"/>
      <c r="B14" s="80" t="s">
        <v>44</v>
      </c>
      <c r="C14" s="81"/>
      <c r="D14" s="82"/>
      <c r="E14" s="9">
        <v>0</v>
      </c>
      <c r="F14" s="8" t="s">
        <v>3</v>
      </c>
      <c r="G14" s="1"/>
    </row>
    <row r="15" spans="1:7" ht="15" customHeight="1" x14ac:dyDescent="0.25">
      <c r="A15" s="1"/>
      <c r="B15" s="80" t="s">
        <v>43</v>
      </c>
      <c r="C15" s="81"/>
      <c r="D15" s="82"/>
      <c r="E15" s="9">
        <v>0</v>
      </c>
      <c r="F15" s="8" t="s">
        <v>3</v>
      </c>
      <c r="G15" s="1"/>
    </row>
    <row r="16" spans="1:7" ht="15" customHeight="1" x14ac:dyDescent="0.25">
      <c r="A16" s="1"/>
      <c r="B16" s="80" t="s">
        <v>27</v>
      </c>
      <c r="C16" s="81"/>
      <c r="D16" s="82"/>
      <c r="E16" s="9">
        <f>E9*'Fane 15. Nøgletal'!C10+SUM(E10:E15)*'Fane 15. Nøgletal'!C11</f>
        <v>882989.68295918882</v>
      </c>
      <c r="F16" s="8" t="s">
        <v>3</v>
      </c>
      <c r="G16" s="1"/>
    </row>
    <row r="17" spans="1:7" ht="15" customHeight="1" x14ac:dyDescent="0.25">
      <c r="A17" s="1"/>
      <c r="B17" s="80" t="s">
        <v>10</v>
      </c>
      <c r="C17" s="81"/>
      <c r="D17" s="82"/>
      <c r="E17" s="9">
        <f>-SUM(E9:E16)*'Fane 5. Individuelt eff. krav'!G10</f>
        <v>-314594.88322954014</v>
      </c>
      <c r="F17" s="8" t="s">
        <v>3</v>
      </c>
      <c r="G17" s="1"/>
    </row>
    <row r="18" spans="1:7" ht="15" customHeight="1" x14ac:dyDescent="0.25">
      <c r="A18" s="1"/>
      <c r="B18" s="80" t="s">
        <v>39</v>
      </c>
      <c r="C18" s="81"/>
      <c r="D18" s="82"/>
      <c r="E18" s="9">
        <f>-'Fane 4.1. Gen. krav - drift'!G22</f>
        <v>-332507.63801131136</v>
      </c>
      <c r="F18" s="8" t="s">
        <v>3</v>
      </c>
      <c r="G18" s="1"/>
    </row>
    <row r="19" spans="1:7" ht="15" customHeight="1" x14ac:dyDescent="0.25">
      <c r="A19" s="1"/>
      <c r="B19" s="80" t="s">
        <v>40</v>
      </c>
      <c r="C19" s="81"/>
      <c r="D19" s="82"/>
      <c r="E19" s="9">
        <f>-'Fane 4.2. Gen. krav - anlæg'!G19</f>
        <v>-624397.98080939939</v>
      </c>
      <c r="F19" s="8" t="s">
        <v>3</v>
      </c>
      <c r="G19" s="1"/>
    </row>
    <row r="20" spans="1:7" ht="15" customHeight="1" x14ac:dyDescent="0.25">
      <c r="A20" s="1"/>
      <c r="B20" s="47" t="s">
        <v>29</v>
      </c>
      <c r="C20" s="48"/>
      <c r="D20" s="49"/>
      <c r="E20" s="10">
        <f>SUM(E9:E19)</f>
        <v>50068042.492862582</v>
      </c>
      <c r="F20" s="11" t="s">
        <v>3</v>
      </c>
      <c r="G20" s="1"/>
    </row>
    <row r="21" spans="1:7" ht="15" customHeight="1" x14ac:dyDescent="0.25">
      <c r="A21" s="1"/>
      <c r="B21" s="93" t="s">
        <v>145</v>
      </c>
      <c r="C21" s="94"/>
      <c r="D21" s="94"/>
      <c r="E21" s="94"/>
      <c r="F21" s="95"/>
      <c r="G21" s="1"/>
    </row>
    <row r="22" spans="1:7" ht="15" customHeight="1" x14ac:dyDescent="0.25">
      <c r="A22" s="1"/>
      <c r="B22" s="80" t="s">
        <v>239</v>
      </c>
      <c r="C22" s="81"/>
      <c r="D22" s="82"/>
      <c r="E22" s="44">
        <v>0</v>
      </c>
      <c r="F22" s="8" t="s">
        <v>3</v>
      </c>
      <c r="G22" s="1"/>
    </row>
    <row r="23" spans="1:7" ht="15" customHeight="1" x14ac:dyDescent="0.25">
      <c r="A23" s="1"/>
      <c r="B23" s="80" t="s">
        <v>238</v>
      </c>
      <c r="C23" s="81"/>
      <c r="D23" s="82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87" t="s">
        <v>240</v>
      </c>
      <c r="C24" s="88"/>
      <c r="D24" s="89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7" t="s">
        <v>17</v>
      </c>
      <c r="C26" s="88"/>
      <c r="D26" s="89"/>
      <c r="E26" s="10">
        <v>1758389.1597266896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0" t="s">
        <v>134</v>
      </c>
      <c r="C28" s="91"/>
      <c r="D28" s="92"/>
      <c r="E28" s="10">
        <v>6935.6353656355532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0" t="s">
        <v>19</v>
      </c>
      <c r="C30" s="91"/>
      <c r="D30" s="92"/>
      <c r="E30" s="10">
        <v>0</v>
      </c>
      <c r="F30" s="11" t="s">
        <v>3</v>
      </c>
      <c r="G30" s="1"/>
    </row>
    <row r="31" spans="1:7" x14ac:dyDescent="0.25">
      <c r="A31" s="1"/>
      <c r="B31" s="93" t="s">
        <v>24</v>
      </c>
      <c r="C31" s="94"/>
      <c r="D31" s="95"/>
      <c r="E31" s="12">
        <f>SUM(E30,E28,E26,E20,E24)</f>
        <v>51833367.287954904</v>
      </c>
      <c r="F31" s="13" t="s">
        <v>3</v>
      </c>
      <c r="G31" s="1"/>
    </row>
    <row r="32" spans="1:7" ht="27" customHeight="1" x14ac:dyDescent="0.25">
      <c r="A32" s="1"/>
      <c r="B32" s="80" t="s">
        <v>208</v>
      </c>
      <c r="C32" s="81"/>
      <c r="D32" s="81"/>
      <c r="E32" s="81"/>
      <c r="F32" s="82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fLqfHy8RP9OSqUW54gJf11MN+8B0Gpb8uNaM4op5VoMdiKddlg+fwheuKFYSsTE2SUAzGSdNY0nxly/82cYD5w==" saltValue="IIfaVnCqzvGNcIiRtx6+ZQ==" spinCount="100000" sheet="1" objects="1" scenarios="1"/>
  <mergeCells count="21">
    <mergeCell ref="B22:D22"/>
    <mergeCell ref="B23:D23"/>
    <mergeCell ref="B21:F21"/>
    <mergeCell ref="B24:D24"/>
    <mergeCell ref="B30:D30"/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8" t="s">
        <v>218</v>
      </c>
      <c r="C2" s="78"/>
      <c r="D2" s="78"/>
      <c r="E2" s="78"/>
      <c r="F2" s="78"/>
      <c r="G2" s="78"/>
      <c r="H2" s="78"/>
      <c r="I2" s="1"/>
    </row>
    <row r="3" spans="1:9" ht="15" customHeight="1" x14ac:dyDescent="0.25">
      <c r="A3" s="1"/>
      <c r="B3" s="78"/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93" t="s">
        <v>94</v>
      </c>
      <c r="C5" s="94"/>
      <c r="D5" s="94"/>
      <c r="E5" s="94"/>
      <c r="F5" s="94"/>
      <c r="G5" s="94"/>
      <c r="H5" s="95"/>
      <c r="I5" s="1"/>
    </row>
    <row r="6" spans="1:9" x14ac:dyDescent="0.25">
      <c r="A6" s="1"/>
      <c r="B6" s="96" t="s">
        <v>83</v>
      </c>
      <c r="C6" s="97"/>
      <c r="D6" s="97"/>
      <c r="E6" s="97"/>
      <c r="F6" s="98"/>
      <c r="G6" s="26">
        <v>16593658</v>
      </c>
      <c r="H6" s="14" t="s">
        <v>3</v>
      </c>
      <c r="I6" s="1"/>
    </row>
    <row r="7" spans="1:9" x14ac:dyDescent="0.25">
      <c r="A7" s="1"/>
      <c r="B7" s="80" t="s">
        <v>242</v>
      </c>
      <c r="C7" s="81"/>
      <c r="D7" s="81"/>
      <c r="E7" s="81"/>
      <c r="F7" s="82"/>
      <c r="G7" s="26">
        <v>0</v>
      </c>
      <c r="H7" s="14" t="s">
        <v>3</v>
      </c>
      <c r="I7" s="1"/>
    </row>
    <row r="8" spans="1:9" x14ac:dyDescent="0.25">
      <c r="A8" s="1"/>
      <c r="B8" s="96" t="s">
        <v>84</v>
      </c>
      <c r="C8" s="97"/>
      <c r="D8" s="97"/>
      <c r="E8" s="97"/>
      <c r="F8" s="98"/>
      <c r="G8" s="26">
        <f>SUM(G6:G7)*'Fane 15. Nøgletal'!C25</f>
        <v>331873.16000000003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93" t="s">
        <v>95</v>
      </c>
      <c r="C11" s="94"/>
      <c r="D11" s="94"/>
      <c r="E11" s="94"/>
      <c r="F11" s="94"/>
      <c r="G11" s="94"/>
      <c r="H11" s="95"/>
      <c r="I11" s="1"/>
    </row>
    <row r="12" spans="1:9" x14ac:dyDescent="0.25">
      <c r="A12" s="1"/>
      <c r="B12" s="96" t="s">
        <v>85</v>
      </c>
      <c r="C12" s="97"/>
      <c r="D12" s="97"/>
      <c r="E12" s="97"/>
      <c r="F12" s="98"/>
      <c r="G12" s="26">
        <f>(G6-G8)*(1+'Fane 15. Nøgletal'!C10)</f>
        <v>16546366.074700002</v>
      </c>
      <c r="H12" s="14" t="s">
        <v>3</v>
      </c>
      <c r="I12" s="1"/>
    </row>
    <row r="13" spans="1:9" x14ac:dyDescent="0.25">
      <c r="A13" s="1"/>
      <c r="B13" s="96" t="s">
        <v>244</v>
      </c>
      <c r="C13" s="97"/>
      <c r="D13" s="97"/>
      <c r="E13" s="97"/>
      <c r="F13" s="98"/>
      <c r="G13" s="26">
        <v>126533.58990970023</v>
      </c>
      <c r="H13" s="14" t="s">
        <v>3</v>
      </c>
      <c r="I13" s="1"/>
    </row>
    <row r="14" spans="1:9" ht="15" customHeight="1" x14ac:dyDescent="0.25">
      <c r="A14" s="1"/>
      <c r="B14" s="80" t="s">
        <v>237</v>
      </c>
      <c r="C14" s="81"/>
      <c r="D14" s="81"/>
      <c r="E14" s="81"/>
      <c r="F14" s="82"/>
      <c r="G14" s="26">
        <v>0</v>
      </c>
      <c r="H14" s="14" t="s">
        <v>3</v>
      </c>
      <c r="I14" s="1"/>
    </row>
    <row r="15" spans="1:9" x14ac:dyDescent="0.25">
      <c r="A15" s="1"/>
      <c r="B15" s="99" t="s">
        <v>86</v>
      </c>
      <c r="C15" s="100"/>
      <c r="D15" s="100"/>
      <c r="E15" s="100"/>
      <c r="F15" s="101"/>
      <c r="G15" s="26">
        <v>0</v>
      </c>
      <c r="H15" s="14" t="s">
        <v>3</v>
      </c>
      <c r="I15" s="1"/>
    </row>
    <row r="16" spans="1:9" x14ac:dyDescent="0.25">
      <c r="A16" s="1"/>
      <c r="B16" s="96" t="s">
        <v>87</v>
      </c>
      <c r="C16" s="97"/>
      <c r="D16" s="97"/>
      <c r="E16" s="97"/>
      <c r="F16" s="98"/>
      <c r="G16" s="26">
        <f>SUM(G12:G15)*'Fane 15. Nøgletal'!C25</f>
        <v>333457.99329219403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93" t="s">
        <v>96</v>
      </c>
      <c r="C19" s="94"/>
      <c r="D19" s="94"/>
      <c r="E19" s="94"/>
      <c r="F19" s="94"/>
      <c r="G19" s="94"/>
      <c r="H19" s="95"/>
      <c r="I19" s="1"/>
    </row>
    <row r="20" spans="1:9" x14ac:dyDescent="0.25">
      <c r="A20" s="1"/>
      <c r="B20" s="96" t="s">
        <v>88</v>
      </c>
      <c r="C20" s="97"/>
      <c r="D20" s="97"/>
      <c r="E20" s="97"/>
      <c r="F20" s="98"/>
      <c r="G20" s="26">
        <f>(SUM(G12:G13,G15)-(G16))*(1+'Fane 15. Nøgletal'!C10)</f>
        <v>16625381.900565566</v>
      </c>
      <c r="H20" s="14" t="s">
        <v>3</v>
      </c>
      <c r="I20" s="1"/>
    </row>
    <row r="21" spans="1:9" x14ac:dyDescent="0.25">
      <c r="A21" s="1"/>
      <c r="B21" s="99" t="s">
        <v>89</v>
      </c>
      <c r="C21" s="100"/>
      <c r="D21" s="100"/>
      <c r="E21" s="100"/>
      <c r="F21" s="101"/>
      <c r="G21" s="26">
        <v>0</v>
      </c>
      <c r="H21" s="14" t="s">
        <v>3</v>
      </c>
      <c r="I21" s="1"/>
    </row>
    <row r="22" spans="1:9" x14ac:dyDescent="0.25">
      <c r="A22" s="1"/>
      <c r="B22" s="96" t="s">
        <v>90</v>
      </c>
      <c r="C22" s="97"/>
      <c r="D22" s="97"/>
      <c r="E22" s="97"/>
      <c r="F22" s="98"/>
      <c r="G22" s="26">
        <f>SUM(G20:G21)*'Fane 15. Nøgletal'!C25</f>
        <v>332507.63801131136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93" t="s">
        <v>97</v>
      </c>
      <c r="C25" s="94"/>
      <c r="D25" s="94"/>
      <c r="E25" s="94"/>
      <c r="F25" s="94"/>
      <c r="G25" s="94"/>
      <c r="H25" s="95"/>
      <c r="I25" s="1"/>
    </row>
    <row r="26" spans="1:9" x14ac:dyDescent="0.25">
      <c r="A26" s="1"/>
      <c r="B26" s="96" t="s">
        <v>91</v>
      </c>
      <c r="C26" s="97"/>
      <c r="D26" s="97"/>
      <c r="E26" s="97"/>
      <c r="F26" s="98"/>
      <c r="G26" s="26">
        <f>(G20+G21-G22)*(1+'Fane 15. Nøgletal'!C12)</f>
        <v>16613843.885526573</v>
      </c>
      <c r="H26" s="14" t="s">
        <v>3</v>
      </c>
      <c r="I26" s="1"/>
    </row>
    <row r="27" spans="1:9" x14ac:dyDescent="0.25">
      <c r="A27" s="1"/>
      <c r="B27" s="99" t="s">
        <v>92</v>
      </c>
      <c r="C27" s="100"/>
      <c r="D27" s="100"/>
      <c r="E27" s="100"/>
      <c r="F27" s="101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6" t="s">
        <v>93</v>
      </c>
      <c r="C28" s="97"/>
      <c r="D28" s="97"/>
      <c r="E28" s="97"/>
      <c r="F28" s="98"/>
      <c r="G28" s="26">
        <f>(G26+G27)*'Fane 15. Nøgletal'!C25</f>
        <v>332276.87771053147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93" t="s">
        <v>100</v>
      </c>
      <c r="C31" s="94"/>
      <c r="D31" s="94"/>
      <c r="E31" s="94"/>
      <c r="F31" s="94"/>
      <c r="G31" s="94"/>
      <c r="H31" s="95"/>
      <c r="I31" s="1"/>
    </row>
    <row r="32" spans="1:9" x14ac:dyDescent="0.25">
      <c r="A32" s="1"/>
      <c r="B32" s="96" t="s">
        <v>101</v>
      </c>
      <c r="C32" s="97"/>
      <c r="D32" s="97"/>
      <c r="E32" s="97"/>
      <c r="F32" s="98"/>
      <c r="G32" s="26">
        <f>(G26+G27-G28)*(1+'Fane 15. Nøgletal'!C12)</f>
        <v>16602313.87787002</v>
      </c>
      <c r="H32" s="14" t="s">
        <v>3</v>
      </c>
      <c r="I32" s="1"/>
    </row>
    <row r="33" spans="1:9" x14ac:dyDescent="0.25">
      <c r="A33" s="1"/>
      <c r="B33" s="96" t="s">
        <v>149</v>
      </c>
      <c r="C33" s="97"/>
      <c r="D33" s="97"/>
      <c r="E33" s="97"/>
      <c r="F33" s="98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6" t="s">
        <v>102</v>
      </c>
      <c r="C34" s="97"/>
      <c r="D34" s="97"/>
      <c r="E34" s="97"/>
      <c r="F34" s="98"/>
      <c r="G34" s="26">
        <f>(G32+G33)*'Fane 15. Nøgletal'!C25</f>
        <v>332046.2775574004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93" t="s">
        <v>127</v>
      </c>
      <c r="C37" s="94"/>
      <c r="D37" s="94"/>
      <c r="E37" s="94"/>
      <c r="F37" s="94"/>
      <c r="G37" s="94"/>
      <c r="H37" s="95"/>
      <c r="I37" s="1"/>
    </row>
    <row r="38" spans="1:9" x14ac:dyDescent="0.25">
      <c r="A38" s="1"/>
      <c r="B38" s="96" t="s">
        <v>126</v>
      </c>
      <c r="C38" s="97"/>
      <c r="D38" s="97"/>
      <c r="E38" s="97"/>
      <c r="F38" s="98"/>
      <c r="G38" s="26">
        <f>(G32-G34)*(1+'Fane 15. Nøgletal'!C12)</f>
        <v>16590791.872038778</v>
      </c>
      <c r="H38" s="14" t="s">
        <v>3</v>
      </c>
      <c r="I38" s="1"/>
    </row>
    <row r="39" spans="1:9" x14ac:dyDescent="0.25">
      <c r="A39" s="1"/>
      <c r="B39" s="96" t="s">
        <v>150</v>
      </c>
      <c r="C39" s="97"/>
      <c r="D39" s="97"/>
      <c r="E39" s="97"/>
      <c r="F39" s="98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6" t="s">
        <v>103</v>
      </c>
      <c r="C40" s="97"/>
      <c r="D40" s="97"/>
      <c r="E40" s="97"/>
      <c r="F40" s="98"/>
      <c r="G40" s="26">
        <f>(G38+G39)*'Fane 15. Nøgletal'!C25</f>
        <v>331815.83744077559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93" t="s">
        <v>128</v>
      </c>
      <c r="C43" s="94"/>
      <c r="D43" s="94"/>
      <c r="E43" s="94"/>
      <c r="F43" s="94"/>
      <c r="G43" s="94"/>
      <c r="H43" s="95"/>
      <c r="I43" s="1"/>
    </row>
    <row r="44" spans="1:9" x14ac:dyDescent="0.25">
      <c r="A44" s="1"/>
      <c r="B44" s="96" t="s">
        <v>125</v>
      </c>
      <c r="C44" s="97"/>
      <c r="D44" s="97"/>
      <c r="E44" s="97"/>
      <c r="F44" s="98"/>
      <c r="G44" s="26">
        <f>(G38-G40)*(1+'Fane 15. Nøgletal'!C12)</f>
        <v>16579277.862479584</v>
      </c>
      <c r="H44" s="14" t="s">
        <v>3</v>
      </c>
      <c r="I44" s="1"/>
    </row>
    <row r="45" spans="1:9" x14ac:dyDescent="0.25">
      <c r="A45" s="1"/>
      <c r="B45" s="96" t="s">
        <v>151</v>
      </c>
      <c r="C45" s="97"/>
      <c r="D45" s="97"/>
      <c r="E45" s="97"/>
      <c r="F45" s="98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6" t="s">
        <v>104</v>
      </c>
      <c r="C46" s="97"/>
      <c r="D46" s="97"/>
      <c r="E46" s="97"/>
      <c r="F46" s="98"/>
      <c r="G46" s="26">
        <f>(G44+G45)*'Fane 15. Nøgletal'!C25</f>
        <v>331585.55724959169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Y/2f24Er+ccvs3lE0ZhpSHc9hS2ygRd6yXzN2c5inodvjAT1+r0vsVNDPLR3XXmFEuxvcM/M/lD+hgGbiIKp9w==" saltValue="zFIBl3TP5tqB5cYSviOIuA==" spinCount="100000" sheet="1" objects="1" scenarios="1"/>
  <mergeCells count="31"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  <mergeCell ref="B38:F38"/>
    <mergeCell ref="B33:F33"/>
    <mergeCell ref="B34:F34"/>
    <mergeCell ref="B25:H25"/>
    <mergeCell ref="B43:H43"/>
    <mergeCell ref="B44:F44"/>
    <mergeCell ref="B46:F46"/>
    <mergeCell ref="B39:F39"/>
    <mergeCell ref="B45:F45"/>
    <mergeCell ref="B40:F40"/>
    <mergeCell ref="B2:H4"/>
    <mergeCell ref="B5:H5"/>
    <mergeCell ref="B6:F6"/>
    <mergeCell ref="B8:F8"/>
    <mergeCell ref="B12:F12"/>
    <mergeCell ref="B11:H11"/>
    <mergeCell ref="B7:F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2" t="s">
        <v>219</v>
      </c>
      <c r="C2" s="102"/>
      <c r="D2" s="102"/>
      <c r="E2" s="102"/>
      <c r="F2" s="102"/>
      <c r="G2" s="102"/>
      <c r="H2" s="102"/>
      <c r="I2" s="1"/>
    </row>
    <row r="3" spans="1:9" ht="18.75" x14ac:dyDescent="0.3">
      <c r="A3" s="1"/>
      <c r="B3" s="55"/>
      <c r="C3" s="55"/>
      <c r="D3" s="55"/>
      <c r="E3" s="55"/>
      <c r="F3" s="55"/>
      <c r="G3" s="55"/>
      <c r="H3" s="55"/>
      <c r="I3" s="1"/>
    </row>
    <row r="4" spans="1:9" x14ac:dyDescent="0.25">
      <c r="A4" s="1"/>
      <c r="B4" s="93" t="s">
        <v>98</v>
      </c>
      <c r="C4" s="94"/>
      <c r="D4" s="94"/>
      <c r="E4" s="94"/>
      <c r="F4" s="94"/>
      <c r="G4" s="94"/>
      <c r="H4" s="95"/>
      <c r="I4" s="1"/>
    </row>
    <row r="5" spans="1:9" x14ac:dyDescent="0.25">
      <c r="A5" s="1"/>
      <c r="B5" s="96" t="s">
        <v>105</v>
      </c>
      <c r="C5" s="97"/>
      <c r="D5" s="97"/>
      <c r="E5" s="97"/>
      <c r="F5" s="98"/>
      <c r="G5" s="26">
        <v>34868293</v>
      </c>
      <c r="H5" s="14" t="s">
        <v>3</v>
      </c>
      <c r="I5" s="1"/>
    </row>
    <row r="6" spans="1:9" x14ac:dyDescent="0.25">
      <c r="A6" s="1"/>
      <c r="B6" s="96" t="s">
        <v>99</v>
      </c>
      <c r="C6" s="97"/>
      <c r="D6" s="97"/>
      <c r="E6" s="97"/>
      <c r="F6" s="98"/>
      <c r="G6" s="26">
        <f>G5*'Fane 15. Nøgletal'!C17</f>
        <v>317301.46630000003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93" t="s">
        <v>106</v>
      </c>
      <c r="C9" s="94"/>
      <c r="D9" s="94"/>
      <c r="E9" s="94"/>
      <c r="F9" s="94"/>
      <c r="G9" s="94"/>
      <c r="H9" s="95"/>
      <c r="I9" s="1"/>
    </row>
    <row r="10" spans="1:9" x14ac:dyDescent="0.25">
      <c r="A10" s="1"/>
      <c r="B10" s="96" t="s">
        <v>107</v>
      </c>
      <c r="C10" s="97"/>
      <c r="D10" s="97"/>
      <c r="E10" s="97"/>
      <c r="F10" s="98"/>
      <c r="G10" s="26">
        <f>(G5-G6)*(1+'Fane 15. Nøgletal'!C10)</f>
        <v>35155633.885539748</v>
      </c>
      <c r="H10" s="14" t="s">
        <v>3</v>
      </c>
      <c r="I10" s="1"/>
    </row>
    <row r="11" spans="1:9" x14ac:dyDescent="0.25">
      <c r="A11" s="1"/>
      <c r="B11" s="96" t="s">
        <v>245</v>
      </c>
      <c r="C11" s="97"/>
      <c r="D11" s="97"/>
      <c r="E11" s="97"/>
      <c r="F11" s="98"/>
      <c r="G11" s="26">
        <v>139079.67432447508</v>
      </c>
      <c r="H11" s="14" t="s">
        <v>3</v>
      </c>
      <c r="I11" s="1"/>
    </row>
    <row r="12" spans="1:9" x14ac:dyDescent="0.25">
      <c r="A12" s="1"/>
      <c r="B12" s="99" t="s">
        <v>108</v>
      </c>
      <c r="C12" s="100"/>
      <c r="D12" s="100"/>
      <c r="E12" s="100"/>
      <c r="F12" s="101"/>
      <c r="G12" s="26">
        <v>0</v>
      </c>
      <c r="H12" s="14" t="s">
        <v>3</v>
      </c>
      <c r="I12" s="1"/>
    </row>
    <row r="13" spans="1:9" x14ac:dyDescent="0.25">
      <c r="A13" s="1"/>
      <c r="B13" s="96" t="s">
        <v>109</v>
      </c>
      <c r="C13" s="97"/>
      <c r="D13" s="97"/>
      <c r="E13" s="97"/>
      <c r="F13" s="98"/>
      <c r="G13" s="26">
        <f>SUM(G10:G12)*'Fane 15. Nøgletal'!C18</f>
        <v>624716.43000959675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3" t="s">
        <v>110</v>
      </c>
      <c r="C16" s="94"/>
      <c r="D16" s="94"/>
      <c r="E16" s="94"/>
      <c r="F16" s="94"/>
      <c r="G16" s="94"/>
      <c r="H16" s="95"/>
      <c r="I16" s="1"/>
    </row>
    <row r="17" spans="1:9" x14ac:dyDescent="0.25">
      <c r="A17" s="1"/>
      <c r="B17" s="96" t="s">
        <v>111</v>
      </c>
      <c r="C17" s="97"/>
      <c r="D17" s="97"/>
      <c r="E17" s="97"/>
      <c r="F17" s="98"/>
      <c r="G17" s="26">
        <f>(SUM(G10:G12)-G13)*(1+'Fane 15. Nøgletal'!C10)</f>
        <v>35276722.079627082</v>
      </c>
      <c r="H17" s="14" t="s">
        <v>3</v>
      </c>
      <c r="I17" s="1"/>
    </row>
    <row r="18" spans="1:9" x14ac:dyDescent="0.25">
      <c r="A18" s="1"/>
      <c r="B18" s="99" t="s">
        <v>112</v>
      </c>
      <c r="C18" s="100"/>
      <c r="D18" s="100"/>
      <c r="E18" s="100"/>
      <c r="F18" s="101"/>
      <c r="G18" s="26">
        <v>0</v>
      </c>
      <c r="H18" s="14" t="s">
        <v>3</v>
      </c>
      <c r="I18" s="1"/>
    </row>
    <row r="19" spans="1:9" x14ac:dyDescent="0.25">
      <c r="A19" s="1"/>
      <c r="B19" s="96" t="s">
        <v>113</v>
      </c>
      <c r="C19" s="97"/>
      <c r="D19" s="97"/>
      <c r="E19" s="97"/>
      <c r="F19" s="98"/>
      <c r="G19" s="26">
        <f>G17*'Fane 15. Nøgletal'!C18+G18*'Fane 15. Nøgletal'!C19</f>
        <v>624397.98080939939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93" t="s">
        <v>114</v>
      </c>
      <c r="C22" s="94"/>
      <c r="D22" s="94"/>
      <c r="E22" s="94"/>
      <c r="F22" s="94"/>
      <c r="G22" s="94"/>
      <c r="H22" s="95"/>
      <c r="I22" s="1"/>
    </row>
    <row r="23" spans="1:9" x14ac:dyDescent="0.25">
      <c r="A23" s="1"/>
      <c r="B23" s="96" t="s">
        <v>115</v>
      </c>
      <c r="C23" s="97"/>
      <c r="D23" s="97"/>
      <c r="E23" s="97"/>
      <c r="F23" s="98"/>
      <c r="G23" s="26">
        <f>(G17+G18-G19)*(1+'Fane 15. Nøgletal'!C12)</f>
        <v>35334974.88356439</v>
      </c>
      <c r="H23" s="14" t="s">
        <v>3</v>
      </c>
      <c r="I23" s="1"/>
    </row>
    <row r="24" spans="1:9" x14ac:dyDescent="0.25">
      <c r="A24" s="1"/>
      <c r="B24" s="99" t="s">
        <v>116</v>
      </c>
      <c r="C24" s="100"/>
      <c r="D24" s="100"/>
      <c r="E24" s="100"/>
      <c r="F24" s="101"/>
      <c r="G24" s="26">
        <f>('Fane 2.1. Økonomisk ramme 2020'!C11+'Fane 2.1. Økonomisk ramme 2020'!C13+'Fane 2.1. Økonomisk ramme 2020'!C15)*(1+'Fane 15. Nøgletal'!C12)</f>
        <v>0</v>
      </c>
      <c r="H24" s="14" t="s">
        <v>3</v>
      </c>
      <c r="I24" s="1"/>
    </row>
    <row r="25" spans="1:9" x14ac:dyDescent="0.25">
      <c r="A25" s="1"/>
      <c r="B25" s="96" t="s">
        <v>117</v>
      </c>
      <c r="C25" s="97"/>
      <c r="D25" s="97"/>
      <c r="E25" s="97"/>
      <c r="F25" s="98"/>
      <c r="G25" s="26">
        <f>(G23+G24)*'Fane 15. Nøgletal'!C20</f>
        <v>1003513.2866932288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93" t="s">
        <v>118</v>
      </c>
      <c r="C28" s="94"/>
      <c r="D28" s="94"/>
      <c r="E28" s="94"/>
      <c r="F28" s="94"/>
      <c r="G28" s="94"/>
      <c r="H28" s="95"/>
      <c r="I28" s="1"/>
    </row>
    <row r="29" spans="1:9" x14ac:dyDescent="0.25">
      <c r="A29" s="1"/>
      <c r="B29" s="96" t="s">
        <v>119</v>
      </c>
      <c r="C29" s="97"/>
      <c r="D29" s="97"/>
      <c r="E29" s="97"/>
      <c r="F29" s="98"/>
      <c r="G29" s="26">
        <f>(G23+G24-G25)*(1+'Fane 15. Nøgletal'!C12)</f>
        <v>35007791.390329525</v>
      </c>
      <c r="H29" s="14" t="s">
        <v>3</v>
      </c>
      <c r="I29" s="1"/>
    </row>
    <row r="30" spans="1:9" x14ac:dyDescent="0.25">
      <c r="A30" s="1"/>
      <c r="B30" s="96" t="s">
        <v>155</v>
      </c>
      <c r="C30" s="97"/>
      <c r="D30" s="97"/>
      <c r="E30" s="97"/>
      <c r="F30" s="98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6" t="s">
        <v>120</v>
      </c>
      <c r="C31" s="97"/>
      <c r="D31" s="97"/>
      <c r="E31" s="97"/>
      <c r="F31" s="98"/>
      <c r="G31" s="26">
        <f>(G29+G30)*'Fane 15. Nøgletal'!C20</f>
        <v>994221.27548535855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93" t="s">
        <v>129</v>
      </c>
      <c r="C34" s="94"/>
      <c r="D34" s="94"/>
      <c r="E34" s="94"/>
      <c r="F34" s="94"/>
      <c r="G34" s="94"/>
      <c r="H34" s="95"/>
      <c r="I34" s="1"/>
    </row>
    <row r="35" spans="1:9" x14ac:dyDescent="0.25">
      <c r="A35" s="1"/>
      <c r="B35" s="96" t="s">
        <v>124</v>
      </c>
      <c r="C35" s="97"/>
      <c r="D35" s="97"/>
      <c r="E35" s="97"/>
      <c r="F35" s="98"/>
      <c r="G35" s="26">
        <f>(G29+G30-G31)*(1+'Fane 15. Nøgletal'!C12)</f>
        <v>34683637.446106598</v>
      </c>
      <c r="H35" s="14" t="s">
        <v>3</v>
      </c>
      <c r="I35" s="1"/>
    </row>
    <row r="36" spans="1:9" x14ac:dyDescent="0.25">
      <c r="A36" s="1"/>
      <c r="B36" s="96" t="s">
        <v>156</v>
      </c>
      <c r="C36" s="97"/>
      <c r="D36" s="97"/>
      <c r="E36" s="97"/>
      <c r="F36" s="98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6" t="s">
        <v>121</v>
      </c>
      <c r="C37" s="97"/>
      <c r="D37" s="97"/>
      <c r="E37" s="97"/>
      <c r="F37" s="98"/>
      <c r="G37" s="26">
        <f>(G35+G36)*'Fane 15. Nøgletal'!C20</f>
        <v>985015.3034694274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93" t="s">
        <v>130</v>
      </c>
      <c r="C40" s="94"/>
      <c r="D40" s="94"/>
      <c r="E40" s="94"/>
      <c r="F40" s="94"/>
      <c r="G40" s="94"/>
      <c r="H40" s="95"/>
      <c r="I40" s="1"/>
    </row>
    <row r="41" spans="1:9" x14ac:dyDescent="0.25">
      <c r="A41" s="1"/>
      <c r="B41" s="96" t="s">
        <v>123</v>
      </c>
      <c r="C41" s="97"/>
      <c r="D41" s="97"/>
      <c r="E41" s="97"/>
      <c r="F41" s="98"/>
      <c r="G41" s="26">
        <f>(G35+G36-G37)*(1+'Fane 15. Nøgletal'!C12)</f>
        <v>34362484.998847127</v>
      </c>
      <c r="H41" s="14" t="s">
        <v>3</v>
      </c>
      <c r="I41" s="1"/>
    </row>
    <row r="42" spans="1:9" x14ac:dyDescent="0.25">
      <c r="A42" s="1"/>
      <c r="B42" s="96" t="s">
        <v>157</v>
      </c>
      <c r="C42" s="97"/>
      <c r="D42" s="97"/>
      <c r="E42" s="97"/>
      <c r="F42" s="98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6" t="s">
        <v>122</v>
      </c>
      <c r="C43" s="97"/>
      <c r="D43" s="97"/>
      <c r="E43" s="97"/>
      <c r="F43" s="98"/>
      <c r="G43" s="26">
        <f>(G41+G42)*'Fane 15. Nøgletal'!C20</f>
        <v>975894.57396725845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wxeEDm/BENi5ngYTGZBNuRLcJijtU2JV30RiFd1uTrOiwRpBeLC9U3QsX3hbJD5OFlUp21yvwMk0w6rFgQSdZQ==" saltValue="bynADNz4twV6htaMT+/sOQ==" spinCount="100000" sheet="1" objects="1" scenarios="1"/>
  <mergeCells count="29"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148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10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6" t="s">
        <v>131</v>
      </c>
      <c r="C9" s="97"/>
      <c r="D9" s="97"/>
      <c r="E9" s="97"/>
      <c r="F9" s="98"/>
      <c r="G9" s="25">
        <v>4.5578747700528383E-3</v>
      </c>
      <c r="H9" s="14"/>
      <c r="I9" s="1"/>
    </row>
    <row r="10" spans="1:9" x14ac:dyDescent="0.25">
      <c r="A10" s="1"/>
      <c r="B10" s="96" t="s">
        <v>132</v>
      </c>
      <c r="C10" s="97"/>
      <c r="D10" s="97"/>
      <c r="E10" s="97"/>
      <c r="F10" s="98"/>
      <c r="G10" s="25">
        <v>6.1277304953944161E-3</v>
      </c>
      <c r="H10" s="14"/>
      <c r="I10" s="1"/>
    </row>
    <row r="11" spans="1:9" x14ac:dyDescent="0.25">
      <c r="A11" s="1"/>
      <c r="B11" s="96" t="s">
        <v>133</v>
      </c>
      <c r="C11" s="97"/>
      <c r="D11" s="97"/>
      <c r="E11" s="97"/>
      <c r="F11" s="98"/>
      <c r="G11" s="43">
        <v>9.4628203134212059E-3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3" t="s">
        <v>78</v>
      </c>
      <c r="C14" s="103"/>
      <c r="D14" s="103"/>
      <c r="E14" s="103"/>
      <c r="F14" s="103"/>
      <c r="G14" s="103"/>
      <c r="H14" s="103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U1s6OhblX/xkW9Mqvrq3LBSyYcwynKMH9WNF/p+whQzCE5hDFnGKGF4TDDKqZ1q7kli8btE40dAoTheDvcydbA==" saltValue="oK0x7N75mQfzJ3zAMZtK6Q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2019-10-15T08:58:04Z</dcterms:modified>
</cp:coreProperties>
</file>