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Vejen Renseanlæg (S101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9" i="40" l="1"/>
  <c r="E16" i="40" l="1"/>
  <c r="E12" i="40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11" i="11" l="1"/>
  <c r="C10" i="37" s="1"/>
  <c r="C11" i="37" s="1"/>
  <c r="C12" i="37" s="1"/>
  <c r="C10" i="2" s="1"/>
  <c r="G11" i="11"/>
  <c r="E11" i="21" l="1"/>
  <c r="C11" i="21"/>
  <c r="E11" i="29"/>
  <c r="C11" i="29"/>
  <c r="C14" i="19"/>
  <c r="C15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1" i="11"/>
  <c r="E10" i="37" s="1"/>
  <c r="E11" i="37" s="1"/>
  <c r="E12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<sst xmlns="http://schemas.openxmlformats.org/spreadsheetml/2006/main" count="667" uniqueCount="266">
  <si>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</si>
  <si>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</si>
  <si>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</si>
  <si>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</si>
  <si>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</si>
  <si>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</si>
  <si>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</si>
  <si>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</si>
  <si>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</si>
  <si>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</si>
  <si>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</si>
  <si>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</si>
  <si>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</si>
  <si>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</si>
  <si>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</si>
  <si>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</si>
  <si>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</si>
  <si>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</si>
  <si>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</si>
  <si>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</si>
  <si>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</si>
  <si>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</si>
  <si>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</si>
  <si>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</si>
  <si>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</si>
  <si>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</si>
  <si>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</si>
  <si>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</si>
  <si>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</si>
  <si>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</si>
  <si>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</si>
  <si>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</si>
  <si>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</si>
  <si>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</si>
  <si>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</si>
  <si>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</si>
  <si>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</si>
  <si>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</si>
  <si>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</si>
  <si>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</si>
  <si>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</si>
  <si>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</si>
  <si>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</si>
  <si>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</si>
  <si>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</si>
  <si>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</si>
  <si>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</si>
  <si>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</si>
  <si>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</si>
  <si>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</si>
  <si>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</si>
  <si>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</si>
  <si>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</si>
  <si>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</si>
  <si>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</si>
  <si>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</si>
  <si>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</si>
  <si>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</si>
  <si>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</si>
  <si>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</si>
  <si>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</si>
  <si>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</si>
  <si>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</si>
  <si>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</si>
  <si>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</si>
  <si>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</si>
  <si>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</si>
  <si>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</si>
  <si>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</si>
  <si>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</si>
  <si>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</si>
  <si>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</si>
  <si>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</si>
  <si>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</si>
  <si>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</si>
  <si>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</si>
  <si>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</si>
  <si>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</si>
  <si>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</si>
  <si>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</si>
  <si>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</si>
  <si>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</si>
  <si>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</si>
  <si>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</si>
  <si>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</si>
  <si>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</si>
  <si>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</si>
  <si>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</si>
  <si>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</si>
  <si>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</si>
  <si>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</si>
  <si>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</si>
  <si>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</si>
  <si>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</si>
  <si>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</si>
  <si>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</si>
  <si>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</si>
  <si>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</si>
  <si>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</si>
  <si>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</si>
  <si>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</si>
  <si>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</si>
  <si>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</si>
  <si>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</si>
  <si>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</si>
  <si>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</si>
  <si>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</si>
  <si>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</si>
  <si>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</si>
  <si>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</si>
  <si>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</si>
  <si>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</si>
  <si>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</si>
  <si>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</si>
  <si>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</si>
  <si>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</si>
  <si>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</si>
  <si>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</si>
  <si>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</si>
  <si>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</si>
  <si>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</si>
  <si>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</si>
  <si>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</si>
  <si>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</si>
  <si>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</si>
  <si>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</si>
  <si>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</si>
  <si>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</si>
  <si>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</si>
  <si>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</si>
  <si>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</si>
  <si>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</si>
  <si>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</si>
  <si>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</si>
  <si>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</si>
  <si>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</si>
  <si>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</si>
  <si>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</si>
  <si>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</si>
  <si>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</si>
  <si>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</si>
  <si>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</si>
  <si>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</si>
  <si>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</si>
  <si>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</si>
  <si>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</si>
  <si>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</si>
  <si>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</si>
  <si>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</si>
  <si>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</si>
  <si>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</si>
  <si>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</si>
  <si>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</si>
  <si>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</si>
  <si>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</si>
  <si>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</si>
  <si>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</si>
  <si>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</si>
  <si>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</si>
  <si>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</si>
  <si>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</si>
  <si>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</si>
  <si>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</si>
  <si>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</si>
  <si>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</si>
  <si>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</si>
  <si>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</si>
  <si>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</si>
  <si>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</si>
  <si>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</si>
  <si>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</si>
  <si>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</si>
  <si>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</si>
  <si>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</si>
  <si>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</si>
  <si>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</si>
  <si>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</si>
  <si>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</si>
  <si>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</si>
  <si>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</si>
  <si>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</si>
  <si>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</si>
  <si>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</si>
  <si>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</si>
  <si>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</si>
  <si>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</si>
  <si>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</si>
  <si>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</si>
  <si>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</si>
  <si>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</si>
  <si>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</si>
  <si>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</si>
  <si>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</si>
  <si>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</si>
  <si>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</si>
  <si>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</si>
  <si>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</si>
  <si>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</si>
  <si>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</si>
  <si>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</si>
  <si>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</si>
  <si>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</si>
  <si>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</si>
  <si>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</si>
  <si>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</si>
  <si>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</si>
  <si>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</si>
  <si>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</si>
  <si>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</si>
  <si>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</si>
  <si>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</si>
  <si>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</si>
  <si>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</si>
  <si>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</si>
  <si>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</si>
  <si>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</si>
  <si>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</si>
  <si>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</si>
  <si>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</si>
  <si>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</si>
  <si>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</si>
  <si>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</si>
  <si>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</si>
  <si>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</si>
  <si>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</si>
  <si>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</si>
  <si>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</si>
  <si>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</si>
  <si>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</si>
  <si>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</si>
  <si>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</si>
  <si>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</si>
  <si>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</si>
  <si>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</si>
  <si>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</si>
  <si>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</si>
  <si>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</si>
  <si>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</si>
  <si>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</si>
  <si>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</si>
  <si>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</si>
  <si>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</si>
  <si>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</si>
  <si>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</si>
  <si>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</si>
  <si>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</si>
  <si>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</si>
  <si>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</si>
  <si>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</si>
  <si>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</si>
  <si>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</si>
  <si>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</si>
  <si>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</si>
  <si>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</si>
  <si>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</si>
  <si>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</si>
  <si>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</si>
  <si>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</si>
  <si>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</si>
  <si>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</si>
  <si>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</si>
  <si>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</si>
  <si>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</si>
  <si>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>Ingen anlægsprojekter</t>
  </si>
  <si>
    <t>Anlægsprojekter igangsat senest 1. marts 2016</t>
  </si>
  <si>
    <t>Ingen engangstillæg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</si>
</sst>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Protection="1"/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0" t="s">
        <v>4</v>
      </c>
      <c r="E6" s="60"/>
      <c r="F6" s="60"/>
      <c r="G6" s="60"/>
      <c r="H6" s="3"/>
      <c r="I6" s="1"/>
    </row>
    <row r="7" spans="1:9" ht="15" customHeight="1" x14ac:dyDescent="0.25">
      <c r="A7" s="1"/>
      <c r="B7" s="1"/>
      <c r="C7" s="3"/>
      <c r="D7" s="60"/>
      <c r="E7" s="60"/>
      <c r="F7" s="60"/>
      <c r="G7" s="60"/>
      <c r="H7" s="3"/>
      <c r="I7" s="1"/>
    </row>
    <row r="8" spans="1:9" ht="15.75" x14ac:dyDescent="0.25">
      <c r="A8" s="1"/>
      <c r="B8" s="1"/>
      <c r="C8" s="4"/>
      <c r="D8" s="68" t="s">
        <v>172</v>
      </c>
      <c r="E8" s="68"/>
      <c r="F8" s="68"/>
      <c r="G8" s="6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7" t="s">
        <v>5</v>
      </c>
      <c r="E11" s="67"/>
      <c r="F11" s="67"/>
      <c r="G11" s="6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57" t="s">
        <v>52</v>
      </c>
      <c r="E13" s="58"/>
      <c r="F13" s="58"/>
      <c r="G13" s="59"/>
      <c r="H13" s="1"/>
      <c r="I13" s="1"/>
    </row>
    <row r="14" spans="1:9" x14ac:dyDescent="0.25">
      <c r="A14" s="1"/>
      <c r="B14" s="1"/>
      <c r="C14" s="6" t="s">
        <v>23</v>
      </c>
      <c r="D14" s="57" t="s">
        <v>54</v>
      </c>
      <c r="E14" s="58"/>
      <c r="F14" s="58"/>
      <c r="G14" s="59"/>
      <c r="H14" s="1"/>
      <c r="I14" s="1"/>
    </row>
    <row r="15" spans="1:9" x14ac:dyDescent="0.25">
      <c r="A15" s="1"/>
      <c r="B15" s="1"/>
      <c r="C15" s="6" t="s">
        <v>51</v>
      </c>
      <c r="D15" s="57" t="s">
        <v>135</v>
      </c>
      <c r="E15" s="58"/>
      <c r="F15" s="58"/>
      <c r="G15" s="59"/>
      <c r="H15" s="1"/>
      <c r="I15" s="1"/>
    </row>
    <row r="16" spans="1:9" x14ac:dyDescent="0.25">
      <c r="A16" s="1"/>
      <c r="B16" s="1"/>
      <c r="C16" s="6" t="s">
        <v>53</v>
      </c>
      <c r="D16" s="57" t="s">
        <v>136</v>
      </c>
      <c r="E16" s="58"/>
      <c r="F16" s="58"/>
      <c r="G16" s="59"/>
      <c r="H16" s="1"/>
      <c r="I16" s="1"/>
    </row>
    <row r="17" spans="1:9" x14ac:dyDescent="0.25">
      <c r="A17" s="1"/>
      <c r="B17" s="1"/>
      <c r="C17" s="6" t="s">
        <v>241</v>
      </c>
      <c r="D17" s="57" t="s">
        <v>63</v>
      </c>
      <c r="E17" s="58"/>
      <c r="F17" s="58"/>
      <c r="G17" s="59"/>
      <c r="H17" s="1"/>
      <c r="I17" s="1"/>
    </row>
    <row r="18" spans="1:9" x14ac:dyDescent="0.25">
      <c r="A18" s="1"/>
      <c r="B18" s="1"/>
      <c r="C18" s="6" t="s">
        <v>212</v>
      </c>
      <c r="D18" s="69" t="s">
        <v>180</v>
      </c>
      <c r="E18" s="70"/>
      <c r="F18" s="70"/>
      <c r="G18" s="71"/>
      <c r="H18" s="1"/>
      <c r="I18" s="1"/>
    </row>
    <row r="19" spans="1:9" x14ac:dyDescent="0.25">
      <c r="A19" s="1"/>
      <c r="B19" s="1"/>
      <c r="C19" s="6" t="s">
        <v>213</v>
      </c>
      <c r="D19" s="69" t="s">
        <v>181</v>
      </c>
      <c r="E19" s="70"/>
      <c r="F19" s="70"/>
      <c r="G19" s="71"/>
      <c r="H19" s="1"/>
      <c r="I19" s="1"/>
    </row>
    <row r="20" spans="1:9" x14ac:dyDescent="0.25">
      <c r="A20" s="1"/>
      <c r="B20" s="1"/>
      <c r="C20" s="6" t="s">
        <v>7</v>
      </c>
      <c r="D20" s="69" t="s">
        <v>10</v>
      </c>
      <c r="E20" s="70"/>
      <c r="F20" s="70"/>
      <c r="G20" s="71"/>
      <c r="H20" s="1"/>
      <c r="I20" s="1"/>
    </row>
    <row r="21" spans="1:9" x14ac:dyDescent="0.25">
      <c r="A21" s="1"/>
      <c r="B21" s="1"/>
      <c r="C21" s="6" t="s">
        <v>214</v>
      </c>
      <c r="D21" s="61" t="s">
        <v>17</v>
      </c>
      <c r="E21" s="62"/>
      <c r="F21" s="62"/>
      <c r="G21" s="63"/>
      <c r="H21" s="1"/>
      <c r="I21" s="1"/>
    </row>
    <row r="22" spans="1:9" x14ac:dyDescent="0.25">
      <c r="A22" s="1"/>
      <c r="B22" s="1"/>
      <c r="C22" s="6" t="s">
        <v>142</v>
      </c>
      <c r="D22" s="64" t="s">
        <v>176</v>
      </c>
      <c r="E22" s="65"/>
      <c r="F22" s="65"/>
      <c r="G22" s="66"/>
      <c r="H22" s="1"/>
      <c r="I22" s="1"/>
    </row>
    <row r="23" spans="1:9" x14ac:dyDescent="0.25">
      <c r="A23" s="1"/>
      <c r="B23" s="1"/>
      <c r="C23" s="6" t="s">
        <v>8</v>
      </c>
      <c r="D23" s="64" t="s">
        <v>249</v>
      </c>
      <c r="E23" s="65"/>
      <c r="F23" s="65"/>
      <c r="G23" s="66"/>
      <c r="H23" s="1"/>
      <c r="I23" s="1"/>
    </row>
    <row r="24" spans="1:9" x14ac:dyDescent="0.25">
      <c r="A24" s="1"/>
      <c r="B24" s="1"/>
      <c r="C24" s="6" t="s">
        <v>9</v>
      </c>
      <c r="D24" s="64" t="s">
        <v>55</v>
      </c>
      <c r="E24" s="65"/>
      <c r="F24" s="65"/>
      <c r="G24" s="66"/>
      <c r="H24" s="1"/>
      <c r="I24" s="1"/>
    </row>
    <row r="25" spans="1:9" x14ac:dyDescent="0.25">
      <c r="A25" s="1"/>
      <c r="B25" s="1"/>
      <c r="C25" s="6" t="s">
        <v>215</v>
      </c>
      <c r="D25" s="64" t="s">
        <v>143</v>
      </c>
      <c r="E25" s="65"/>
      <c r="F25" s="65"/>
      <c r="G25" s="66"/>
      <c r="H25" s="1"/>
      <c r="I25" s="1"/>
    </row>
    <row r="26" spans="1:9" x14ac:dyDescent="0.25">
      <c r="A26" s="1"/>
      <c r="B26" s="1"/>
      <c r="C26" s="6" t="s">
        <v>216</v>
      </c>
      <c r="D26" s="64" t="s">
        <v>144</v>
      </c>
      <c r="E26" s="65"/>
      <c r="F26" s="65"/>
      <c r="G26" s="66"/>
      <c r="H26" s="1"/>
      <c r="I26" s="1"/>
    </row>
    <row r="27" spans="1:9" x14ac:dyDescent="0.25">
      <c r="A27" s="1"/>
      <c r="B27" s="1"/>
      <c r="C27" s="6" t="s">
        <v>217</v>
      </c>
      <c r="D27" s="64" t="s">
        <v>145</v>
      </c>
      <c r="E27" s="65"/>
      <c r="F27" s="65"/>
      <c r="G27" s="66"/>
      <c r="H27" s="1"/>
      <c r="I27" s="1"/>
    </row>
    <row r="28" spans="1:9" x14ac:dyDescent="0.25">
      <c r="A28" s="1"/>
      <c r="B28" s="1"/>
      <c r="C28" s="6" t="s">
        <v>22</v>
      </c>
      <c r="D28" s="64" t="s">
        <v>56</v>
      </c>
      <c r="E28" s="65"/>
      <c r="F28" s="65"/>
      <c r="G28" s="66"/>
      <c r="H28" s="1"/>
      <c r="I28" s="1"/>
    </row>
    <row r="29" spans="1:9" x14ac:dyDescent="0.25">
      <c r="A29" s="1"/>
      <c r="B29" s="1"/>
      <c r="C29" s="6" t="s">
        <v>58</v>
      </c>
      <c r="D29" s="64" t="s">
        <v>57</v>
      </c>
      <c r="E29" s="65"/>
      <c r="F29" s="65"/>
      <c r="G29" s="66"/>
      <c r="H29" s="1"/>
      <c r="I29" s="1"/>
    </row>
    <row r="30" spans="1:9" x14ac:dyDescent="0.25">
      <c r="A30" s="1"/>
      <c r="B30" s="1"/>
      <c r="C30" s="6" t="s">
        <v>59</v>
      </c>
      <c r="D30" s="75" t="s">
        <v>11</v>
      </c>
      <c r="E30" s="76"/>
      <c r="F30" s="76"/>
      <c r="G30" s="77"/>
      <c r="H30" s="1"/>
      <c r="I30" s="1"/>
    </row>
    <row r="31" spans="1:9" x14ac:dyDescent="0.25">
      <c r="A31" s="1"/>
      <c r="B31" s="1"/>
      <c r="C31" s="6" t="s">
        <v>175</v>
      </c>
      <c r="D31" s="72" t="s">
        <v>207</v>
      </c>
      <c r="E31" s="73"/>
      <c r="F31" s="73"/>
      <c r="G31" s="74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cKzIXU4R7DaMKMkv6s8gXSQlu5Bm2SJyVZKVBUgekEU3DZEUQNstseBwKomm0wPXgZBKBA0aHbDrkw7NT/Vg6Q==" saltValue="qL7xlXyC/1nijwMjtNwOlw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8" t="s">
        <v>220</v>
      </c>
      <c r="C3" s="78"/>
      <c r="D3" s="78"/>
      <c r="E3" s="1"/>
      <c r="F3" s="1"/>
    </row>
    <row r="4" spans="1:6" ht="15" customHeight="1" x14ac:dyDescent="0.25">
      <c r="A4" s="1"/>
      <c r="B4" s="78"/>
      <c r="C4" s="78"/>
      <c r="D4" s="78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3" t="s">
        <v>66</v>
      </c>
      <c r="C8" s="94"/>
      <c r="D8" s="95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3" t="s">
        <v>259</v>
      </c>
      <c r="C10" s="9">
        <v>1369054</v>
      </c>
      <c r="D10" s="14" t="s">
        <v>3</v>
      </c>
      <c r="E10" s="1"/>
      <c r="F10" s="1"/>
    </row>
    <row r="11" spans="1:6" x14ac:dyDescent="0.25">
      <c r="A11" s="1"/>
      <c r="B11" s="53" t="s">
        <v>260</v>
      </c>
      <c r="C11" s="9">
        <v>45568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151402</v>
      </c>
      <c r="D12" s="14" t="s">
        <v>3</v>
      </c>
      <c r="E12" s="1"/>
      <c r="F12" s="1"/>
    </row>
    <row r="13" spans="1:6" x14ac:dyDescent="0.25">
      <c r="A13" s="1"/>
      <c r="B13" s="53" t="s">
        <v>262</v>
      </c>
      <c r="C13" s="9">
        <v>85713</v>
      </c>
      <c r="D13" s="14" t="s">
        <v>3</v>
      </c>
      <c r="E13" s="1"/>
      <c r="F13" s="1"/>
    </row>
    <row r="14" spans="1:6" x14ac:dyDescent="0.25">
      <c r="A14" s="1"/>
      <c r="B14" s="40" t="s">
        <v>68</v>
      </c>
      <c r="C14" s="12">
        <f>SUM(C10:C13)</f>
        <v>1651737</v>
      </c>
      <c r="D14" s="13" t="s">
        <v>3</v>
      </c>
      <c r="E14" s="1"/>
      <c r="F14" s="1"/>
    </row>
    <row r="15" spans="1:6" x14ac:dyDescent="0.25">
      <c r="A15" s="1"/>
      <c r="B15" s="40" t="s">
        <v>69</v>
      </c>
      <c r="C15" s="12">
        <f>C14*(1+'Fane 15. Nøgletal'!C12)^2</f>
        <v>1717456.46041233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93" t="s">
        <v>236</v>
      </c>
      <c r="C18" s="94"/>
      <c r="D18" s="95"/>
      <c r="E18" s="1"/>
      <c r="F18" s="1"/>
    </row>
    <row r="19" spans="1:6" x14ac:dyDescent="0.25">
      <c r="A19" s="1"/>
      <c r="B19" s="53" t="s">
        <v>197</v>
      </c>
      <c r="C19" s="9">
        <v>0</v>
      </c>
      <c r="D19" s="14" t="s">
        <v>3</v>
      </c>
      <c r="E19" s="1"/>
      <c r="F19" s="1"/>
    </row>
    <row r="20" spans="1:6" x14ac:dyDescent="0.25">
      <c r="A20" s="1"/>
      <c r="B20" s="53" t="s">
        <v>198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3" t="s">
        <v>199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53" t="s">
        <v>200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93"/>
      <c r="C23" s="94"/>
      <c r="D23" s="95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93" t="s">
        <v>196</v>
      </c>
      <c r="C26" s="94"/>
      <c r="D26" s="95"/>
      <c r="E26" s="1"/>
      <c r="F26" s="1"/>
    </row>
    <row r="27" spans="1:6" x14ac:dyDescent="0.25">
      <c r="A27" s="1"/>
      <c r="B27" s="53" t="s">
        <v>197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3" t="s">
        <v>198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3" t="s">
        <v>199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3" t="s">
        <v>200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93"/>
      <c r="C31" s="94"/>
      <c r="D31" s="95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wdIoHzgtPB6NGvLQSwPV6H7j/xnWte/1xbZIL3qsCZW/BF4opJF3zDP8dqGS9WHOvM0ZHzZrt75i15eytZDp6A==" saltValue="SOG4rkkaRFPU2QkVo/0CGA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3" t="s">
        <v>226</v>
      </c>
      <c r="C3" s="83"/>
      <c r="D3" s="83"/>
      <c r="E3" s="83"/>
      <c r="F3" s="83"/>
      <c r="G3" s="1"/>
    </row>
    <row r="4" spans="1:7" ht="15" customHeight="1" x14ac:dyDescent="0.25">
      <c r="A4" s="1"/>
      <c r="B4" s="83"/>
      <c r="C4" s="83"/>
      <c r="D4" s="83"/>
      <c r="E4" s="83"/>
      <c r="F4" s="83"/>
      <c r="G4" s="1"/>
    </row>
    <row r="5" spans="1:7" ht="15" customHeight="1" x14ac:dyDescent="0.25">
      <c r="A5" s="1"/>
      <c r="B5" s="51"/>
      <c r="C5" s="51"/>
      <c r="D5" s="51"/>
      <c r="E5" s="51"/>
      <c r="F5" s="51"/>
      <c r="G5" s="1"/>
    </row>
    <row r="6" spans="1:7" ht="15" customHeight="1" x14ac:dyDescent="0.25">
      <c r="A6" s="1"/>
      <c r="B6" s="51"/>
      <c r="C6" s="51"/>
      <c r="D6" s="51"/>
      <c r="E6" s="51"/>
      <c r="F6" s="5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183</v>
      </c>
      <c r="C8" s="94"/>
      <c r="D8" s="94"/>
      <c r="E8" s="94"/>
      <c r="F8" s="95"/>
      <c r="G8" s="1"/>
    </row>
    <row r="9" spans="1:7" x14ac:dyDescent="0.25">
      <c r="A9" s="1"/>
      <c r="B9" s="96" t="s">
        <v>184</v>
      </c>
      <c r="C9" s="97"/>
      <c r="D9" s="98"/>
      <c r="E9" s="9">
        <v>24519380.952349599</v>
      </c>
      <c r="F9" s="14" t="s">
        <v>3</v>
      </c>
      <c r="G9" s="1"/>
    </row>
    <row r="10" spans="1:7" x14ac:dyDescent="0.25">
      <c r="A10" s="1"/>
      <c r="B10" s="96" t="s">
        <v>185</v>
      </c>
      <c r="C10" s="97"/>
      <c r="D10" s="98"/>
      <c r="E10" s="9">
        <v>22011594</v>
      </c>
      <c r="F10" s="14" t="s">
        <v>3</v>
      </c>
      <c r="G10" s="1"/>
    </row>
    <row r="11" spans="1:7" x14ac:dyDescent="0.25">
      <c r="A11" s="1"/>
      <c r="B11" s="96" t="s">
        <v>50</v>
      </c>
      <c r="C11" s="97"/>
      <c r="D11" s="98"/>
      <c r="E11" s="9">
        <v>0</v>
      </c>
      <c r="F11" s="14" t="s">
        <v>3</v>
      </c>
      <c r="G11" s="1"/>
    </row>
    <row r="12" spans="1:7" x14ac:dyDescent="0.25">
      <c r="A12" s="1"/>
      <c r="B12" s="87" t="s">
        <v>186</v>
      </c>
      <c r="C12" s="88"/>
      <c r="D12" s="89"/>
      <c r="E12" s="10">
        <f>E9-(E10-E11)</f>
        <v>2507786.9523495995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0" t="s">
        <v>208</v>
      </c>
      <c r="C14" s="81"/>
      <c r="D14" s="81"/>
      <c r="E14" s="81"/>
      <c r="F14" s="8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3" t="s">
        <v>73</v>
      </c>
      <c r="C17" s="94"/>
      <c r="D17" s="94"/>
      <c r="E17" s="94"/>
      <c r="F17" s="95"/>
      <c r="G17" s="1"/>
    </row>
    <row r="18" spans="1:7" x14ac:dyDescent="0.25">
      <c r="A18" s="1"/>
      <c r="B18" s="96" t="s">
        <v>74</v>
      </c>
      <c r="C18" s="97"/>
      <c r="D18" s="98"/>
      <c r="E18" s="9">
        <v>31417435.424273159</v>
      </c>
      <c r="F18" s="14" t="s">
        <v>3</v>
      </c>
      <c r="G18" s="1"/>
    </row>
    <row r="19" spans="1:7" x14ac:dyDescent="0.25">
      <c r="A19" s="1"/>
      <c r="B19" s="96" t="s">
        <v>75</v>
      </c>
      <c r="C19" s="97"/>
      <c r="D19" s="98"/>
      <c r="E19" s="9">
        <v>21240508</v>
      </c>
      <c r="F19" s="14" t="s">
        <v>3</v>
      </c>
      <c r="G19" s="1"/>
    </row>
    <row r="20" spans="1:7" x14ac:dyDescent="0.25">
      <c r="A20" s="1"/>
      <c r="B20" s="96" t="s">
        <v>50</v>
      </c>
      <c r="C20" s="97"/>
      <c r="D20" s="98"/>
      <c r="E20" s="9">
        <v>0</v>
      </c>
      <c r="F20" s="14" t="s">
        <v>3</v>
      </c>
      <c r="G20" s="1"/>
    </row>
    <row r="21" spans="1:7" x14ac:dyDescent="0.25">
      <c r="A21" s="1"/>
      <c r="B21" s="87" t="s">
        <v>76</v>
      </c>
      <c r="C21" s="88"/>
      <c r="D21" s="89"/>
      <c r="E21" s="10">
        <f>E18-(E19-E20)</f>
        <v>10176927.424273159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3" t="s">
        <v>179</v>
      </c>
      <c r="C25" s="94"/>
      <c r="D25" s="94"/>
      <c r="E25" s="94"/>
      <c r="F25" s="95"/>
      <c r="G25" s="1"/>
    </row>
    <row r="26" spans="1:7" x14ac:dyDescent="0.25">
      <c r="A26" s="1"/>
      <c r="B26" s="104" t="s">
        <v>174</v>
      </c>
      <c r="C26" s="105"/>
      <c r="D26" s="106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4" t="s">
        <v>204</v>
      </c>
      <c r="C27" s="105"/>
      <c r="D27" s="106"/>
      <c r="E27" s="9">
        <v>2</v>
      </c>
      <c r="F27" s="14" t="s">
        <v>28</v>
      </c>
      <c r="G27" s="1"/>
    </row>
    <row r="28" spans="1:7" x14ac:dyDescent="0.25">
      <c r="A28" s="1"/>
      <c r="B28" s="87" t="s">
        <v>251</v>
      </c>
      <c r="C28" s="88"/>
      <c r="D28" s="89"/>
      <c r="E28" s="10">
        <f>E26/E27</f>
        <v>0</v>
      </c>
      <c r="F28" s="17" t="s">
        <v>3</v>
      </c>
      <c r="G28" s="1"/>
    </row>
    <row r="29" spans="1:7" x14ac:dyDescent="0.25">
      <c r="A29" s="1"/>
      <c r="B29" s="107"/>
      <c r="C29" s="108"/>
      <c r="D29" s="108"/>
      <c r="E29" s="108"/>
      <c r="F29" s="109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GA/phnt91N3Ed63SNeSMMda/jv/bkgwHMCX+Iw0BrIJaNEAiOWmNfHYTu24Hy5GEj/gV/cUdbmOtB7NVOCNAGg==" saltValue="nRLIEU9wueH1ilt4CZNPMw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3" t="s">
        <v>252</v>
      </c>
      <c r="C3" s="83"/>
      <c r="D3" s="83"/>
      <c r="E3" s="83"/>
      <c r="F3" s="83"/>
      <c r="G3" s="1"/>
    </row>
    <row r="4" spans="1:7" ht="1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3" t="s">
        <v>177</v>
      </c>
      <c r="C9" s="94"/>
      <c r="D9" s="94"/>
      <c r="E9" s="94"/>
      <c r="F9" s="94"/>
      <c r="G9" s="1"/>
    </row>
    <row r="10" spans="1:7" x14ac:dyDescent="0.25">
      <c r="A10" s="1"/>
      <c r="B10" s="80" t="s">
        <v>201</v>
      </c>
      <c r="C10" s="81"/>
      <c r="D10" s="82"/>
      <c r="E10" s="7">
        <v>2867635.5335833337</v>
      </c>
      <c r="F10" s="8" t="s">
        <v>3</v>
      </c>
      <c r="G10" s="1"/>
    </row>
    <row r="11" spans="1:7" x14ac:dyDescent="0.25">
      <c r="A11" s="1"/>
      <c r="B11" s="96" t="s">
        <v>202</v>
      </c>
      <c r="C11" s="97"/>
      <c r="D11" s="98"/>
      <c r="E11" s="7">
        <v>0</v>
      </c>
      <c r="F11" s="8" t="s">
        <v>3</v>
      </c>
      <c r="G11" s="1"/>
    </row>
    <row r="12" spans="1:7" x14ac:dyDescent="0.25">
      <c r="A12" s="1"/>
      <c r="B12" s="87" t="s">
        <v>203</v>
      </c>
      <c r="C12" s="88"/>
      <c r="D12" s="89"/>
      <c r="E12" s="10">
        <f>E11-E10</f>
        <v>-2867635.5335833337</v>
      </c>
      <c r="F12" s="11" t="s">
        <v>3</v>
      </c>
      <c r="G12" s="1"/>
    </row>
    <row r="13" spans="1:7" x14ac:dyDescent="0.25">
      <c r="A13" s="1"/>
      <c r="B13" s="93" t="s">
        <v>178</v>
      </c>
      <c r="C13" s="94"/>
      <c r="D13" s="94"/>
      <c r="E13" s="94"/>
      <c r="F13" s="94"/>
      <c r="G13" s="1"/>
    </row>
    <row r="14" spans="1:7" x14ac:dyDescent="0.25">
      <c r="A14" s="1"/>
      <c r="B14" s="96" t="s">
        <v>210</v>
      </c>
      <c r="C14" s="97"/>
      <c r="D14" s="98"/>
      <c r="E14" s="9">
        <v>0</v>
      </c>
      <c r="F14" s="8" t="s">
        <v>3</v>
      </c>
      <c r="G14" s="1"/>
    </row>
    <row r="15" spans="1:7" x14ac:dyDescent="0.25">
      <c r="A15" s="1"/>
      <c r="B15" s="80" t="s">
        <v>211</v>
      </c>
      <c r="C15" s="81"/>
      <c r="D15" s="82"/>
      <c r="E15" s="9">
        <v>0</v>
      </c>
      <c r="F15" s="8" t="s">
        <v>3</v>
      </c>
      <c r="G15" s="1"/>
    </row>
    <row r="16" spans="1:7" x14ac:dyDescent="0.25">
      <c r="A16" s="1"/>
      <c r="B16" s="87" t="s">
        <v>203</v>
      </c>
      <c r="C16" s="88"/>
      <c r="D16" s="89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3" t="s">
        <v>173</v>
      </c>
      <c r="C17" s="94"/>
      <c r="D17" s="94"/>
      <c r="E17" s="94"/>
      <c r="F17" s="94"/>
      <c r="G17" s="1"/>
    </row>
    <row r="18" spans="1:7" ht="28.15" customHeight="1" x14ac:dyDescent="0.25">
      <c r="A18" s="1"/>
      <c r="B18" s="80" t="s">
        <v>258</v>
      </c>
      <c r="C18" s="81"/>
      <c r="D18" s="82"/>
      <c r="E18" s="9">
        <v>-9296.7999999998137</v>
      </c>
      <c r="F18" s="8" t="s">
        <v>3</v>
      </c>
      <c r="G18" s="1"/>
    </row>
    <row r="19" spans="1:7" ht="29.25" customHeight="1" x14ac:dyDescent="0.25">
      <c r="A19" s="1"/>
      <c r="B19" s="90" t="s">
        <v>182</v>
      </c>
      <c r="C19" s="91"/>
      <c r="D19" s="92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84095.679389038589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-2783539.8541942951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ymcoGJTcvdH/cA865mE9vuCM4uGdyrPII5WqckhYhdYWknEQdphtfeTjgJv6GgZjVIIdVIHrzGnI+k8dGVTJQw==" saltValue="I10gJ+NJETmXT7K747Ymag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253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254</v>
      </c>
      <c r="C8" s="94"/>
      <c r="D8" s="94"/>
      <c r="E8" s="94"/>
      <c r="F8" s="94"/>
      <c r="G8" s="94"/>
      <c r="H8" s="95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5" t="s">
        <v>263</v>
      </c>
      <c r="C10" s="56"/>
      <c r="D10" s="9"/>
      <c r="E10" s="9"/>
      <c r="F10" s="9"/>
      <c r="G10" s="9"/>
      <c r="H10" s="14" t="s">
        <v>3</v>
      </c>
      <c r="I10" s="1"/>
    </row>
    <row r="11" spans="1:9" x14ac:dyDescent="0.25">
      <c r="A11" s="1"/>
      <c r="B11" s="93" t="s">
        <v>255</v>
      </c>
      <c r="C11" s="94"/>
      <c r="D11" s="95"/>
      <c r="E11" s="12">
        <f>SUM(E10:E10)</f>
        <v>0</v>
      </c>
      <c r="F11" s="12">
        <f>SUM(F10:F10)</f>
        <v>0</v>
      </c>
      <c r="G11" s="12">
        <f>SUM(G10:G10)</f>
        <v>0</v>
      </c>
      <c r="H11" s="13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AiHgo04pn3X0ebeTVK0N8+ITpom/wqtBlAyfg/xZUBr4R5/YV5uXQQ97lCUEHKB2+AS5ah3FpwPW1vEJ3vThHQ==" saltValue="PZ2vAUyJdeeHw4ohemxCOA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8" t="s">
        <v>225</v>
      </c>
      <c r="C3" s="78"/>
      <c r="D3" s="78"/>
      <c r="E3" s="78"/>
      <c r="F3" s="78"/>
      <c r="G3" s="1"/>
    </row>
    <row r="4" spans="1:7" ht="15" customHeight="1" x14ac:dyDescent="0.25">
      <c r="A4" s="1"/>
      <c r="B4" s="78"/>
      <c r="C4" s="78"/>
      <c r="D4" s="78"/>
      <c r="E4" s="78"/>
      <c r="F4" s="7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49" t="s">
        <v>25</v>
      </c>
      <c r="C9" s="49" t="s">
        <v>16</v>
      </c>
      <c r="D9" s="50"/>
      <c r="E9" s="49" t="s">
        <v>48</v>
      </c>
      <c r="F9" s="39"/>
      <c r="G9" s="1"/>
    </row>
    <row r="10" spans="1:7" x14ac:dyDescent="0.25">
      <c r="A10" s="1"/>
      <c r="B10" s="27" t="s">
        <v>264</v>
      </c>
      <c r="C10" s="24">
        <f>'Fane 9. Anlægsprojekter'!F11</f>
        <v>0</v>
      </c>
      <c r="D10" s="14" t="s">
        <v>3</v>
      </c>
      <c r="E10" s="9">
        <f>SUM('Fane 9. Anlægsprojekter'!E11,'Fane 9. Anlægsprojekter'!G11)</f>
        <v>0</v>
      </c>
      <c r="F10" s="14" t="s">
        <v>3</v>
      </c>
      <c r="G10" s="1"/>
    </row>
    <row r="11" spans="1:7" x14ac:dyDescent="0.25">
      <c r="A11" s="1"/>
      <c r="B11" s="40" t="s">
        <v>60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70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B99cwcuce27ZIczysq0zPS+8WYln4b38iGtLonDwMVN4RrGz8oR7jv19JPOeXU52U6kHvi/MzSyqh2y2+ZHXsA==" saltValue="Pdk0r+hgk4jfvWXGVj3j+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8" t="s">
        <v>224</v>
      </c>
      <c r="C3" s="78"/>
      <c r="D3" s="78"/>
      <c r="E3" s="78"/>
      <c r="F3" s="78"/>
      <c r="G3" s="1"/>
    </row>
    <row r="4" spans="1:7" ht="15" customHeight="1" x14ac:dyDescent="0.25">
      <c r="A4" s="1"/>
      <c r="B4" s="78"/>
      <c r="C4" s="78"/>
      <c r="D4" s="78"/>
      <c r="E4" s="78"/>
      <c r="F4" s="7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187</v>
      </c>
      <c r="C8" s="94"/>
      <c r="D8" s="94"/>
      <c r="E8" s="94"/>
      <c r="F8" s="95"/>
      <c r="G8" s="1"/>
    </row>
    <row r="9" spans="1:7" x14ac:dyDescent="0.25">
      <c r="A9" s="1"/>
      <c r="B9" s="49" t="s">
        <v>25</v>
      </c>
      <c r="C9" s="49" t="s">
        <v>16</v>
      </c>
      <c r="D9" s="50"/>
      <c r="E9" s="49" t="s">
        <v>48</v>
      </c>
      <c r="F9" s="39"/>
      <c r="G9" s="1"/>
    </row>
    <row r="10" spans="1:7" x14ac:dyDescent="0.25">
      <c r="A10" s="1"/>
      <c r="B10" s="27" t="s">
        <v>265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3" t="s">
        <v>188</v>
      </c>
      <c r="C16" s="94"/>
      <c r="D16" s="94"/>
      <c r="E16" s="94"/>
      <c r="F16" s="95"/>
      <c r="G16" s="1"/>
    </row>
    <row r="17" spans="1:7" x14ac:dyDescent="0.25">
      <c r="A17" s="1"/>
      <c r="B17" s="49" t="s">
        <v>25</v>
      </c>
      <c r="C17" s="49" t="s">
        <v>16</v>
      </c>
      <c r="D17" s="50"/>
      <c r="E17" s="49" t="s">
        <v>48</v>
      </c>
      <c r="F17" s="39"/>
      <c r="G17" s="1"/>
    </row>
    <row r="18" spans="1:7" x14ac:dyDescent="0.25">
      <c r="A18" s="1"/>
      <c r="B18" s="27" t="s">
        <v>265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3" t="s">
        <v>189</v>
      </c>
      <c r="C24" s="94"/>
      <c r="D24" s="94"/>
      <c r="E24" s="94"/>
      <c r="F24" s="95"/>
      <c r="G24" s="1"/>
    </row>
    <row r="25" spans="1:7" x14ac:dyDescent="0.25">
      <c r="A25" s="1"/>
      <c r="B25" s="49" t="s">
        <v>25</v>
      </c>
      <c r="C25" s="49" t="s">
        <v>16</v>
      </c>
      <c r="D25" s="50"/>
      <c r="E25" s="49" t="s">
        <v>48</v>
      </c>
      <c r="F25" s="39"/>
      <c r="G25" s="1"/>
    </row>
    <row r="26" spans="1:7" x14ac:dyDescent="0.25">
      <c r="A26" s="1"/>
      <c r="B26" s="27" t="s">
        <v>265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3" t="s">
        <v>190</v>
      </c>
      <c r="C32" s="94"/>
      <c r="D32" s="94"/>
      <c r="E32" s="94"/>
      <c r="F32" s="95"/>
      <c r="G32" s="1"/>
    </row>
    <row r="33" spans="1:7" x14ac:dyDescent="0.25">
      <c r="A33" s="1"/>
      <c r="B33" s="49" t="s">
        <v>25</v>
      </c>
      <c r="C33" s="49" t="s">
        <v>16</v>
      </c>
      <c r="D33" s="50"/>
      <c r="E33" s="49" t="s">
        <v>48</v>
      </c>
      <c r="F33" s="39"/>
      <c r="G33" s="1"/>
    </row>
    <row r="34" spans="1:7" x14ac:dyDescent="0.25">
      <c r="A34" s="1"/>
      <c r="B34" s="27" t="s">
        <v>265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d0CRBb2FziixGAEhRCW8/0PpKvMu/sJ9859p7bw35/fseJK3lT+h6g4VWsdHBgRIRLKhScl+TUbm93/kEJGZOw==" saltValue="AAFep6e5AiEPUaIiy8EAEA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227</v>
      </c>
      <c r="C3" s="83"/>
      <c r="D3" s="83"/>
      <c r="E3" s="83"/>
      <c r="F3" s="83"/>
      <c r="G3" s="1"/>
    </row>
    <row r="4" spans="1:7" ht="1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83"/>
      <c r="C5" s="83"/>
      <c r="D5" s="83"/>
      <c r="E5" s="83"/>
      <c r="F5" s="83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160</v>
      </c>
      <c r="C8" s="94"/>
      <c r="D8" s="94"/>
      <c r="E8" s="94"/>
      <c r="F8" s="95"/>
      <c r="G8" s="1"/>
    </row>
    <row r="9" spans="1:7" x14ac:dyDescent="0.25">
      <c r="A9" s="1"/>
      <c r="B9" s="110" t="s">
        <v>159</v>
      </c>
      <c r="C9" s="111"/>
      <c r="D9" s="112"/>
      <c r="E9" s="9">
        <v>681521.27614999993</v>
      </c>
      <c r="F9" s="14" t="s">
        <v>3</v>
      </c>
      <c r="G9" s="1"/>
    </row>
    <row r="10" spans="1:7" x14ac:dyDescent="0.25">
      <c r="A10" s="1"/>
      <c r="B10" s="84" t="s">
        <v>10</v>
      </c>
      <c r="C10" s="85"/>
      <c r="D10" s="86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4" t="s">
        <v>39</v>
      </c>
      <c r="C11" s="85"/>
      <c r="D11" s="86"/>
      <c r="E11" s="9">
        <f>-E9*'Fane 15. Nøgletal'!C25</f>
        <v>-13630.425522999998</v>
      </c>
      <c r="F11" s="14" t="s">
        <v>3</v>
      </c>
      <c r="G11" s="1"/>
    </row>
    <row r="12" spans="1:7" x14ac:dyDescent="0.25">
      <c r="A12" s="1"/>
      <c r="B12" s="93" t="s">
        <v>164</v>
      </c>
      <c r="C12" s="94"/>
      <c r="D12" s="95"/>
      <c r="E12" s="12">
        <f>SUM(E9:E11)*(1+'Fane 15. Nøgletal'!C12)^2</f>
        <v>694464.95190192363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3" t="s">
        <v>161</v>
      </c>
      <c r="C14" s="94"/>
      <c r="D14" s="94"/>
      <c r="E14" s="94"/>
      <c r="F14" s="95"/>
      <c r="G14" s="1"/>
    </row>
    <row r="15" spans="1:7" x14ac:dyDescent="0.25">
      <c r="A15" s="1"/>
      <c r="B15" s="110" t="s">
        <v>159</v>
      </c>
      <c r="C15" s="111"/>
      <c r="D15" s="112"/>
      <c r="E15" s="9">
        <v>0</v>
      </c>
      <c r="F15" s="14" t="s">
        <v>3</v>
      </c>
      <c r="G15" s="1"/>
    </row>
    <row r="16" spans="1:7" x14ac:dyDescent="0.25">
      <c r="A16" s="1"/>
      <c r="B16" s="84" t="s">
        <v>10</v>
      </c>
      <c r="C16" s="85"/>
      <c r="D16" s="86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4" t="s">
        <v>39</v>
      </c>
      <c r="C17" s="85"/>
      <c r="D17" s="86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3" t="s">
        <v>165</v>
      </c>
      <c r="C18" s="94"/>
      <c r="D18" s="95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3" t="s">
        <v>162</v>
      </c>
      <c r="C20" s="94"/>
      <c r="D20" s="94"/>
      <c r="E20" s="94"/>
      <c r="F20" s="95"/>
      <c r="G20" s="1"/>
    </row>
    <row r="21" spans="1:7" x14ac:dyDescent="0.25">
      <c r="A21" s="1"/>
      <c r="B21" s="110" t="s">
        <v>159</v>
      </c>
      <c r="C21" s="111"/>
      <c r="D21" s="112"/>
      <c r="E21" s="9">
        <v>0</v>
      </c>
      <c r="F21" s="14" t="s">
        <v>3</v>
      </c>
      <c r="G21" s="1"/>
    </row>
    <row r="22" spans="1:7" x14ac:dyDescent="0.25">
      <c r="A22" s="1"/>
      <c r="B22" s="84" t="s">
        <v>10</v>
      </c>
      <c r="C22" s="85"/>
      <c r="D22" s="86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4" t="s">
        <v>39</v>
      </c>
      <c r="C23" s="85"/>
      <c r="D23" s="86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3" t="s">
        <v>166</v>
      </c>
      <c r="C24" s="94"/>
      <c r="D24" s="95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3" t="s">
        <v>163</v>
      </c>
      <c r="C26" s="94"/>
      <c r="D26" s="94"/>
      <c r="E26" s="94"/>
      <c r="F26" s="95"/>
      <c r="G26" s="1"/>
    </row>
    <row r="27" spans="1:7" x14ac:dyDescent="0.25">
      <c r="A27" s="1"/>
      <c r="B27" s="110" t="s">
        <v>159</v>
      </c>
      <c r="C27" s="111"/>
      <c r="D27" s="112"/>
      <c r="E27" s="9">
        <v>0</v>
      </c>
      <c r="F27" s="14" t="s">
        <v>3</v>
      </c>
      <c r="G27" s="1"/>
    </row>
    <row r="28" spans="1:7" x14ac:dyDescent="0.25">
      <c r="A28" s="1"/>
      <c r="B28" s="84" t="s">
        <v>10</v>
      </c>
      <c r="C28" s="85"/>
      <c r="D28" s="86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4" t="s">
        <v>39</v>
      </c>
      <c r="C29" s="85"/>
      <c r="D29" s="86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3" t="s">
        <v>167</v>
      </c>
      <c r="C30" s="94"/>
      <c r="D30" s="95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X15XAsd+oHCQXvZ3UxUt3I7Ct+x+Z5W7Xijc+nF0LePYSY4JOZ3Y1pdkPeTfcLtshwK4TzJ4rMoTyVWSlMlsYw==" saltValue="UGrFexKX9FyVGeLO2VreKA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223</v>
      </c>
      <c r="C3" s="83"/>
      <c r="D3" s="83"/>
      <c r="E3" s="83"/>
      <c r="F3" s="83"/>
      <c r="G3" s="1"/>
    </row>
    <row r="4" spans="1:7" ht="25.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32</v>
      </c>
      <c r="C8" s="94"/>
      <c r="D8" s="94"/>
      <c r="E8" s="94"/>
      <c r="F8" s="95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09j/0YvsFEnT6Tk/gch7UHfrsxDVCY9GGifVhem4hFoKr8YtcbTb6cs8jeOFbwPlX408eK3/tYVak41jt1aXPA==" saltValue="kQPqgYx5XK6c6rJ8ewlc4A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222</v>
      </c>
      <c r="C3" s="83"/>
      <c r="D3" s="83"/>
      <c r="E3" s="83"/>
      <c r="F3" s="83"/>
      <c r="G3" s="1"/>
    </row>
    <row r="4" spans="1:7" ht="25.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169</v>
      </c>
      <c r="C8" s="94"/>
      <c r="D8" s="94"/>
      <c r="E8" s="94"/>
      <c r="F8" s="95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3" t="s">
        <v>170</v>
      </c>
      <c r="C14" s="94"/>
      <c r="D14" s="94"/>
      <c r="E14" s="94"/>
      <c r="F14" s="95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3" t="s">
        <v>168</v>
      </c>
      <c r="C20" s="94"/>
      <c r="D20" s="94"/>
      <c r="E20" s="94"/>
      <c r="F20" s="95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3" t="s">
        <v>171</v>
      </c>
      <c r="C26" s="94"/>
      <c r="D26" s="94"/>
      <c r="E26" s="94"/>
      <c r="F26" s="95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bWhOU12IXMAXmCuICZ5UCdTSoTgcRUTbqS6Aci9+ID6Pk/j5UCr6F9M7h6GOAxicZnn9VxXzTw97Mk7Xtpza6g==" saltValue="Z2OLlFldx71DPT6iaytq3g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221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18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6" t="s">
        <v>12</v>
      </c>
      <c r="C9" s="97"/>
      <c r="D9" s="97"/>
      <c r="E9" s="97"/>
      <c r="F9" s="98"/>
      <c r="G9" s="9">
        <v>604033.82555209019</v>
      </c>
      <c r="H9" s="14" t="s">
        <v>3</v>
      </c>
      <c r="I9" s="1"/>
    </row>
    <row r="10" spans="1:9" x14ac:dyDescent="0.25">
      <c r="A10" s="1"/>
      <c r="B10" s="96" t="s">
        <v>137</v>
      </c>
      <c r="C10" s="97"/>
      <c r="D10" s="97"/>
      <c r="E10" s="97"/>
      <c r="F10" s="98"/>
      <c r="G10" s="9">
        <v>0</v>
      </c>
      <c r="H10" s="14" t="s">
        <v>3</v>
      </c>
      <c r="I10" s="1"/>
    </row>
    <row r="11" spans="1:9" x14ac:dyDescent="0.25">
      <c r="A11" s="1"/>
      <c r="B11" s="96" t="s">
        <v>77</v>
      </c>
      <c r="C11" s="97"/>
      <c r="D11" s="97"/>
      <c r="E11" s="97"/>
      <c r="F11" s="98"/>
      <c r="G11" s="9">
        <v>-604033.82555209019</v>
      </c>
      <c r="H11" s="14" t="s">
        <v>3</v>
      </c>
      <c r="I11" s="1"/>
    </row>
    <row r="12" spans="1:9" x14ac:dyDescent="0.25">
      <c r="A12" s="1"/>
      <c r="B12" s="113" t="s">
        <v>15</v>
      </c>
      <c r="C12" s="114"/>
      <c r="D12" s="114"/>
      <c r="E12" s="114"/>
      <c r="F12" s="115"/>
      <c r="G12" s="19">
        <f>(G9+G10)+G11</f>
        <v>0</v>
      </c>
      <c r="H12" s="18" t="s">
        <v>3</v>
      </c>
      <c r="I12" s="1"/>
    </row>
    <row r="13" spans="1:9" x14ac:dyDescent="0.25">
      <c r="A13" s="1"/>
      <c r="B13" s="96" t="s">
        <v>13</v>
      </c>
      <c r="C13" s="97"/>
      <c r="D13" s="97"/>
      <c r="E13" s="97"/>
      <c r="F13" s="98"/>
      <c r="G13" s="9">
        <v>0</v>
      </c>
      <c r="H13" s="14" t="s">
        <v>28</v>
      </c>
      <c r="I13" s="1"/>
    </row>
    <row r="14" spans="1:9" x14ac:dyDescent="0.25">
      <c r="A14" s="1"/>
      <c r="B14" s="93" t="s">
        <v>138</v>
      </c>
      <c r="C14" s="94"/>
      <c r="D14" s="94"/>
      <c r="E14" s="94"/>
      <c r="F14" s="95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SzHavrRySDDBSYVKNYa7zMF2smsERrL/rw3XOe1mHknrkPWFJszRDVJ+Mkiefj5qDK2mTF7af/GxDv8DDQes+A==" saltValue="NIoe78toxWiLAFdHWHgG+g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62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21199981.953715283</v>
      </c>
      <c r="D9" s="8" t="s">
        <v>3</v>
      </c>
      <c r="E9" s="1"/>
    </row>
    <row r="10" spans="1:5" ht="17.100000000000001" customHeight="1" x14ac:dyDescent="0.25">
      <c r="A10" s="1"/>
      <c r="B10" s="52" t="s">
        <v>64</v>
      </c>
      <c r="C10" s="7">
        <f>'Fane 10.1. Varige tillæg'!C12</f>
        <v>0</v>
      </c>
      <c r="D10" s="8" t="s">
        <v>3</v>
      </c>
      <c r="E10" s="1"/>
    </row>
    <row r="11" spans="1:5" ht="17.100000000000001" customHeight="1" x14ac:dyDescent="0.25">
      <c r="A11" s="1"/>
      <c r="B11" s="52" t="s">
        <v>65</v>
      </c>
      <c r="C11" s="9">
        <f>'Fane 10.1. Varige tillæg'!E12</f>
        <v>0</v>
      </c>
      <c r="D11" s="8" t="s">
        <v>3</v>
      </c>
      <c r="E11" s="1"/>
    </row>
    <row r="12" spans="1:5" ht="17.100000000000001" customHeight="1" x14ac:dyDescent="0.25">
      <c r="A12" s="1"/>
      <c r="B12" s="52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2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2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2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2" t="s">
        <v>27</v>
      </c>
      <c r="C16" s="9">
        <f>SUM(C9:C15)*'Fane 15. Nøgletal'!C12</f>
        <v>417639.64448819106</v>
      </c>
      <c r="D16" s="8" t="s">
        <v>3</v>
      </c>
      <c r="E16" s="1"/>
    </row>
    <row r="17" spans="1:5" ht="17.100000000000001" customHeight="1" x14ac:dyDescent="0.25">
      <c r="A17" s="1"/>
      <c r="B17" s="52" t="s">
        <v>10</v>
      </c>
      <c r="C17" s="9">
        <f>-SUM(C9:C16)*'Fane 5. Individuelt eff. krav'!G11</f>
        <v>0</v>
      </c>
      <c r="D17" s="8" t="s">
        <v>3</v>
      </c>
      <c r="E17" s="1"/>
    </row>
    <row r="18" spans="1:5" ht="17.100000000000001" customHeight="1" x14ac:dyDescent="0.25">
      <c r="A18" s="1"/>
      <c r="B18" s="52" t="s">
        <v>39</v>
      </c>
      <c r="C18" s="9">
        <f>-'Fane 4.1. Gen. krav - drift'!G28</f>
        <v>-256463.23092099038</v>
      </c>
      <c r="D18" s="8" t="s">
        <v>3</v>
      </c>
      <c r="E18" s="1"/>
    </row>
    <row r="19" spans="1:5" ht="17.100000000000001" customHeight="1" x14ac:dyDescent="0.25">
      <c r="A19" s="1"/>
      <c r="B19" s="52" t="s">
        <v>40</v>
      </c>
      <c r="C19" s="9">
        <f>-'Fane 4.2. Gen. krav - anlæg'!G25</f>
        <v>-278536.79993901047</v>
      </c>
      <c r="D19" s="8" t="s">
        <v>3</v>
      </c>
      <c r="E19" s="1"/>
    </row>
    <row r="20" spans="1:5" ht="17.100000000000001" customHeight="1" x14ac:dyDescent="0.25">
      <c r="A20" s="1"/>
      <c r="B20" s="46" t="s">
        <v>29</v>
      </c>
      <c r="C20" s="10">
        <f>SUM(C9:C19)</f>
        <v>21082621.567343473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omk.'!C15+'Fane 6. Ikke-påvirkelige omk.'!C19+'Fane 6. Ikke-påvirkelige omk.'!C27</f>
        <v>1717456.46041233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6" t="s">
        <v>145</v>
      </c>
      <c r="C24" s="10">
        <f>'Fane 11. Periodevise driftsomk.'!E12</f>
        <v>694464.95190192363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2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2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6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-2783539.8541942951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20711003.125463434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QtL0oNB6l5Y+zx8dthYDaLfEdQFtLE+HelNIStsr34WLQwPpmRqWz0Xm+Qbk12uko5RtAUMFlzkw6bisNfSshw==" saltValue="gEgQAcrlJngNi5hgFjGVD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3" t="s">
        <v>248</v>
      </c>
      <c r="C3" s="83"/>
      <c r="D3" s="1"/>
    </row>
    <row r="4" spans="1:4" ht="25.5" customHeight="1" x14ac:dyDescent="0.25">
      <c r="A4" s="1"/>
      <c r="B4" s="83"/>
      <c r="C4" s="83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3" t="s">
        <v>228</v>
      </c>
      <c r="C9" s="28">
        <v>1.2699999999999999E-2</v>
      </c>
      <c r="D9" s="1"/>
    </row>
    <row r="10" spans="1:4" x14ac:dyDescent="0.25">
      <c r="A10" s="1"/>
      <c r="B10" s="53" t="s">
        <v>229</v>
      </c>
      <c r="C10" s="28">
        <v>1.7500000000000002E-2</v>
      </c>
      <c r="D10" s="1"/>
    </row>
    <row r="11" spans="1:4" x14ac:dyDescent="0.25">
      <c r="A11" s="1"/>
      <c r="B11" s="53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3" t="s">
        <v>231</v>
      </c>
      <c r="C17" s="25">
        <v>9.1000000000000004E-3</v>
      </c>
      <c r="D17" s="1"/>
    </row>
    <row r="18" spans="1:4" x14ac:dyDescent="0.25">
      <c r="A18" s="1"/>
      <c r="B18" s="53" t="s">
        <v>232</v>
      </c>
      <c r="C18" s="25">
        <v>1.77E-2</v>
      </c>
      <c r="D18" s="1"/>
    </row>
    <row r="19" spans="1:4" x14ac:dyDescent="0.25">
      <c r="A19" s="1"/>
      <c r="B19" s="53" t="s">
        <v>233</v>
      </c>
      <c r="C19" s="25">
        <v>8.6999999999999994E-3</v>
      </c>
      <c r="D19" s="1"/>
    </row>
    <row r="20" spans="1:4" x14ac:dyDescent="0.25">
      <c r="A20" s="1"/>
      <c r="B20" s="53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3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yMlOSVqWEd5BXRM3sAr5iFDbqxxM2BiMFGDema9HUyKUZ/g+hyFJ21EJMFb7SyD9svsMLDpSiP5dzdSLb85Frg==" saltValue="qSwfruGU/gle93M+A9o+ng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82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21082621.567343473</v>
      </c>
      <c r="D9" s="8" t="s">
        <v>3</v>
      </c>
      <c r="E9" s="1"/>
    </row>
    <row r="10" spans="1:5" ht="15" customHeight="1" x14ac:dyDescent="0.25">
      <c r="A10" s="1"/>
      <c r="B10" s="52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2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415327.64487666643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0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-256285.24543873122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-275957.69401071116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20965706.272770695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Nøgletal'!C12)+'Fane 6. Ikke-påvirkelige omk.'!C20+'Fane 6. Ikke-påvirkelige omk.'!C28</f>
        <v>1751290.3526824529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6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2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2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6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22716996.625453148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R5pKfejr32gkB2J1ia1mkwjKxFUoPXMsNIZFbOwDsgnilfJVZAqyplzVMrvbvn1ykmZTAx+Pcw93v9YS4p4jfg==" saltValue="JY8QC3uZ7XToOJCja+dS2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246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79" t="s">
        <v>30</v>
      </c>
      <c r="C5" s="79"/>
      <c r="D5" s="79"/>
      <c r="E5" s="1"/>
    </row>
    <row r="6" spans="1:5" x14ac:dyDescent="0.25">
      <c r="A6" s="1"/>
      <c r="B6" s="45"/>
      <c r="C6" s="45"/>
      <c r="D6" s="45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20965706.272770695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413024.41357358266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0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-256107.38347839678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-273402.46926217293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20849220.83360371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Nøgletal'!C12)^2+'Fane 6. Ikke-påvirkelige omk.'!C21+'Fane 6. Ikke-påvirkelige omk.'!C29</f>
        <v>1785790.7726302973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6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2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2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6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22635011.606234007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f5AJ4GjgAeSdYfxFCZtTZF48MEa7gzfHpQe0QenTj3GwmSrI3YdEqFd26igfmBGjfkFZlrbIMuvi+g53UT2T4A==" saltValue="JQkjs3EDyK2ZlPTdth0SUg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247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79" t="s">
        <v>30</v>
      </c>
      <c r="C5" s="79"/>
      <c r="D5" s="79"/>
      <c r="E5" s="1"/>
    </row>
    <row r="6" spans="1:5" x14ac:dyDescent="0.25">
      <c r="A6" s="1"/>
      <c r="B6" s="45"/>
      <c r="C6" s="45"/>
      <c r="D6" s="45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20849220.83360371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410729.65042199305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0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-255929.64495426277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-270870.90456608922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20733149.934505347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Nøgletal'!C12)^3+'Fane 6. Ikke-påvirkelige omk.'!C22+'Fane 6. Ikke-påvirkelige omk.'!C30</f>
        <v>1820970.8508511141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6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2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2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6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22554120.785356462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WRjhMM8WzkNYvgpBSPc3yflIXNyTjcKUW4Tk5mJbc3FJ/BMWTfNrF/dxhYLUfuxMQirEnI/XJBcj4GMSd4PJuA==" saltValue="I8MoAd4/81fHnMKWw5jd5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243</v>
      </c>
      <c r="C3" s="83"/>
      <c r="D3" s="83"/>
      <c r="E3" s="83"/>
      <c r="F3" s="83"/>
      <c r="G3" s="1"/>
    </row>
    <row r="4" spans="1:7" ht="29.2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0" t="s">
        <v>79</v>
      </c>
      <c r="C9" s="81"/>
      <c r="D9" s="82"/>
      <c r="E9" s="7">
        <v>21510229.914727479</v>
      </c>
      <c r="F9" s="8" t="s">
        <v>3</v>
      </c>
      <c r="G9" s="1"/>
    </row>
    <row r="10" spans="1:7" ht="15" customHeight="1" x14ac:dyDescent="0.25">
      <c r="A10" s="1"/>
      <c r="B10" s="84" t="s">
        <v>64</v>
      </c>
      <c r="C10" s="85"/>
      <c r="D10" s="86"/>
      <c r="E10" s="7">
        <v>0</v>
      </c>
      <c r="F10" s="8" t="s">
        <v>3</v>
      </c>
      <c r="G10" s="1"/>
    </row>
    <row r="11" spans="1:7" ht="15" customHeight="1" x14ac:dyDescent="0.25">
      <c r="A11" s="1"/>
      <c r="B11" s="84" t="s">
        <v>65</v>
      </c>
      <c r="C11" s="85"/>
      <c r="D11" s="86"/>
      <c r="E11" s="9">
        <v>0</v>
      </c>
      <c r="F11" s="8" t="s">
        <v>3</v>
      </c>
      <c r="G11" s="1"/>
    </row>
    <row r="12" spans="1:7" ht="15" customHeight="1" x14ac:dyDescent="0.25">
      <c r="A12" s="1"/>
      <c r="B12" s="84" t="s">
        <v>42</v>
      </c>
      <c r="C12" s="85"/>
      <c r="D12" s="86"/>
      <c r="E12" s="9">
        <v>0</v>
      </c>
      <c r="F12" s="8" t="s">
        <v>3</v>
      </c>
      <c r="G12" s="1"/>
    </row>
    <row r="13" spans="1:7" ht="15" customHeight="1" x14ac:dyDescent="0.25">
      <c r="A13" s="1"/>
      <c r="B13" s="80" t="s">
        <v>41</v>
      </c>
      <c r="C13" s="81"/>
      <c r="D13" s="82"/>
      <c r="E13" s="9">
        <v>0</v>
      </c>
      <c r="F13" s="8" t="s">
        <v>3</v>
      </c>
      <c r="G13" s="1"/>
    </row>
    <row r="14" spans="1:7" ht="15" customHeight="1" x14ac:dyDescent="0.25">
      <c r="A14" s="1"/>
      <c r="B14" s="80" t="s">
        <v>44</v>
      </c>
      <c r="C14" s="81"/>
      <c r="D14" s="82"/>
      <c r="E14" s="9">
        <v>0</v>
      </c>
      <c r="F14" s="8" t="s">
        <v>3</v>
      </c>
      <c r="G14" s="1"/>
    </row>
    <row r="15" spans="1:7" ht="15" customHeight="1" x14ac:dyDescent="0.25">
      <c r="A15" s="1"/>
      <c r="B15" s="80" t="s">
        <v>43</v>
      </c>
      <c r="C15" s="81"/>
      <c r="D15" s="82"/>
      <c r="E15" s="9">
        <v>0</v>
      </c>
      <c r="F15" s="8" t="s">
        <v>3</v>
      </c>
      <c r="G15" s="1"/>
    </row>
    <row r="16" spans="1:7" ht="15" customHeight="1" x14ac:dyDescent="0.25">
      <c r="A16" s="1"/>
      <c r="B16" s="80" t="s">
        <v>27</v>
      </c>
      <c r="C16" s="81"/>
      <c r="D16" s="82"/>
      <c r="E16" s="9">
        <f>E9*'Fane 15. Nøgletal'!C10+SUM(E10:E15)*'Fane 15. Nøgletal'!C11</f>
        <v>376429.02350773092</v>
      </c>
      <c r="F16" s="8" t="s">
        <v>3</v>
      </c>
      <c r="G16" s="1"/>
    </row>
    <row r="17" spans="1:7" ht="15" customHeight="1" x14ac:dyDescent="0.25">
      <c r="A17" s="1"/>
      <c r="B17" s="80" t="s">
        <v>10</v>
      </c>
      <c r="C17" s="81"/>
      <c r="D17" s="82"/>
      <c r="E17" s="9">
        <f>-SUM(E9:E16)*'Fane 5. Individuelt eff. krav'!G10</f>
        <v>-256726.71300879153</v>
      </c>
      <c r="F17" s="8" t="s">
        <v>3</v>
      </c>
      <c r="G17" s="1"/>
    </row>
    <row r="18" spans="1:7" ht="15" customHeight="1" x14ac:dyDescent="0.25">
      <c r="A18" s="1"/>
      <c r="B18" s="80" t="s">
        <v>39</v>
      </c>
      <c r="C18" s="81"/>
      <c r="D18" s="82"/>
      <c r="E18" s="9">
        <f>-'Fane 4.1. Gen. krav - drift'!G22</f>
        <v>-256641.34001095794</v>
      </c>
      <c r="F18" s="8" t="s">
        <v>3</v>
      </c>
      <c r="G18" s="1"/>
    </row>
    <row r="19" spans="1:7" ht="15" customHeight="1" x14ac:dyDescent="0.25">
      <c r="A19" s="1"/>
      <c r="B19" s="80" t="s">
        <v>40</v>
      </c>
      <c r="C19" s="81"/>
      <c r="D19" s="82"/>
      <c r="E19" s="9">
        <f>-'Fane 4.2. Gen. krav - anlæg'!G19</f>
        <v>-173308.9315001725</v>
      </c>
      <c r="F19" s="8" t="s">
        <v>3</v>
      </c>
      <c r="G19" s="1"/>
    </row>
    <row r="20" spans="1:7" ht="15" customHeight="1" x14ac:dyDescent="0.25">
      <c r="A20" s="1"/>
      <c r="B20" s="46" t="s">
        <v>29</v>
      </c>
      <c r="C20" s="47"/>
      <c r="D20" s="48"/>
      <c r="E20" s="10">
        <f>SUM(E9:E19)</f>
        <v>21199981.953715283</v>
      </c>
      <c r="F20" s="11" t="s">
        <v>3</v>
      </c>
      <c r="G20" s="1"/>
    </row>
    <row r="21" spans="1:7" ht="15" customHeight="1" x14ac:dyDescent="0.25">
      <c r="A21" s="1"/>
      <c r="B21" s="93" t="s">
        <v>145</v>
      </c>
      <c r="C21" s="94"/>
      <c r="D21" s="94"/>
      <c r="E21" s="94"/>
      <c r="F21" s="95"/>
      <c r="G21" s="1"/>
    </row>
    <row r="22" spans="1:7" ht="15" customHeight="1" x14ac:dyDescent="0.25">
      <c r="A22" s="1"/>
      <c r="B22" s="80" t="s">
        <v>239</v>
      </c>
      <c r="C22" s="81"/>
      <c r="D22" s="82"/>
      <c r="E22" s="44">
        <v>1453053.0850000002</v>
      </c>
      <c r="F22" s="8" t="s">
        <v>3</v>
      </c>
      <c r="G22" s="1"/>
    </row>
    <row r="23" spans="1:7" ht="15" customHeight="1" x14ac:dyDescent="0.25">
      <c r="A23" s="1"/>
      <c r="B23" s="80" t="s">
        <v>238</v>
      </c>
      <c r="C23" s="81"/>
      <c r="D23" s="82"/>
      <c r="E23" s="44">
        <f>-E22*('Fane 15. Nøgletal'!C25+'Fane 5. Individuelt eff. krav'!G10)</f>
        <v>-46105.122348637924</v>
      </c>
      <c r="F23" s="8" t="s">
        <v>3</v>
      </c>
      <c r="G23" s="1"/>
    </row>
    <row r="24" spans="1:7" ht="15" customHeight="1" x14ac:dyDescent="0.25">
      <c r="A24" s="1"/>
      <c r="B24" s="87" t="s">
        <v>240</v>
      </c>
      <c r="C24" s="88"/>
      <c r="D24" s="89"/>
      <c r="E24" s="10">
        <f>SUM(E22:E23)</f>
        <v>1406947.9626513622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7" t="s">
        <v>17</v>
      </c>
      <c r="C26" s="88"/>
      <c r="D26" s="89"/>
      <c r="E26" s="10">
        <v>2240125.1797444597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0" t="s">
        <v>134</v>
      </c>
      <c r="C28" s="91"/>
      <c r="D28" s="92"/>
      <c r="E28" s="10">
        <v>-2269240.4454645584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0" t="s">
        <v>19</v>
      </c>
      <c r="C30" s="91"/>
      <c r="D30" s="92"/>
      <c r="E30" s="10">
        <v>0</v>
      </c>
      <c r="F30" s="11" t="s">
        <v>3</v>
      </c>
      <c r="G30" s="1"/>
    </row>
    <row r="31" spans="1:7" x14ac:dyDescent="0.25">
      <c r="A31" s="1"/>
      <c r="B31" s="93" t="s">
        <v>24</v>
      </c>
      <c r="C31" s="94"/>
      <c r="D31" s="95"/>
      <c r="E31" s="12">
        <f>SUM(E30,E28,E26,E20,E24)</f>
        <v>22577814.650646545</v>
      </c>
      <c r="F31" s="13" t="s">
        <v>3</v>
      </c>
      <c r="G31" s="1"/>
    </row>
    <row r="32" spans="1:7" ht="27" customHeight="1" x14ac:dyDescent="0.25">
      <c r="A32" s="1"/>
      <c r="B32" s="80" t="s">
        <v>208</v>
      </c>
      <c r="C32" s="81"/>
      <c r="D32" s="81"/>
      <c r="E32" s="81"/>
      <c r="F32" s="82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rRljeOvrRTQGAgiNkTax2j+hcFcrNO3ya8RKNpXKHtYf/mYoltrtz5Ky4WEUxMGRDDT2omL3XPloLvm4WUKebw==" saltValue="lbtdbXJkmnn6CyLkl3hzng==" spinCount="100000" sheet="1" objects="1" scenarios="1"/>
  <mergeCells count="21">
    <mergeCell ref="B22:D22"/>
    <mergeCell ref="B23:D23"/>
    <mergeCell ref="B21:F21"/>
    <mergeCell ref="B24:D24"/>
    <mergeCell ref="B30:D30"/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8" t="s">
        <v>218</v>
      </c>
      <c r="C2" s="78"/>
      <c r="D2" s="78"/>
      <c r="E2" s="78"/>
      <c r="F2" s="78"/>
      <c r="G2" s="78"/>
      <c r="H2" s="78"/>
      <c r="I2" s="1"/>
    </row>
    <row r="3" spans="1:9" ht="15" customHeight="1" x14ac:dyDescent="0.25">
      <c r="A3" s="1"/>
      <c r="B3" s="78"/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93" t="s">
        <v>94</v>
      </c>
      <c r="C5" s="94"/>
      <c r="D5" s="94"/>
      <c r="E5" s="94"/>
      <c r="F5" s="94"/>
      <c r="G5" s="94"/>
      <c r="H5" s="95"/>
      <c r="I5" s="1"/>
    </row>
    <row r="6" spans="1:9" x14ac:dyDescent="0.25">
      <c r="A6" s="1"/>
      <c r="B6" s="96" t="s">
        <v>83</v>
      </c>
      <c r="C6" s="97"/>
      <c r="D6" s="97"/>
      <c r="E6" s="97"/>
      <c r="F6" s="98"/>
      <c r="G6" s="26">
        <v>13032627</v>
      </c>
      <c r="H6" s="14" t="s">
        <v>3</v>
      </c>
      <c r="I6" s="1"/>
    </row>
    <row r="7" spans="1:9" x14ac:dyDescent="0.25">
      <c r="A7" s="1"/>
      <c r="B7" s="80" t="s">
        <v>242</v>
      </c>
      <c r="C7" s="81"/>
      <c r="D7" s="81"/>
      <c r="E7" s="81"/>
      <c r="F7" s="82"/>
      <c r="G7" s="26">
        <v>3822166</v>
      </c>
      <c r="H7" s="14" t="s">
        <v>3</v>
      </c>
      <c r="I7" s="1"/>
    </row>
    <row r="8" spans="1:9" x14ac:dyDescent="0.25">
      <c r="A8" s="1"/>
      <c r="B8" s="96" t="s">
        <v>84</v>
      </c>
      <c r="C8" s="97"/>
      <c r="D8" s="97"/>
      <c r="E8" s="97"/>
      <c r="F8" s="98"/>
      <c r="G8" s="26">
        <f>SUM(G6:G7)*'Fane 15. Nøgletal'!C25</f>
        <v>337095.86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3" t="s">
        <v>95</v>
      </c>
      <c r="C11" s="94"/>
      <c r="D11" s="94"/>
      <c r="E11" s="94"/>
      <c r="F11" s="94"/>
      <c r="G11" s="94"/>
      <c r="H11" s="95"/>
      <c r="I11" s="1"/>
    </row>
    <row r="12" spans="1:9" x14ac:dyDescent="0.25">
      <c r="A12" s="1"/>
      <c r="B12" s="96" t="s">
        <v>85</v>
      </c>
      <c r="C12" s="97"/>
      <c r="D12" s="97"/>
      <c r="E12" s="97"/>
      <c r="F12" s="98"/>
      <c r="G12" s="26">
        <f>(G6-G8)*(1+'Fane 15. Nøgletal'!C10)</f>
        <v>12917702.934950002</v>
      </c>
      <c r="H12" s="14" t="s">
        <v>3</v>
      </c>
      <c r="I12" s="1"/>
    </row>
    <row r="13" spans="1:9" x14ac:dyDescent="0.25">
      <c r="A13" s="1"/>
      <c r="B13" s="96" t="s">
        <v>244</v>
      </c>
      <c r="C13" s="97"/>
      <c r="D13" s="97"/>
      <c r="E13" s="97"/>
      <c r="F13" s="98"/>
      <c r="G13" s="26">
        <v>0.46321992882527413</v>
      </c>
      <c r="H13" s="14" t="s">
        <v>3</v>
      </c>
      <c r="I13" s="1"/>
    </row>
    <row r="14" spans="1:9" ht="15" customHeight="1" x14ac:dyDescent="0.25">
      <c r="A14" s="1"/>
      <c r="B14" s="80" t="s">
        <v>237</v>
      </c>
      <c r="C14" s="81"/>
      <c r="D14" s="81"/>
      <c r="E14" s="81"/>
      <c r="F14" s="82"/>
      <c r="G14" s="26">
        <v>2399063.5350000001</v>
      </c>
      <c r="H14" s="14" t="s">
        <v>3</v>
      </c>
      <c r="I14" s="1"/>
    </row>
    <row r="15" spans="1:9" x14ac:dyDescent="0.25">
      <c r="A15" s="1"/>
      <c r="B15" s="99" t="s">
        <v>86</v>
      </c>
      <c r="C15" s="100"/>
      <c r="D15" s="100"/>
      <c r="E15" s="100"/>
      <c r="F15" s="101"/>
      <c r="G15" s="26">
        <v>0</v>
      </c>
      <c r="H15" s="14" t="s">
        <v>3</v>
      </c>
      <c r="I15" s="1"/>
    </row>
    <row r="16" spans="1:9" x14ac:dyDescent="0.25">
      <c r="A16" s="1"/>
      <c r="B16" s="96" t="s">
        <v>87</v>
      </c>
      <c r="C16" s="97"/>
      <c r="D16" s="97"/>
      <c r="E16" s="97"/>
      <c r="F16" s="98"/>
      <c r="G16" s="26">
        <f>SUM(G12:G15)*'Fane 15. Nøgletal'!C25</f>
        <v>306335.33866339864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3" t="s">
        <v>96</v>
      </c>
      <c r="C19" s="94"/>
      <c r="D19" s="94"/>
      <c r="E19" s="94"/>
      <c r="F19" s="94"/>
      <c r="G19" s="94"/>
      <c r="H19" s="95"/>
      <c r="I19" s="1"/>
    </row>
    <row r="20" spans="1:9" x14ac:dyDescent="0.25">
      <c r="A20" s="1"/>
      <c r="B20" s="96" t="s">
        <v>88</v>
      </c>
      <c r="C20" s="97"/>
      <c r="D20" s="97"/>
      <c r="E20" s="97"/>
      <c r="F20" s="98"/>
      <c r="G20" s="26">
        <f>(SUM(G12:G13,G15)-(G16))*(1+'Fane 15. Nøgletal'!C10)</f>
        <v>12832067.000547897</v>
      </c>
      <c r="H20" s="14" t="s">
        <v>3</v>
      </c>
      <c r="I20" s="1"/>
    </row>
    <row r="21" spans="1:9" x14ac:dyDescent="0.25">
      <c r="A21" s="1"/>
      <c r="B21" s="99" t="s">
        <v>89</v>
      </c>
      <c r="C21" s="100"/>
      <c r="D21" s="100"/>
      <c r="E21" s="100"/>
      <c r="F21" s="101"/>
      <c r="G21" s="26">
        <v>0</v>
      </c>
      <c r="H21" s="14" t="s">
        <v>3</v>
      </c>
      <c r="I21" s="1"/>
    </row>
    <row r="22" spans="1:9" x14ac:dyDescent="0.25">
      <c r="A22" s="1"/>
      <c r="B22" s="96" t="s">
        <v>90</v>
      </c>
      <c r="C22" s="97"/>
      <c r="D22" s="97"/>
      <c r="E22" s="97"/>
      <c r="F22" s="98"/>
      <c r="G22" s="26">
        <f>SUM(G20:G21)*'Fane 15. Nøgletal'!C25</f>
        <v>256641.34001095794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3" t="s">
        <v>97</v>
      </c>
      <c r="C25" s="94"/>
      <c r="D25" s="94"/>
      <c r="E25" s="94"/>
      <c r="F25" s="94"/>
      <c r="G25" s="94"/>
      <c r="H25" s="95"/>
      <c r="I25" s="1"/>
    </row>
    <row r="26" spans="1:9" x14ac:dyDescent="0.25">
      <c r="A26" s="1"/>
      <c r="B26" s="96" t="s">
        <v>91</v>
      </c>
      <c r="C26" s="97"/>
      <c r="D26" s="97"/>
      <c r="E26" s="97"/>
      <c r="F26" s="98"/>
      <c r="G26" s="26">
        <f>(G20+G21-G22)*(1+'Fane 15. Nøgletal'!C12)</f>
        <v>12823161.546049519</v>
      </c>
      <c r="H26" s="14" t="s">
        <v>3</v>
      </c>
      <c r="I26" s="1"/>
    </row>
    <row r="27" spans="1:9" x14ac:dyDescent="0.25">
      <c r="A27" s="1"/>
      <c r="B27" s="99" t="s">
        <v>92</v>
      </c>
      <c r="C27" s="100"/>
      <c r="D27" s="100"/>
      <c r="E27" s="100"/>
      <c r="F27" s="101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96" t="s">
        <v>93</v>
      </c>
      <c r="C28" s="97"/>
      <c r="D28" s="97"/>
      <c r="E28" s="97"/>
      <c r="F28" s="98"/>
      <c r="G28" s="26">
        <f>(G26+G27)*'Fane 15. Nøgletal'!C25</f>
        <v>256463.23092099038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3" t="s">
        <v>100</v>
      </c>
      <c r="C31" s="94"/>
      <c r="D31" s="94"/>
      <c r="E31" s="94"/>
      <c r="F31" s="94"/>
      <c r="G31" s="94"/>
      <c r="H31" s="95"/>
      <c r="I31" s="1"/>
    </row>
    <row r="32" spans="1:9" x14ac:dyDescent="0.25">
      <c r="A32" s="1"/>
      <c r="B32" s="96" t="s">
        <v>101</v>
      </c>
      <c r="C32" s="97"/>
      <c r="D32" s="97"/>
      <c r="E32" s="97"/>
      <c r="F32" s="98"/>
      <c r="G32" s="26">
        <f>(G26+G27-G28)*(1+'Fane 15. Nøgletal'!C12)</f>
        <v>12814262.27193656</v>
      </c>
      <c r="H32" s="14" t="s">
        <v>3</v>
      </c>
      <c r="I32" s="1"/>
    </row>
    <row r="33" spans="1:9" x14ac:dyDescent="0.25">
      <c r="A33" s="1"/>
      <c r="B33" s="96" t="s">
        <v>149</v>
      </c>
      <c r="C33" s="97"/>
      <c r="D33" s="97"/>
      <c r="E33" s="97"/>
      <c r="F33" s="98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6" t="s">
        <v>102</v>
      </c>
      <c r="C34" s="97"/>
      <c r="D34" s="97"/>
      <c r="E34" s="97"/>
      <c r="F34" s="98"/>
      <c r="G34" s="26">
        <f>(G32+G33)*'Fane 15. Nøgletal'!C25</f>
        <v>256285.24543873122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3" t="s">
        <v>127</v>
      </c>
      <c r="C37" s="94"/>
      <c r="D37" s="94"/>
      <c r="E37" s="94"/>
      <c r="F37" s="94"/>
      <c r="G37" s="94"/>
      <c r="H37" s="95"/>
      <c r="I37" s="1"/>
    </row>
    <row r="38" spans="1:9" x14ac:dyDescent="0.25">
      <c r="A38" s="1"/>
      <c r="B38" s="96" t="s">
        <v>126</v>
      </c>
      <c r="C38" s="97"/>
      <c r="D38" s="97"/>
      <c r="E38" s="97"/>
      <c r="F38" s="98"/>
      <c r="G38" s="26">
        <f>(G32-G34)*(1+'Fane 15. Nøgletal'!C12)</f>
        <v>12805369.173919838</v>
      </c>
      <c r="H38" s="14" t="s">
        <v>3</v>
      </c>
      <c r="I38" s="1"/>
    </row>
    <row r="39" spans="1:9" x14ac:dyDescent="0.25">
      <c r="A39" s="1"/>
      <c r="B39" s="96" t="s">
        <v>150</v>
      </c>
      <c r="C39" s="97"/>
      <c r="D39" s="97"/>
      <c r="E39" s="97"/>
      <c r="F39" s="98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6" t="s">
        <v>103</v>
      </c>
      <c r="C40" s="97"/>
      <c r="D40" s="97"/>
      <c r="E40" s="97"/>
      <c r="F40" s="98"/>
      <c r="G40" s="26">
        <f>(G38+G39)*'Fane 15. Nøgletal'!C25</f>
        <v>256107.38347839678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3" t="s">
        <v>128</v>
      </c>
      <c r="C43" s="94"/>
      <c r="D43" s="94"/>
      <c r="E43" s="94"/>
      <c r="F43" s="94"/>
      <c r="G43" s="94"/>
      <c r="H43" s="95"/>
      <c r="I43" s="1"/>
    </row>
    <row r="44" spans="1:9" x14ac:dyDescent="0.25">
      <c r="A44" s="1"/>
      <c r="B44" s="96" t="s">
        <v>125</v>
      </c>
      <c r="C44" s="97"/>
      <c r="D44" s="97"/>
      <c r="E44" s="97"/>
      <c r="F44" s="98"/>
      <c r="G44" s="26">
        <f>(G38-G40)*(1+'Fane 15. Nøgletal'!C12)</f>
        <v>12796482.247713137</v>
      </c>
      <c r="H44" s="14" t="s">
        <v>3</v>
      </c>
      <c r="I44" s="1"/>
    </row>
    <row r="45" spans="1:9" x14ac:dyDescent="0.25">
      <c r="A45" s="1"/>
      <c r="B45" s="96" t="s">
        <v>151</v>
      </c>
      <c r="C45" s="97"/>
      <c r="D45" s="97"/>
      <c r="E45" s="97"/>
      <c r="F45" s="98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6" t="s">
        <v>104</v>
      </c>
      <c r="C46" s="97"/>
      <c r="D46" s="97"/>
      <c r="E46" s="97"/>
      <c r="F46" s="98"/>
      <c r="G46" s="26">
        <f>(G44+G45)*'Fane 15. Nøgletal'!C25</f>
        <v>255929.64495426277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P6d8he7BuVyhxMrHtJYGZKtzH3okbtK7FuzbcrJQD7891szOy+DihP+2lDrD6B36SwTSSc19e9dKQ1elxdu9Iw==" saltValue="TFei+n5D+5Wq6xB/o3kwSw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2" t="s">
        <v>219</v>
      </c>
      <c r="C2" s="102"/>
      <c r="D2" s="102"/>
      <c r="E2" s="102"/>
      <c r="F2" s="102"/>
      <c r="G2" s="102"/>
      <c r="H2" s="102"/>
      <c r="I2" s="1"/>
    </row>
    <row r="3" spans="1:9" ht="18.75" x14ac:dyDescent="0.3">
      <c r="A3" s="1"/>
      <c r="B3" s="54"/>
      <c r="C3" s="54"/>
      <c r="D3" s="54"/>
      <c r="E3" s="54"/>
      <c r="F3" s="54"/>
      <c r="G3" s="54"/>
      <c r="H3" s="54"/>
      <c r="I3" s="1"/>
    </row>
    <row r="4" spans="1:9" x14ac:dyDescent="0.25">
      <c r="A4" s="1"/>
      <c r="B4" s="93" t="s">
        <v>98</v>
      </c>
      <c r="C4" s="94"/>
      <c r="D4" s="94"/>
      <c r="E4" s="94"/>
      <c r="F4" s="94"/>
      <c r="G4" s="94"/>
      <c r="H4" s="95"/>
      <c r="I4" s="1"/>
    </row>
    <row r="5" spans="1:9" x14ac:dyDescent="0.25">
      <c r="A5" s="1"/>
      <c r="B5" s="96" t="s">
        <v>105</v>
      </c>
      <c r="C5" s="97"/>
      <c r="D5" s="97"/>
      <c r="E5" s="97"/>
      <c r="F5" s="98"/>
      <c r="G5" s="26">
        <v>9095930.5630294085</v>
      </c>
      <c r="H5" s="14" t="s">
        <v>3</v>
      </c>
      <c r="I5" s="1"/>
    </row>
    <row r="6" spans="1:9" x14ac:dyDescent="0.25">
      <c r="A6" s="1"/>
      <c r="B6" s="96" t="s">
        <v>99</v>
      </c>
      <c r="C6" s="97"/>
      <c r="D6" s="97"/>
      <c r="E6" s="97"/>
      <c r="F6" s="98"/>
      <c r="G6" s="26">
        <f>G5*'Fane 15. Nøgletal'!C17</f>
        <v>82772.968123567625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3" t="s">
        <v>106</v>
      </c>
      <c r="C9" s="94"/>
      <c r="D9" s="94"/>
      <c r="E9" s="94"/>
      <c r="F9" s="94"/>
      <c r="G9" s="94"/>
      <c r="H9" s="95"/>
      <c r="I9" s="1"/>
    </row>
    <row r="10" spans="1:9" x14ac:dyDescent="0.25">
      <c r="A10" s="1"/>
      <c r="B10" s="96" t="s">
        <v>107</v>
      </c>
      <c r="C10" s="97"/>
      <c r="D10" s="97"/>
      <c r="E10" s="97"/>
      <c r="F10" s="98"/>
      <c r="G10" s="26">
        <f>(G5-G6)*(1+'Fane 15. Nøgletal'!C10)</f>
        <v>9170887.8528166935</v>
      </c>
      <c r="H10" s="14" t="s">
        <v>3</v>
      </c>
      <c r="I10" s="1"/>
    </row>
    <row r="11" spans="1:9" x14ac:dyDescent="0.25">
      <c r="A11" s="1"/>
      <c r="B11" s="96" t="s">
        <v>245</v>
      </c>
      <c r="C11" s="97"/>
      <c r="D11" s="97"/>
      <c r="E11" s="97"/>
      <c r="F11" s="98"/>
      <c r="G11" s="26">
        <v>625570.94856422883</v>
      </c>
      <c r="H11" s="14" t="s">
        <v>3</v>
      </c>
      <c r="I11" s="1"/>
    </row>
    <row r="12" spans="1:9" x14ac:dyDescent="0.25">
      <c r="A12" s="1"/>
      <c r="B12" s="99" t="s">
        <v>108</v>
      </c>
      <c r="C12" s="100"/>
      <c r="D12" s="100"/>
      <c r="E12" s="100"/>
      <c r="F12" s="101"/>
      <c r="G12" s="26">
        <v>0</v>
      </c>
      <c r="H12" s="14" t="s">
        <v>3</v>
      </c>
      <c r="I12" s="1"/>
    </row>
    <row r="13" spans="1:9" x14ac:dyDescent="0.25">
      <c r="A13" s="1"/>
      <c r="B13" s="96" t="s">
        <v>109</v>
      </c>
      <c r="C13" s="97"/>
      <c r="D13" s="97"/>
      <c r="E13" s="97"/>
      <c r="F13" s="98"/>
      <c r="G13" s="26">
        <f>SUM(G10:G12)*'Fane 15. Nøgletal'!C18</f>
        <v>173397.32078444233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3" t="s">
        <v>110</v>
      </c>
      <c r="C16" s="94"/>
      <c r="D16" s="94"/>
      <c r="E16" s="94"/>
      <c r="F16" s="94"/>
      <c r="G16" s="94"/>
      <c r="H16" s="95"/>
      <c r="I16" s="1"/>
    </row>
    <row r="17" spans="1:9" x14ac:dyDescent="0.25">
      <c r="A17" s="1"/>
      <c r="B17" s="96" t="s">
        <v>111</v>
      </c>
      <c r="C17" s="97"/>
      <c r="D17" s="97"/>
      <c r="E17" s="97"/>
      <c r="F17" s="98"/>
      <c r="G17" s="26">
        <f>(SUM(G10:G12)-G13)*(1+'Fane 15. Nøgletal'!C10)</f>
        <v>9791465.0565069206</v>
      </c>
      <c r="H17" s="14" t="s">
        <v>3</v>
      </c>
      <c r="I17" s="1"/>
    </row>
    <row r="18" spans="1:9" x14ac:dyDescent="0.25">
      <c r="A18" s="1"/>
      <c r="B18" s="99" t="s">
        <v>112</v>
      </c>
      <c r="C18" s="100"/>
      <c r="D18" s="100"/>
      <c r="E18" s="100"/>
      <c r="F18" s="101"/>
      <c r="G18" s="26">
        <v>0</v>
      </c>
      <c r="H18" s="14" t="s">
        <v>3</v>
      </c>
      <c r="I18" s="1"/>
    </row>
    <row r="19" spans="1:9" x14ac:dyDescent="0.25">
      <c r="A19" s="1"/>
      <c r="B19" s="96" t="s">
        <v>113</v>
      </c>
      <c r="C19" s="97"/>
      <c r="D19" s="97"/>
      <c r="E19" s="97"/>
      <c r="F19" s="98"/>
      <c r="G19" s="26">
        <f>G17*'Fane 15. Nøgletal'!C18+G18*'Fane 15. Nøgletal'!C19</f>
        <v>173308.9315001725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3" t="s">
        <v>114</v>
      </c>
      <c r="C22" s="94"/>
      <c r="D22" s="94"/>
      <c r="E22" s="94"/>
      <c r="F22" s="94"/>
      <c r="G22" s="94"/>
      <c r="H22" s="95"/>
      <c r="I22" s="1"/>
    </row>
    <row r="23" spans="1:9" x14ac:dyDescent="0.25">
      <c r="A23" s="1"/>
      <c r="B23" s="96" t="s">
        <v>115</v>
      </c>
      <c r="C23" s="97"/>
      <c r="D23" s="97"/>
      <c r="E23" s="97"/>
      <c r="F23" s="98"/>
      <c r="G23" s="26">
        <f>(G17+G18-G19)*(1+'Fane 15. Nøgletal'!C12)</f>
        <v>9807633.8006693814</v>
      </c>
      <c r="H23" s="14" t="s">
        <v>3</v>
      </c>
      <c r="I23" s="1"/>
    </row>
    <row r="24" spans="1:9" x14ac:dyDescent="0.25">
      <c r="A24" s="1"/>
      <c r="B24" s="99" t="s">
        <v>116</v>
      </c>
      <c r="C24" s="100"/>
      <c r="D24" s="100"/>
      <c r="E24" s="100"/>
      <c r="F24" s="101"/>
      <c r="G24" s="26">
        <f>('Fane 2.1. Økonomisk ramme 2020'!C11+'Fane 2.1. Økonomisk ramme 2020'!C13+'Fane 2.1. Økonomisk ramme 2020'!C15)*(1+'Fane 15. Nøgletal'!C12)</f>
        <v>0</v>
      </c>
      <c r="H24" s="14" t="s">
        <v>3</v>
      </c>
      <c r="I24" s="1"/>
    </row>
    <row r="25" spans="1:9" x14ac:dyDescent="0.25">
      <c r="A25" s="1"/>
      <c r="B25" s="96" t="s">
        <v>117</v>
      </c>
      <c r="C25" s="97"/>
      <c r="D25" s="97"/>
      <c r="E25" s="97"/>
      <c r="F25" s="98"/>
      <c r="G25" s="26">
        <f>(G23+G24)*'Fane 15. Nøgletal'!C20</f>
        <v>278536.79993901047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3" t="s">
        <v>118</v>
      </c>
      <c r="C28" s="94"/>
      <c r="D28" s="94"/>
      <c r="E28" s="94"/>
      <c r="F28" s="94"/>
      <c r="G28" s="94"/>
      <c r="H28" s="95"/>
      <c r="I28" s="1"/>
    </row>
    <row r="29" spans="1:9" x14ac:dyDescent="0.25">
      <c r="A29" s="1"/>
      <c r="B29" s="96" t="s">
        <v>119</v>
      </c>
      <c r="C29" s="97"/>
      <c r="D29" s="97"/>
      <c r="E29" s="97"/>
      <c r="F29" s="98"/>
      <c r="G29" s="26">
        <f>(G23+G24-G25)*(1+'Fane 15. Nøgletal'!C12)</f>
        <v>9716820.2116447594</v>
      </c>
      <c r="H29" s="14" t="s">
        <v>3</v>
      </c>
      <c r="I29" s="1"/>
    </row>
    <row r="30" spans="1:9" x14ac:dyDescent="0.25">
      <c r="A30" s="1"/>
      <c r="B30" s="96" t="s">
        <v>155</v>
      </c>
      <c r="C30" s="97"/>
      <c r="D30" s="97"/>
      <c r="E30" s="97"/>
      <c r="F30" s="98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6" t="s">
        <v>120</v>
      </c>
      <c r="C31" s="97"/>
      <c r="D31" s="97"/>
      <c r="E31" s="97"/>
      <c r="F31" s="98"/>
      <c r="G31" s="26">
        <f>(G29+G30)*'Fane 15. Nøgletal'!C20</f>
        <v>275957.69401071116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3" t="s">
        <v>129</v>
      </c>
      <c r="C34" s="94"/>
      <c r="D34" s="94"/>
      <c r="E34" s="94"/>
      <c r="F34" s="94"/>
      <c r="G34" s="94"/>
      <c r="H34" s="95"/>
      <c r="I34" s="1"/>
    </row>
    <row r="35" spans="1:9" x14ac:dyDescent="0.25">
      <c r="A35" s="1"/>
      <c r="B35" s="96" t="s">
        <v>124</v>
      </c>
      <c r="C35" s="97"/>
      <c r="D35" s="97"/>
      <c r="E35" s="97"/>
      <c r="F35" s="98"/>
      <c r="G35" s="26">
        <f>(G29+G30-G31)*(1+'Fane 15. Nøgletal'!C12)</f>
        <v>9626847.5092314407</v>
      </c>
      <c r="H35" s="14" t="s">
        <v>3</v>
      </c>
      <c r="I35" s="1"/>
    </row>
    <row r="36" spans="1:9" x14ac:dyDescent="0.25">
      <c r="A36" s="1"/>
      <c r="B36" s="96" t="s">
        <v>156</v>
      </c>
      <c r="C36" s="97"/>
      <c r="D36" s="97"/>
      <c r="E36" s="97"/>
      <c r="F36" s="98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6" t="s">
        <v>121</v>
      </c>
      <c r="C37" s="97"/>
      <c r="D37" s="97"/>
      <c r="E37" s="97"/>
      <c r="F37" s="98"/>
      <c r="G37" s="26">
        <f>(G35+G36)*'Fane 15. Nøgletal'!C20</f>
        <v>273402.46926217293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3" t="s">
        <v>130</v>
      </c>
      <c r="C40" s="94"/>
      <c r="D40" s="94"/>
      <c r="E40" s="94"/>
      <c r="F40" s="94"/>
      <c r="G40" s="94"/>
      <c r="H40" s="95"/>
      <c r="I40" s="1"/>
    </row>
    <row r="41" spans="1:9" x14ac:dyDescent="0.25">
      <c r="A41" s="1"/>
      <c r="B41" s="96" t="s">
        <v>123</v>
      </c>
      <c r="C41" s="97"/>
      <c r="D41" s="97"/>
      <c r="E41" s="97"/>
      <c r="F41" s="98"/>
      <c r="G41" s="26">
        <f>(G35+G36-G37)*(1+'Fane 15. Nøgletal'!C12)</f>
        <v>9537707.9072566628</v>
      </c>
      <c r="H41" s="14" t="s">
        <v>3</v>
      </c>
      <c r="I41" s="1"/>
    </row>
    <row r="42" spans="1:9" x14ac:dyDescent="0.25">
      <c r="A42" s="1"/>
      <c r="B42" s="96" t="s">
        <v>157</v>
      </c>
      <c r="C42" s="97"/>
      <c r="D42" s="97"/>
      <c r="E42" s="97"/>
      <c r="F42" s="98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6" t="s">
        <v>122</v>
      </c>
      <c r="C43" s="97"/>
      <c r="D43" s="97"/>
      <c r="E43" s="97"/>
      <c r="F43" s="98"/>
      <c r="G43" s="26">
        <f>(G41+G42)*'Fane 15. Nøgletal'!C20</f>
        <v>270870.90456608922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ihbiHi2dUbFArPwTMAejUtldCjrlpGPPjiCiLaaay1oaq5rG9lwxXWkdA/M1SGsEId/owTS2fr2N5PtBAAjzJw==" saltValue="SNdir87QZp+b5BNbJTBVgg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148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10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6" t="s">
        <v>131</v>
      </c>
      <c r="C9" s="97"/>
      <c r="D9" s="97"/>
      <c r="E9" s="97"/>
      <c r="F9" s="98"/>
      <c r="G9" s="25">
        <v>1.9471112557803871E-2</v>
      </c>
      <c r="H9" s="14"/>
      <c r="I9" s="1"/>
    </row>
    <row r="10" spans="1:9" x14ac:dyDescent="0.25">
      <c r="A10" s="1"/>
      <c r="B10" s="96" t="s">
        <v>132</v>
      </c>
      <c r="C10" s="97"/>
      <c r="D10" s="97"/>
      <c r="E10" s="97"/>
      <c r="F10" s="98"/>
      <c r="G10" s="25">
        <v>1.1729826545626805E-2</v>
      </c>
      <c r="H10" s="14"/>
      <c r="I10" s="1"/>
    </row>
    <row r="11" spans="1:9" x14ac:dyDescent="0.25">
      <c r="A11" s="1"/>
      <c r="B11" s="96" t="s">
        <v>133</v>
      </c>
      <c r="C11" s="97"/>
      <c r="D11" s="97"/>
      <c r="E11" s="97"/>
      <c r="F11" s="98"/>
      <c r="G11" s="43">
        <v>0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3" t="s">
        <v>78</v>
      </c>
      <c r="C14" s="103"/>
      <c r="D14" s="103"/>
      <c r="E14" s="103"/>
      <c r="F14" s="103"/>
      <c r="G14" s="103"/>
      <c r="H14" s="103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AXuSxIfFYeSwCm6z9DC0Lwl+eisKwQT9R8y8DzlJfJ8hYe+klHtolBF3WJGnoS7FZ69c91gRRXIMKyAsvTxMrw==" saltValue="i+r+a4ej6ZUGzS6lkmLd1g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2019-10-15T11:11:26Z</dcterms:modified>
</cp:coreProperties>
</file>