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Tønder Spildevand AS (S096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G19" i="11" l="1"/>
  <c r="F19" i="11"/>
  <c r="E11" i="11"/>
  <c r="E12" i="11"/>
  <c r="E13" i="11"/>
  <c r="E14" i="11"/>
  <c r="E15" i="11"/>
  <c r="E16" i="11"/>
  <c r="E17" i="11"/>
  <c r="E18" i="11"/>
  <c r="E19" i="40" l="1"/>
  <c r="E16" i="40" l="1"/>
  <c r="E12" i="40"/>
  <c r="E10" i="11" l="1"/>
  <c r="E19" i="11" s="1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C10" i="37" l="1"/>
  <c r="C13" i="37" s="1"/>
  <c r="C14" i="37" s="1"/>
  <c r="C10" i="2" s="1"/>
  <c r="E11" i="21" l="1"/>
  <c r="C11" i="21"/>
  <c r="E11" i="29"/>
  <c r="C11" i="29"/>
  <c r="C14" i="19"/>
  <c r="C15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0" i="37"/>
  <c r="E13" i="37" s="1"/>
  <c r="E14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<sst xmlns="http://schemas.openxmlformats.org/spreadsheetml/2006/main" count="697" uniqueCount="280">
  <si>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</si>
  <si>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</si>
  <si>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</si>
  <si>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</si>
  <si>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</si>
  <si>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</si>
  <si>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</si>
  <si>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</si>
  <si>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</si>
  <si>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</si>
  <si>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</si>
  <si>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</si>
  <si>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</si>
  <si>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</si>
  <si>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</si>
  <si>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</si>
  <si>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</si>
  <si>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</si>
  <si>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</si>
  <si>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</si>
  <si>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</si>
  <si>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</si>
  <si>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</si>
  <si>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</si>
  <si>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</si>
  <si>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</si>
  <si>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</si>
  <si>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</si>
  <si>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</si>
  <si>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</si>
  <si>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</si>
  <si>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</si>
  <si>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</si>
  <si>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</si>
  <si>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</si>
  <si>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</si>
  <si>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</si>
  <si>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</si>
  <si>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</si>
  <si>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</si>
  <si>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</si>
  <si>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</si>
  <si>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</si>
  <si>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</si>
  <si>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</si>
  <si>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</si>
  <si>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</si>
  <si>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</si>
  <si>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</si>
  <si>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</si>
  <si>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</si>
  <si>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</si>
  <si>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</si>
  <si>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</si>
  <si>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</si>
  <si>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</si>
  <si>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</si>
  <si>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</si>
  <si>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</si>
  <si>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</si>
  <si>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</si>
  <si>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</si>
  <si>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</si>
  <si>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</si>
  <si>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</si>
  <si>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</si>
  <si>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</si>
  <si>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</si>
  <si>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</si>
  <si>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</si>
  <si>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</si>
  <si>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</si>
  <si>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</si>
  <si>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</si>
  <si>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</si>
  <si>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</si>
  <si>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</si>
  <si>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</si>
  <si>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</si>
  <si>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</si>
  <si>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</si>
  <si>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</si>
  <si>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</si>
  <si>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</si>
  <si>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</si>
  <si>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</si>
  <si>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</si>
  <si>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</si>
  <si>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</si>
  <si>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</si>
  <si>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</si>
  <si>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</si>
  <si>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</si>
  <si>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</si>
  <si>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</si>
  <si>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</si>
  <si>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</si>
  <si>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</si>
  <si>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</si>
  <si>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</si>
  <si>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</si>
  <si>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</si>
  <si>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</si>
  <si>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</si>
  <si>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</si>
  <si>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</si>
  <si>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</si>
  <si>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</si>
  <si>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</si>
  <si>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</si>
  <si>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</si>
  <si>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</si>
  <si>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</si>
  <si>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</si>
  <si>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</si>
  <si>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</si>
  <si>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</si>
  <si>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</si>
  <si>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</si>
  <si>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</si>
  <si>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</si>
  <si>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</si>
  <si>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</si>
  <si>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</si>
  <si>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</si>
  <si>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</si>
  <si>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</si>
  <si>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</si>
  <si>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</si>
  <si>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</si>
  <si>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</si>
  <si>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</si>
  <si>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</si>
  <si>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</si>
  <si>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</si>
  <si>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</si>
  <si>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</si>
  <si>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</si>
  <si>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</si>
  <si>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</si>
  <si>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</si>
  <si>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</si>
  <si>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</si>
  <si>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</si>
  <si>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</si>
  <si>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</si>
  <si>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</si>
  <si>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</si>
  <si>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</si>
  <si>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</si>
  <si>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</si>
  <si>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</si>
  <si>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</si>
  <si>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</si>
  <si>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</si>
  <si>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</si>
  <si>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</si>
  <si>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</si>
  <si>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</si>
  <si>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</si>
  <si>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</si>
  <si>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</si>
  <si>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</si>
  <si>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</si>
  <si>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</si>
  <si>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</si>
  <si>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</si>
  <si>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</si>
  <si>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</si>
  <si>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</si>
  <si>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</si>
  <si>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</si>
  <si>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</si>
  <si>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</si>
  <si>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</si>
  <si>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</si>
  <si>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</si>
  <si>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</si>
  <si>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</si>
  <si>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</si>
  <si>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</si>
  <si>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</si>
  <si>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</si>
  <si>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</si>
  <si>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</si>
  <si>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</si>
  <si>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</si>
  <si>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</si>
  <si>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</si>
  <si>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</si>
  <si>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</si>
  <si>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</si>
  <si>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</si>
  <si>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</si>
  <si>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</si>
  <si>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</si>
  <si>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</si>
  <si>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</si>
  <si>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</si>
  <si>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</si>
  <si>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</si>
  <si>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</si>
  <si>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</si>
  <si>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</si>
  <si>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</si>
  <si>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</si>
  <si>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</si>
  <si>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</si>
  <si>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</si>
  <si>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</si>
  <si>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</si>
  <si>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</si>
  <si>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</si>
  <si>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</si>
  <si>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</si>
  <si>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</si>
  <si>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</si>
  <si>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</si>
  <si>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</si>
  <si>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</si>
  <si>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</si>
  <si>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</si>
  <si>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</si>
  <si>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</si>
  <si>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</si>
  <si>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</si>
  <si>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</si>
  <si>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</si>
  <si>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</si>
  <si>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</si>
  <si>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</si>
  <si>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</si>
  <si>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</si>
  <si>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</si>
  <si>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</si>
  <si>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</si>
  <si>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</si>
  <si>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</si>
  <si>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</si>
  <si>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</si>
  <si>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</si>
  <si>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</si>
  <si>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</si>
  <si>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</si>
  <si>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</si>
  <si>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</si>
  <si>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</si>
  <si>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</si>
  <si>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</si>
  <si>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</si>
  <si>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</si>
  <si>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</si>
  <si>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</si>
  <si>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</si>
  <si>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</si>
  <si>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</si>
  <si>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</si>
  <si>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</si>
  <si>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</si>
  <si>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</si>
  <si>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</si>
  <si>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</si>
  <si>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Ejendomsskatter</t>
  </si>
  <si>
    <t xml:space="preserve">Øvrige distributionsanlæg (infrastuktur) </t>
  </si>
  <si>
    <t>Anlægsprojekter igangsat senest 1. marts 2016</t>
  </si>
  <si>
    <t>Separatkloakeringsprojekter</t>
  </si>
  <si>
    <t>Kloakeringsprojekter og byggemodninger</t>
  </si>
  <si>
    <t>Ingen engangstillæg</t>
  </si>
  <si>
    <t>Brønde</t>
  </si>
  <si>
    <t>Ledningsnet ≤ Ø 200 mm</t>
  </si>
  <si>
    <t>Pumpestationer i brønde (&lt; 6,25 m2), Konstruktioner</t>
  </si>
  <si>
    <t>Pumpestationer i brønde (&lt; 6,25 m2), Mek/EL</t>
  </si>
  <si>
    <t>Pumpestationer i brønde (&lt; 6,25 m2), SRO</t>
  </si>
  <si>
    <t>Ø 1000 mm &lt; Ledningsnet ≤ Ø 1200 mm</t>
  </si>
  <si>
    <t>Ø 200 mm &lt; Ledningsnet ≤ Ø 500 mm</t>
  </si>
  <si>
    <t>Ø 500 mm &lt; Ledningsnet ≤ Ø 800 mm</t>
  </si>
  <si>
    <t>75</t>
  </si>
  <si>
    <t>50</t>
  </si>
  <si>
    <t>20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</si>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</sst>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right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1" t="s">
        <v>4</v>
      </c>
      <c r="E6" s="61"/>
      <c r="F6" s="61"/>
      <c r="G6" s="61"/>
      <c r="H6" s="3"/>
      <c r="I6" s="1"/>
    </row>
    <row r="7" spans="1:9" ht="15" customHeight="1" x14ac:dyDescent="0.25">
      <c r="A7" s="1"/>
      <c r="B7" s="1"/>
      <c r="C7" s="3"/>
      <c r="D7" s="61"/>
      <c r="E7" s="61"/>
      <c r="F7" s="61"/>
      <c r="G7" s="61"/>
      <c r="H7" s="3"/>
      <c r="I7" s="1"/>
    </row>
    <row r="8" spans="1:9" ht="15.75" x14ac:dyDescent="0.25">
      <c r="A8" s="1"/>
      <c r="B8" s="1"/>
      <c r="C8" s="4"/>
      <c r="D8" s="69" t="s">
        <v>172</v>
      </c>
      <c r="E8" s="69"/>
      <c r="F8" s="69"/>
      <c r="G8" s="69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8" t="s">
        <v>5</v>
      </c>
      <c r="E11" s="68"/>
      <c r="F11" s="68"/>
      <c r="G11" s="68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58" t="s">
        <v>52</v>
      </c>
      <c r="E13" s="59"/>
      <c r="F13" s="59"/>
      <c r="G13" s="60"/>
      <c r="H13" s="1"/>
      <c r="I13" s="1"/>
    </row>
    <row r="14" spans="1:9" x14ac:dyDescent="0.25">
      <c r="A14" s="1"/>
      <c r="B14" s="1"/>
      <c r="C14" s="6" t="s">
        <v>23</v>
      </c>
      <c r="D14" s="58" t="s">
        <v>54</v>
      </c>
      <c r="E14" s="59"/>
      <c r="F14" s="59"/>
      <c r="G14" s="60"/>
      <c r="H14" s="1"/>
      <c r="I14" s="1"/>
    </row>
    <row r="15" spans="1:9" x14ac:dyDescent="0.25">
      <c r="A15" s="1"/>
      <c r="B15" s="1"/>
      <c r="C15" s="6" t="s">
        <v>51</v>
      </c>
      <c r="D15" s="58" t="s">
        <v>135</v>
      </c>
      <c r="E15" s="59"/>
      <c r="F15" s="59"/>
      <c r="G15" s="60"/>
      <c r="H15" s="1"/>
      <c r="I15" s="1"/>
    </row>
    <row r="16" spans="1:9" x14ac:dyDescent="0.25">
      <c r="A16" s="1"/>
      <c r="B16" s="1"/>
      <c r="C16" s="6" t="s">
        <v>53</v>
      </c>
      <c r="D16" s="58" t="s">
        <v>136</v>
      </c>
      <c r="E16" s="59"/>
      <c r="F16" s="59"/>
      <c r="G16" s="60"/>
      <c r="H16" s="1"/>
      <c r="I16" s="1"/>
    </row>
    <row r="17" spans="1:9" x14ac:dyDescent="0.25">
      <c r="A17" s="1"/>
      <c r="B17" s="1"/>
      <c r="C17" s="6" t="s">
        <v>241</v>
      </c>
      <c r="D17" s="58" t="s">
        <v>63</v>
      </c>
      <c r="E17" s="59"/>
      <c r="F17" s="59"/>
      <c r="G17" s="60"/>
      <c r="H17" s="1"/>
      <c r="I17" s="1"/>
    </row>
    <row r="18" spans="1:9" x14ac:dyDescent="0.25">
      <c r="A18" s="1"/>
      <c r="B18" s="1"/>
      <c r="C18" s="6" t="s">
        <v>212</v>
      </c>
      <c r="D18" s="70" t="s">
        <v>180</v>
      </c>
      <c r="E18" s="71"/>
      <c r="F18" s="71"/>
      <c r="G18" s="72"/>
      <c r="H18" s="1"/>
      <c r="I18" s="1"/>
    </row>
    <row r="19" spans="1:9" x14ac:dyDescent="0.25">
      <c r="A19" s="1"/>
      <c r="B19" s="1"/>
      <c r="C19" s="6" t="s">
        <v>213</v>
      </c>
      <c r="D19" s="70" t="s">
        <v>181</v>
      </c>
      <c r="E19" s="71"/>
      <c r="F19" s="71"/>
      <c r="G19" s="72"/>
      <c r="H19" s="1"/>
      <c r="I19" s="1"/>
    </row>
    <row r="20" spans="1:9" x14ac:dyDescent="0.25">
      <c r="A20" s="1"/>
      <c r="B20" s="1"/>
      <c r="C20" s="6" t="s">
        <v>7</v>
      </c>
      <c r="D20" s="70" t="s">
        <v>10</v>
      </c>
      <c r="E20" s="71"/>
      <c r="F20" s="71"/>
      <c r="G20" s="72"/>
      <c r="H20" s="1"/>
      <c r="I20" s="1"/>
    </row>
    <row r="21" spans="1:9" x14ac:dyDescent="0.25">
      <c r="A21" s="1"/>
      <c r="B21" s="1"/>
      <c r="C21" s="6" t="s">
        <v>214</v>
      </c>
      <c r="D21" s="62" t="s">
        <v>17</v>
      </c>
      <c r="E21" s="63"/>
      <c r="F21" s="63"/>
      <c r="G21" s="64"/>
      <c r="H21" s="1"/>
      <c r="I21" s="1"/>
    </row>
    <row r="22" spans="1:9" x14ac:dyDescent="0.25">
      <c r="A22" s="1"/>
      <c r="B22" s="1"/>
      <c r="C22" s="6" t="s">
        <v>142</v>
      </c>
      <c r="D22" s="65" t="s">
        <v>176</v>
      </c>
      <c r="E22" s="66"/>
      <c r="F22" s="66"/>
      <c r="G22" s="67"/>
      <c r="H22" s="1"/>
      <c r="I22" s="1"/>
    </row>
    <row r="23" spans="1:9" x14ac:dyDescent="0.25">
      <c r="A23" s="1"/>
      <c r="B23" s="1"/>
      <c r="C23" s="6" t="s">
        <v>8</v>
      </c>
      <c r="D23" s="65" t="s">
        <v>249</v>
      </c>
      <c r="E23" s="66"/>
      <c r="F23" s="66"/>
      <c r="G23" s="67"/>
      <c r="H23" s="1"/>
      <c r="I23" s="1"/>
    </row>
    <row r="24" spans="1:9" x14ac:dyDescent="0.25">
      <c r="A24" s="1"/>
      <c r="B24" s="1"/>
      <c r="C24" s="6" t="s">
        <v>9</v>
      </c>
      <c r="D24" s="65" t="s">
        <v>55</v>
      </c>
      <c r="E24" s="66"/>
      <c r="F24" s="66"/>
      <c r="G24" s="67"/>
      <c r="H24" s="1"/>
      <c r="I24" s="1"/>
    </row>
    <row r="25" spans="1:9" x14ac:dyDescent="0.25">
      <c r="A25" s="1"/>
      <c r="B25" s="1"/>
      <c r="C25" s="6" t="s">
        <v>215</v>
      </c>
      <c r="D25" s="65" t="s">
        <v>143</v>
      </c>
      <c r="E25" s="66"/>
      <c r="F25" s="66"/>
      <c r="G25" s="67"/>
      <c r="H25" s="1"/>
      <c r="I25" s="1"/>
    </row>
    <row r="26" spans="1:9" x14ac:dyDescent="0.25">
      <c r="A26" s="1"/>
      <c r="B26" s="1"/>
      <c r="C26" s="6" t="s">
        <v>216</v>
      </c>
      <c r="D26" s="65" t="s">
        <v>144</v>
      </c>
      <c r="E26" s="66"/>
      <c r="F26" s="66"/>
      <c r="G26" s="67"/>
      <c r="H26" s="1"/>
      <c r="I26" s="1"/>
    </row>
    <row r="27" spans="1:9" x14ac:dyDescent="0.25">
      <c r="A27" s="1"/>
      <c r="B27" s="1"/>
      <c r="C27" s="6" t="s">
        <v>217</v>
      </c>
      <c r="D27" s="65" t="s">
        <v>145</v>
      </c>
      <c r="E27" s="66"/>
      <c r="F27" s="66"/>
      <c r="G27" s="67"/>
      <c r="H27" s="1"/>
      <c r="I27" s="1"/>
    </row>
    <row r="28" spans="1:9" x14ac:dyDescent="0.25">
      <c r="A28" s="1"/>
      <c r="B28" s="1"/>
      <c r="C28" s="6" t="s">
        <v>22</v>
      </c>
      <c r="D28" s="65" t="s">
        <v>56</v>
      </c>
      <c r="E28" s="66"/>
      <c r="F28" s="66"/>
      <c r="G28" s="67"/>
      <c r="H28" s="1"/>
      <c r="I28" s="1"/>
    </row>
    <row r="29" spans="1:9" x14ac:dyDescent="0.25">
      <c r="A29" s="1"/>
      <c r="B29" s="1"/>
      <c r="C29" s="6" t="s">
        <v>58</v>
      </c>
      <c r="D29" s="65" t="s">
        <v>57</v>
      </c>
      <c r="E29" s="66"/>
      <c r="F29" s="66"/>
      <c r="G29" s="67"/>
      <c r="H29" s="1"/>
      <c r="I29" s="1"/>
    </row>
    <row r="30" spans="1:9" x14ac:dyDescent="0.25">
      <c r="A30" s="1"/>
      <c r="B30" s="1"/>
      <c r="C30" s="6" t="s">
        <v>59</v>
      </c>
      <c r="D30" s="76" t="s">
        <v>11</v>
      </c>
      <c r="E30" s="77"/>
      <c r="F30" s="77"/>
      <c r="G30" s="78"/>
      <c r="H30" s="1"/>
      <c r="I30" s="1"/>
    </row>
    <row r="31" spans="1:9" x14ac:dyDescent="0.25">
      <c r="A31" s="1"/>
      <c r="B31" s="1"/>
      <c r="C31" s="6" t="s">
        <v>175</v>
      </c>
      <c r="D31" s="73" t="s">
        <v>207</v>
      </c>
      <c r="E31" s="74"/>
      <c r="F31" s="74"/>
      <c r="G31" s="75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FHx2ICaq+/hD4RawBsgSRHbhVkpWfYERpwDG+IA3PCkJx8iZQKISnzTujLk2s7KISDPKQhlexKUfn90sGnHb4A==" saltValue="nvy83PSIkp+Tc7+1IIR+Sw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0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4" t="s">
        <v>66</v>
      </c>
      <c r="C8" s="95"/>
      <c r="D8" s="96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4" t="s">
        <v>259</v>
      </c>
      <c r="C10" s="9">
        <v>2228359</v>
      </c>
      <c r="D10" s="14" t="s">
        <v>3</v>
      </c>
      <c r="E10" s="1"/>
      <c r="F10" s="1"/>
    </row>
    <row r="11" spans="1:6" x14ac:dyDescent="0.25">
      <c r="A11" s="1"/>
      <c r="B11" s="54" t="s">
        <v>260</v>
      </c>
      <c r="C11" s="9">
        <v>44308</v>
      </c>
      <c r="D11" s="14" t="s">
        <v>3</v>
      </c>
      <c r="E11" s="1"/>
      <c r="F11" s="1"/>
    </row>
    <row r="12" spans="1:6" ht="26.25" x14ac:dyDescent="0.25">
      <c r="A12" s="1"/>
      <c r="B12" s="35" t="s">
        <v>261</v>
      </c>
      <c r="C12" s="9">
        <v>699601</v>
      </c>
      <c r="D12" s="14" t="s">
        <v>3</v>
      </c>
      <c r="E12" s="1"/>
      <c r="F12" s="1"/>
    </row>
    <row r="13" spans="1:6" x14ac:dyDescent="0.25">
      <c r="A13" s="1"/>
      <c r="B13" s="54" t="s">
        <v>262</v>
      </c>
      <c r="C13" s="9">
        <v>151644</v>
      </c>
      <c r="D13" s="14" t="s">
        <v>3</v>
      </c>
      <c r="E13" s="1"/>
      <c r="F13" s="1"/>
    </row>
    <row r="14" spans="1:6" x14ac:dyDescent="0.25">
      <c r="A14" s="1"/>
      <c r="B14" s="40" t="s">
        <v>68</v>
      </c>
      <c r="C14" s="12">
        <f>SUM(C10:C13)</f>
        <v>3123912</v>
      </c>
      <c r="D14" s="13" t="s">
        <v>3</v>
      </c>
      <c r="E14" s="1"/>
      <c r="F14" s="1"/>
    </row>
    <row r="15" spans="1:6" x14ac:dyDescent="0.25">
      <c r="A15" s="1"/>
      <c r="B15" s="40" t="s">
        <v>69</v>
      </c>
      <c r="C15" s="12">
        <f>C14*(1+'Fane 15. Nøgletal'!C12)^2</f>
        <v>3248206.4918080801</v>
      </c>
      <c r="D15" s="13" t="s">
        <v>3</v>
      </c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94" t="s">
        <v>236</v>
      </c>
      <c r="C18" s="95"/>
      <c r="D18" s="96"/>
      <c r="E18" s="1"/>
      <c r="F18" s="1"/>
    </row>
    <row r="19" spans="1:6" x14ac:dyDescent="0.25">
      <c r="A19" s="1"/>
      <c r="B19" s="54" t="s">
        <v>197</v>
      </c>
      <c r="C19" s="9">
        <v>0</v>
      </c>
      <c r="D19" s="14" t="s">
        <v>3</v>
      </c>
      <c r="E19" s="1"/>
      <c r="F19" s="1"/>
    </row>
    <row r="20" spans="1:6" x14ac:dyDescent="0.25">
      <c r="A20" s="1"/>
      <c r="B20" s="54" t="s">
        <v>198</v>
      </c>
      <c r="C20" s="9">
        <v>0</v>
      </c>
      <c r="D20" s="14" t="s">
        <v>3</v>
      </c>
      <c r="E20" s="1"/>
      <c r="F20" s="1"/>
    </row>
    <row r="21" spans="1:6" x14ac:dyDescent="0.25">
      <c r="A21" s="1"/>
      <c r="B21" s="54" t="s">
        <v>199</v>
      </c>
      <c r="C21" s="9">
        <v>0</v>
      </c>
      <c r="D21" s="14" t="s">
        <v>3</v>
      </c>
      <c r="E21" s="1"/>
      <c r="F21" s="1"/>
    </row>
    <row r="22" spans="1:6" x14ac:dyDescent="0.25">
      <c r="A22" s="1"/>
      <c r="B22" s="54" t="s">
        <v>200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94"/>
      <c r="C23" s="95"/>
      <c r="D23" s="96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94" t="s">
        <v>196</v>
      </c>
      <c r="C26" s="95"/>
      <c r="D26" s="96"/>
      <c r="E26" s="1"/>
      <c r="F26" s="1"/>
    </row>
    <row r="27" spans="1:6" x14ac:dyDescent="0.25">
      <c r="A27" s="1"/>
      <c r="B27" s="54" t="s">
        <v>197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54" t="s">
        <v>198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4" t="s">
        <v>199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4" t="s">
        <v>200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94"/>
      <c r="C31" s="95"/>
      <c r="D31" s="96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QOpKXfhtr5z7h3flMWS103hzpfqQ+LHSW1kxFn1l28cW4zZU9uG9QbFKGoFQDUui8H3M13tOHnLJEeXJe8+4lg==" saltValue="Wv/s3nGs/181Z/7VmbkRlg==" spinCount="100000" sheet="1" objects="1" scenarios="1"/>
  <mergeCells count="6">
    <mergeCell ref="B31:D31"/>
    <mergeCell ref="B3:D4"/>
    <mergeCell ref="B8:D8"/>
    <mergeCell ref="B18:D18"/>
    <mergeCell ref="B26:D26"/>
    <mergeCell ref="B23:D23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226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ht="15" customHeight="1" x14ac:dyDescent="0.25">
      <c r="A5" s="1"/>
      <c r="B5" s="52"/>
      <c r="C5" s="52"/>
      <c r="D5" s="52"/>
      <c r="E5" s="52"/>
      <c r="F5" s="52"/>
      <c r="G5" s="1"/>
    </row>
    <row r="6" spans="1:7" ht="15" customHeight="1" x14ac:dyDescent="0.25">
      <c r="A6" s="1"/>
      <c r="B6" s="52"/>
      <c r="C6" s="52"/>
      <c r="D6" s="52"/>
      <c r="E6" s="52"/>
      <c r="F6" s="52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183</v>
      </c>
      <c r="C8" s="95"/>
      <c r="D8" s="95"/>
      <c r="E8" s="95"/>
      <c r="F8" s="96"/>
      <c r="G8" s="1"/>
    </row>
    <row r="9" spans="1:7" x14ac:dyDescent="0.25">
      <c r="A9" s="1"/>
      <c r="B9" s="97" t="s">
        <v>184</v>
      </c>
      <c r="C9" s="98"/>
      <c r="D9" s="99"/>
      <c r="E9" s="9">
        <v>82911061.83107847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69044581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0</v>
      </c>
      <c r="F11" s="14" t="s">
        <v>3</v>
      </c>
      <c r="G11" s="1"/>
    </row>
    <row r="12" spans="1:7" x14ac:dyDescent="0.25">
      <c r="A12" s="1"/>
      <c r="B12" s="88" t="s">
        <v>186</v>
      </c>
      <c r="C12" s="89"/>
      <c r="D12" s="90"/>
      <c r="E12" s="10">
        <f>E9-(E10-E11)</f>
        <v>13866480.83107847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1" t="s">
        <v>208</v>
      </c>
      <c r="C14" s="82"/>
      <c r="D14" s="82"/>
      <c r="E14" s="82"/>
      <c r="F14" s="8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4" t="s">
        <v>73</v>
      </c>
      <c r="C17" s="95"/>
      <c r="D17" s="95"/>
      <c r="E17" s="95"/>
      <c r="F17" s="96"/>
      <c r="G17" s="1"/>
    </row>
    <row r="18" spans="1:7" x14ac:dyDescent="0.25">
      <c r="A18" s="1"/>
      <c r="B18" s="97" t="s">
        <v>74</v>
      </c>
      <c r="C18" s="98"/>
      <c r="D18" s="99"/>
      <c r="E18" s="9">
        <v>69548944.708468348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66785966.450000003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88" t="s">
        <v>76</v>
      </c>
      <c r="C21" s="89"/>
      <c r="D21" s="90"/>
      <c r="E21" s="10">
        <f>E18-(E19-E20)</f>
        <v>2762978.2584683448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4" t="s">
        <v>179</v>
      </c>
      <c r="C25" s="95"/>
      <c r="D25" s="95"/>
      <c r="E25" s="95"/>
      <c r="F25" s="96"/>
      <c r="G25" s="1"/>
    </row>
    <row r="26" spans="1:7" x14ac:dyDescent="0.25">
      <c r="A26" s="1"/>
      <c r="B26" s="105" t="s">
        <v>174</v>
      </c>
      <c r="C26" s="106"/>
      <c r="D26" s="107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88" t="s">
        <v>251</v>
      </c>
      <c r="C28" s="89"/>
      <c r="D28" s="90"/>
      <c r="E28" s="10">
        <f>E26/E27</f>
        <v>0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qLEowwbSz8z5Bka2HzQOKK7v2i7FxBAnhjq/wRbdjNkf/pRA7HGzHzcquq4UnEcJ0S94emOpH9JfyxBFP7LVmg==" saltValue="JgK9HbvWNMwBWGYpODZaUg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252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4" t="s">
        <v>177</v>
      </c>
      <c r="C9" s="95"/>
      <c r="D9" s="95"/>
      <c r="E9" s="95"/>
      <c r="F9" s="95"/>
      <c r="G9" s="1"/>
    </row>
    <row r="10" spans="1:7" x14ac:dyDescent="0.25">
      <c r="A10" s="1"/>
      <c r="B10" s="81" t="s">
        <v>201</v>
      </c>
      <c r="C10" s="82"/>
      <c r="D10" s="83"/>
      <c r="E10" s="7">
        <v>0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2317360.9300000002</v>
      </c>
      <c r="F11" s="8" t="s">
        <v>3</v>
      </c>
      <c r="G11" s="1"/>
    </row>
    <row r="12" spans="1:7" x14ac:dyDescent="0.25">
      <c r="A12" s="1"/>
      <c r="B12" s="88" t="s">
        <v>203</v>
      </c>
      <c r="C12" s="89"/>
      <c r="D12" s="90"/>
      <c r="E12" s="10">
        <f>E11-E10</f>
        <v>2317360.9300000002</v>
      </c>
      <c r="F12" s="11" t="s">
        <v>3</v>
      </c>
      <c r="G12" s="1"/>
    </row>
    <row r="13" spans="1:7" x14ac:dyDescent="0.25">
      <c r="A13" s="1"/>
      <c r="B13" s="94" t="s">
        <v>178</v>
      </c>
      <c r="C13" s="95"/>
      <c r="D13" s="95"/>
      <c r="E13" s="95"/>
      <c r="F13" s="95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1" t="s">
        <v>211</v>
      </c>
      <c r="C15" s="82"/>
      <c r="D15" s="83"/>
      <c r="E15" s="9">
        <v>0</v>
      </c>
      <c r="F15" s="8" t="s">
        <v>3</v>
      </c>
      <c r="G15" s="1"/>
    </row>
    <row r="16" spans="1:7" x14ac:dyDescent="0.25">
      <c r="A16" s="1"/>
      <c r="B16" s="88" t="s">
        <v>203</v>
      </c>
      <c r="C16" s="89"/>
      <c r="D16" s="90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94" t="s">
        <v>173</v>
      </c>
      <c r="C17" s="95"/>
      <c r="D17" s="95"/>
      <c r="E17" s="95"/>
      <c r="F17" s="95"/>
      <c r="G17" s="1"/>
    </row>
    <row r="18" spans="1:7" ht="28.15" customHeight="1" x14ac:dyDescent="0.25">
      <c r="A18" s="1"/>
      <c r="B18" s="81" t="s">
        <v>258</v>
      </c>
      <c r="C18" s="82"/>
      <c r="D18" s="83"/>
      <c r="E18" s="9">
        <v>-26493.808125019306</v>
      </c>
      <c r="F18" s="8" t="s">
        <v>3</v>
      </c>
      <c r="G18" s="1"/>
    </row>
    <row r="19" spans="1:7" ht="29.25" customHeight="1" x14ac:dyDescent="0.25">
      <c r="A19" s="1"/>
      <c r="B19" s="91" t="s">
        <v>182</v>
      </c>
      <c r="C19" s="92"/>
      <c r="D19" s="93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7987.3074701545993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2325348.2374701547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IYvOCuDRaM5OI3cUa5GEQmNUURnExp5XI/tsmcnt2SLT62KG3x9OvAP+dPFGDBoYPFBRaIYGHKTNnPGA8hwsqw==" saltValue="LtSHDs0oxSQ/RMRPLD14iA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54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254</v>
      </c>
      <c r="C8" s="95"/>
      <c r="D8" s="95"/>
      <c r="E8" s="95"/>
      <c r="F8" s="95"/>
      <c r="G8" s="95"/>
      <c r="H8" s="96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ht="26.25" x14ac:dyDescent="0.25">
      <c r="A10" s="1"/>
      <c r="B10" s="56" t="s">
        <v>263</v>
      </c>
      <c r="C10" s="57">
        <v>10</v>
      </c>
      <c r="D10" s="9">
        <v>916429</v>
      </c>
      <c r="E10" s="9">
        <f t="shared" ref="E10:E18" si="0">IFERROR(D10/C10,0)</f>
        <v>91642.9</v>
      </c>
      <c r="F10" s="9">
        <v>0</v>
      </c>
      <c r="G10" s="9">
        <v>0</v>
      </c>
      <c r="H10" s="14" t="s">
        <v>3</v>
      </c>
      <c r="I10" s="1"/>
    </row>
    <row r="11" spans="1:9" x14ac:dyDescent="0.25">
      <c r="A11" s="1"/>
      <c r="B11" s="56" t="s">
        <v>268</v>
      </c>
      <c r="C11" s="57" t="s">
        <v>276</v>
      </c>
      <c r="D11" s="9">
        <v>2723722</v>
      </c>
      <c r="E11" s="9">
        <f t="shared" si="0"/>
        <v>36316.293333333335</v>
      </c>
      <c r="F11" s="9">
        <v>0</v>
      </c>
      <c r="G11" s="9">
        <v>127378</v>
      </c>
      <c r="H11" s="14" t="s">
        <v>3</v>
      </c>
      <c r="I11" s="1"/>
    </row>
    <row r="12" spans="1:9" x14ac:dyDescent="0.25">
      <c r="A12" s="1"/>
      <c r="B12" s="56" t="s">
        <v>269</v>
      </c>
      <c r="C12" s="57" t="s">
        <v>276</v>
      </c>
      <c r="D12" s="9">
        <v>2742484</v>
      </c>
      <c r="E12" s="9">
        <f t="shared" si="0"/>
        <v>36566.453333333331</v>
      </c>
      <c r="F12" s="9">
        <v>0</v>
      </c>
      <c r="G12" s="9">
        <v>0</v>
      </c>
      <c r="H12" s="14" t="s">
        <v>3</v>
      </c>
      <c r="I12" s="1"/>
    </row>
    <row r="13" spans="1:9" ht="26.25" x14ac:dyDescent="0.25">
      <c r="A13" s="1"/>
      <c r="B13" s="56" t="s">
        <v>270</v>
      </c>
      <c r="C13" s="57" t="s">
        <v>277</v>
      </c>
      <c r="D13" s="9">
        <v>622779</v>
      </c>
      <c r="E13" s="9">
        <f t="shared" si="0"/>
        <v>12455.58</v>
      </c>
      <c r="F13" s="9">
        <v>0</v>
      </c>
      <c r="G13" s="9">
        <v>0</v>
      </c>
      <c r="H13" s="14" t="s">
        <v>3</v>
      </c>
      <c r="I13" s="1"/>
    </row>
    <row r="14" spans="1:9" ht="26.25" x14ac:dyDescent="0.25">
      <c r="A14" s="1"/>
      <c r="B14" s="56" t="s">
        <v>271</v>
      </c>
      <c r="C14" s="57" t="s">
        <v>278</v>
      </c>
      <c r="D14" s="9">
        <v>150068</v>
      </c>
      <c r="E14" s="9">
        <f t="shared" si="0"/>
        <v>7503.4</v>
      </c>
      <c r="F14" s="9">
        <v>0</v>
      </c>
      <c r="G14" s="9">
        <v>0</v>
      </c>
      <c r="H14" s="14" t="s">
        <v>3</v>
      </c>
      <c r="I14" s="1"/>
    </row>
    <row r="15" spans="1:9" ht="26.25" x14ac:dyDescent="0.25">
      <c r="A15" s="1"/>
      <c r="B15" s="56" t="s">
        <v>272</v>
      </c>
      <c r="C15" s="57" t="s">
        <v>279</v>
      </c>
      <c r="D15" s="9">
        <v>37517</v>
      </c>
      <c r="E15" s="9">
        <f t="shared" si="0"/>
        <v>3751.7</v>
      </c>
      <c r="F15" s="9">
        <v>0</v>
      </c>
      <c r="G15" s="9">
        <v>0</v>
      </c>
      <c r="H15" s="14" t="s">
        <v>3</v>
      </c>
      <c r="I15" s="1"/>
    </row>
    <row r="16" spans="1:9" ht="26.25" x14ac:dyDescent="0.25">
      <c r="A16" s="1"/>
      <c r="B16" s="56" t="s">
        <v>273</v>
      </c>
      <c r="C16" s="57" t="s">
        <v>276</v>
      </c>
      <c r="D16" s="9">
        <v>1120743</v>
      </c>
      <c r="E16" s="9">
        <f t="shared" si="0"/>
        <v>14943.24</v>
      </c>
      <c r="F16" s="9">
        <v>0</v>
      </c>
      <c r="G16" s="9">
        <v>0</v>
      </c>
      <c r="H16" s="14" t="s">
        <v>3</v>
      </c>
      <c r="I16" s="1"/>
    </row>
    <row r="17" spans="1:9" ht="26.25" x14ac:dyDescent="0.25">
      <c r="A17" s="1"/>
      <c r="B17" s="56" t="s">
        <v>274</v>
      </c>
      <c r="C17" s="57" t="s">
        <v>276</v>
      </c>
      <c r="D17" s="9">
        <v>4918991</v>
      </c>
      <c r="E17" s="9">
        <f t="shared" si="0"/>
        <v>65586.546666666662</v>
      </c>
      <c r="F17" s="9">
        <v>0</v>
      </c>
      <c r="G17" s="9">
        <v>0</v>
      </c>
      <c r="H17" s="14" t="s">
        <v>3</v>
      </c>
      <c r="I17" s="1"/>
    </row>
    <row r="18" spans="1:9" ht="26.25" x14ac:dyDescent="0.25">
      <c r="A18" s="1"/>
      <c r="B18" s="56" t="s">
        <v>275</v>
      </c>
      <c r="C18" s="57" t="s">
        <v>276</v>
      </c>
      <c r="D18" s="9">
        <v>2669383</v>
      </c>
      <c r="E18" s="9">
        <f t="shared" si="0"/>
        <v>35591.773333333331</v>
      </c>
      <c r="F18" s="9">
        <v>0</v>
      </c>
      <c r="G18" s="9">
        <v>0</v>
      </c>
      <c r="H18" s="14" t="s">
        <v>3</v>
      </c>
      <c r="I18" s="1"/>
    </row>
    <row r="19" spans="1:9" x14ac:dyDescent="0.25">
      <c r="A19" s="1"/>
      <c r="B19" s="94" t="s">
        <v>255</v>
      </c>
      <c r="C19" s="95"/>
      <c r="D19" s="96"/>
      <c r="E19" s="12">
        <f>SUM(E10:E18)</f>
        <v>304357.8866666666</v>
      </c>
      <c r="F19" s="12">
        <f>SUM(F10:F18)</f>
        <v>0</v>
      </c>
      <c r="G19" s="12">
        <f>SUM(G10:G18)</f>
        <v>127378</v>
      </c>
      <c r="H19" s="13" t="s">
        <v>3</v>
      </c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B39" s="1"/>
      <c r="C39" s="1"/>
      <c r="D39" s="1"/>
      <c r="E39" s="1"/>
      <c r="F39" s="1"/>
      <c r="G39" s="1"/>
      <c r="H39" s="1"/>
    </row>
    <row r="40" spans="1:9" x14ac:dyDescent="0.25">
      <c r="B40" s="1"/>
      <c r="C40" s="1"/>
      <c r="D40" s="1"/>
      <c r="E40" s="1"/>
      <c r="F40" s="1"/>
      <c r="G40" s="1"/>
      <c r="H40" s="1"/>
    </row>
    <row r="41" spans="1:9" x14ac:dyDescent="0.25">
      <c r="B41" s="1"/>
      <c r="C41" s="1"/>
      <c r="D41" s="1"/>
      <c r="E41" s="1"/>
      <c r="F41" s="1"/>
      <c r="G41" s="1"/>
      <c r="H41" s="1"/>
    </row>
    <row r="42" spans="1:9" x14ac:dyDescent="0.25">
      <c r="B42" s="1"/>
      <c r="C42" s="1"/>
      <c r="D42" s="1"/>
      <c r="E42" s="1"/>
      <c r="F42" s="1"/>
      <c r="G42" s="1"/>
      <c r="H42" s="1"/>
    </row>
    <row r="43" spans="1:9" x14ac:dyDescent="0.25">
      <c r="B43" s="1"/>
      <c r="C43" s="1"/>
      <c r="D43" s="1"/>
      <c r="E43" s="1"/>
      <c r="F43" s="1"/>
      <c r="G43" s="1"/>
      <c r="H43" s="1"/>
    </row>
    <row r="44" spans="1:9" x14ac:dyDescent="0.25">
      <c r="B44" s="1"/>
      <c r="C44" s="1"/>
      <c r="D44" s="1"/>
      <c r="E44" s="1"/>
      <c r="F44" s="1"/>
      <c r="G44" s="1"/>
      <c r="H44" s="1"/>
    </row>
    <row r="45" spans="1:9" x14ac:dyDescent="0.25">
      <c r="B45" s="1"/>
      <c r="C45" s="1"/>
      <c r="D45" s="1"/>
      <c r="E45" s="1"/>
      <c r="F45" s="1"/>
      <c r="G45" s="1"/>
      <c r="H45" s="1"/>
    </row>
    <row r="46" spans="1:9" x14ac:dyDescent="0.25">
      <c r="B46" s="1"/>
      <c r="C46" s="1"/>
      <c r="D46" s="1"/>
      <c r="E46" s="1"/>
      <c r="F46" s="1"/>
      <c r="G46" s="1"/>
      <c r="H46" s="1"/>
    </row>
    <row r="47" spans="1:9" x14ac:dyDescent="0.25">
      <c r="B47" s="1"/>
      <c r="C47" s="1"/>
      <c r="D47" s="1"/>
      <c r="E47" s="1"/>
      <c r="F47" s="1"/>
      <c r="G47" s="1"/>
      <c r="H47" s="1"/>
    </row>
    <row r="48" spans="1:9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</sheetData>
  <sheetProtection algorithmName="SHA-512" hashValue="EMOMzNnNxJK+Zpg1S+FgXln4B4AGr4TQuYqHWSXAMAmGBBKpdvjBx7C2B2aUw31TPKLjD5omQIKYwVOSZBlCOQ==" saltValue="EaPmHTDtqPD3Sg6Fxizp7w==" spinCount="100000" sheet="1" objects="1" scenarios="1"/>
  <mergeCells count="3">
    <mergeCell ref="B3:H4"/>
    <mergeCell ref="B19:D19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0" t="s">
        <v>25</v>
      </c>
      <c r="C9" s="50" t="s">
        <v>16</v>
      </c>
      <c r="D9" s="51"/>
      <c r="E9" s="50" t="s">
        <v>48</v>
      </c>
      <c r="F9" s="39"/>
      <c r="G9" s="1"/>
    </row>
    <row r="10" spans="1:7" x14ac:dyDescent="0.25">
      <c r="A10" s="1"/>
      <c r="B10" s="27" t="s">
        <v>264</v>
      </c>
      <c r="C10" s="24">
        <f>'Fane 9. Anlægsprojekter'!F19</f>
        <v>0</v>
      </c>
      <c r="D10" s="14" t="s">
        <v>3</v>
      </c>
      <c r="E10" s="9">
        <f>SUM('Fane 9. Anlægsprojekter'!E19,'Fane 9. Anlægsprojekter'!G19)</f>
        <v>431735.8866666666</v>
      </c>
      <c r="F10" s="14" t="s">
        <v>3</v>
      </c>
      <c r="G10" s="1"/>
    </row>
    <row r="11" spans="1:7" x14ac:dyDescent="0.25">
      <c r="A11" s="1"/>
      <c r="B11" s="45" t="s">
        <v>265</v>
      </c>
      <c r="C11" s="24">
        <v>413720</v>
      </c>
      <c r="D11" s="14" t="s">
        <v>3</v>
      </c>
      <c r="E11" s="9">
        <v>170264</v>
      </c>
      <c r="F11" s="14" t="s">
        <v>3</v>
      </c>
      <c r="G11" s="1"/>
    </row>
    <row r="12" spans="1:7" x14ac:dyDescent="0.25">
      <c r="A12" s="1"/>
      <c r="B12" s="27" t="s">
        <v>266</v>
      </c>
      <c r="C12" s="24">
        <v>674589</v>
      </c>
      <c r="D12" s="14" t="s">
        <v>3</v>
      </c>
      <c r="E12" s="9">
        <v>429164</v>
      </c>
      <c r="F12" s="14" t="s">
        <v>3</v>
      </c>
      <c r="G12" s="1"/>
    </row>
    <row r="13" spans="1:7" x14ac:dyDescent="0.25">
      <c r="A13" s="1"/>
      <c r="B13" s="40" t="s">
        <v>60</v>
      </c>
      <c r="C13" s="12">
        <f>SUM(C10:C12)</f>
        <v>1088309</v>
      </c>
      <c r="D13" s="13" t="s">
        <v>3</v>
      </c>
      <c r="E13" s="12">
        <f>SUM(E10:E12)</f>
        <v>1031163.8866666666</v>
      </c>
      <c r="F13" s="13" t="s">
        <v>3</v>
      </c>
      <c r="G13" s="1"/>
    </row>
    <row r="14" spans="1:7" x14ac:dyDescent="0.25">
      <c r="A14" s="1"/>
      <c r="B14" s="40" t="s">
        <v>70</v>
      </c>
      <c r="C14" s="12">
        <f>C13*(1+'Fane 15. Nøgletal'!C12)</f>
        <v>1109748.6873000001</v>
      </c>
      <c r="D14" s="13" t="s">
        <v>3</v>
      </c>
      <c r="E14" s="12">
        <f>E13*(1+'Fane 15. Nøgletal'!C12)</f>
        <v>1051477.8152340001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GYFiZS3HN6WWNXxsYV1TWDmuZZxvxV+ioW3Z83i+br5+7fEtMHol+TQrHLa+oUy/XQ8rGofLiAZDFkVtzTwh1Q==" saltValue="mj7caSnopMl7Smsp06aEh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187</v>
      </c>
      <c r="C8" s="95"/>
      <c r="D8" s="95"/>
      <c r="E8" s="95"/>
      <c r="F8" s="96"/>
      <c r="G8" s="1"/>
    </row>
    <row r="9" spans="1:7" x14ac:dyDescent="0.25">
      <c r="A9" s="1"/>
      <c r="B9" s="50" t="s">
        <v>25</v>
      </c>
      <c r="C9" s="50" t="s">
        <v>16</v>
      </c>
      <c r="D9" s="51"/>
      <c r="E9" s="50" t="s">
        <v>48</v>
      </c>
      <c r="F9" s="39"/>
      <c r="G9" s="1"/>
    </row>
    <row r="10" spans="1:7" x14ac:dyDescent="0.25">
      <c r="A10" s="1"/>
      <c r="B10" s="27" t="s">
        <v>267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4" t="s">
        <v>188</v>
      </c>
      <c r="C16" s="95"/>
      <c r="D16" s="95"/>
      <c r="E16" s="95"/>
      <c r="F16" s="96"/>
      <c r="G16" s="1"/>
    </row>
    <row r="17" spans="1:7" x14ac:dyDescent="0.25">
      <c r="A17" s="1"/>
      <c r="B17" s="50" t="s">
        <v>25</v>
      </c>
      <c r="C17" s="50" t="s">
        <v>16</v>
      </c>
      <c r="D17" s="51"/>
      <c r="E17" s="50" t="s">
        <v>48</v>
      </c>
      <c r="F17" s="39"/>
      <c r="G17" s="1"/>
    </row>
    <row r="18" spans="1:7" x14ac:dyDescent="0.25">
      <c r="A18" s="1"/>
      <c r="B18" s="27" t="s">
        <v>267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4" t="s">
        <v>189</v>
      </c>
      <c r="C24" s="95"/>
      <c r="D24" s="95"/>
      <c r="E24" s="95"/>
      <c r="F24" s="96"/>
      <c r="G24" s="1"/>
    </row>
    <row r="25" spans="1:7" x14ac:dyDescent="0.25">
      <c r="A25" s="1"/>
      <c r="B25" s="50" t="s">
        <v>25</v>
      </c>
      <c r="C25" s="50" t="s">
        <v>16</v>
      </c>
      <c r="D25" s="51"/>
      <c r="E25" s="50" t="s">
        <v>48</v>
      </c>
      <c r="F25" s="39"/>
      <c r="G25" s="1"/>
    </row>
    <row r="26" spans="1:7" x14ac:dyDescent="0.25">
      <c r="A26" s="1"/>
      <c r="B26" s="27" t="s">
        <v>267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4" t="s">
        <v>190</v>
      </c>
      <c r="C32" s="95"/>
      <c r="D32" s="95"/>
      <c r="E32" s="95"/>
      <c r="F32" s="96"/>
      <c r="G32" s="1"/>
    </row>
    <row r="33" spans="1:7" x14ac:dyDescent="0.25">
      <c r="A33" s="1"/>
      <c r="B33" s="50" t="s">
        <v>25</v>
      </c>
      <c r="C33" s="50" t="s">
        <v>16</v>
      </c>
      <c r="D33" s="51"/>
      <c r="E33" s="50" t="s">
        <v>48</v>
      </c>
      <c r="F33" s="39"/>
      <c r="G33" s="1"/>
    </row>
    <row r="34" spans="1:7" x14ac:dyDescent="0.25">
      <c r="A34" s="1"/>
      <c r="B34" s="27" t="s">
        <v>267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pedIsYDg9OBLBBZEqdJ6qo+L9auMiJRvwCT+SNq3b8Yal830cNKvj31lB1rpzjpvHosIa0Qh6xeIMmkER2AedA==" saltValue="1kCztrlYqduCwy5VJOSNwg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227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84"/>
      <c r="C5" s="84"/>
      <c r="D5" s="84"/>
      <c r="E5" s="84"/>
      <c r="F5" s="84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160</v>
      </c>
      <c r="C8" s="95"/>
      <c r="D8" s="95"/>
      <c r="E8" s="95"/>
      <c r="F8" s="96"/>
      <c r="G8" s="1"/>
    </row>
    <row r="9" spans="1:7" x14ac:dyDescent="0.25">
      <c r="A9" s="1"/>
      <c r="B9" s="111" t="s">
        <v>159</v>
      </c>
      <c r="C9" s="112"/>
      <c r="D9" s="113"/>
      <c r="E9" s="9">
        <v>2926492.4370629946</v>
      </c>
      <c r="F9" s="14" t="s">
        <v>3</v>
      </c>
      <c r="G9" s="1"/>
    </row>
    <row r="10" spans="1:7" x14ac:dyDescent="0.25">
      <c r="A10" s="1"/>
      <c r="B10" s="85" t="s">
        <v>10</v>
      </c>
      <c r="C10" s="86"/>
      <c r="D10" s="87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85" t="s">
        <v>39</v>
      </c>
      <c r="C11" s="86"/>
      <c r="D11" s="87"/>
      <c r="E11" s="9">
        <f>-E9*'Fane 15. Nøgletal'!C25</f>
        <v>-58529.848741259892</v>
      </c>
      <c r="F11" s="14" t="s">
        <v>3</v>
      </c>
      <c r="G11" s="1"/>
    </row>
    <row r="12" spans="1:7" x14ac:dyDescent="0.25">
      <c r="A12" s="1"/>
      <c r="B12" s="94" t="s">
        <v>164</v>
      </c>
      <c r="C12" s="95"/>
      <c r="D12" s="96"/>
      <c r="E12" s="12">
        <f>SUM(E9:E11)*(1+'Fane 15. Nøgletal'!C12)^2</f>
        <v>2982073.3419025131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161</v>
      </c>
      <c r="C14" s="95"/>
      <c r="D14" s="95"/>
      <c r="E14" s="95"/>
      <c r="F14" s="96"/>
      <c r="G14" s="1"/>
    </row>
    <row r="15" spans="1:7" x14ac:dyDescent="0.25">
      <c r="A15" s="1"/>
      <c r="B15" s="111" t="s">
        <v>159</v>
      </c>
      <c r="C15" s="112"/>
      <c r="D15" s="113"/>
      <c r="E15" s="9">
        <v>2926492.4370629946</v>
      </c>
      <c r="F15" s="14" t="s">
        <v>3</v>
      </c>
      <c r="G15" s="1"/>
    </row>
    <row r="16" spans="1:7" x14ac:dyDescent="0.25">
      <c r="A16" s="1"/>
      <c r="B16" s="85" t="s">
        <v>10</v>
      </c>
      <c r="C16" s="86"/>
      <c r="D16" s="87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5" t="s">
        <v>39</v>
      </c>
      <c r="C17" s="86"/>
      <c r="D17" s="87"/>
      <c r="E17" s="9">
        <f>-E15*'Fane 15. Nøgletal'!C25</f>
        <v>-58529.848741259892</v>
      </c>
      <c r="F17" s="14" t="s">
        <v>3</v>
      </c>
      <c r="G17" s="1"/>
    </row>
    <row r="18" spans="1:7" x14ac:dyDescent="0.25">
      <c r="A18" s="1"/>
      <c r="B18" s="94" t="s">
        <v>165</v>
      </c>
      <c r="C18" s="95"/>
      <c r="D18" s="96"/>
      <c r="E18" s="12">
        <f>SUM(E15:E17)*(1+'Fane 15. Nøgletal'!C12)^3</f>
        <v>3040820.1867379923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162</v>
      </c>
      <c r="C20" s="95"/>
      <c r="D20" s="95"/>
      <c r="E20" s="95"/>
      <c r="F20" s="96"/>
      <c r="G20" s="1"/>
    </row>
    <row r="21" spans="1:7" x14ac:dyDescent="0.25">
      <c r="A21" s="1"/>
      <c r="B21" s="111" t="s">
        <v>159</v>
      </c>
      <c r="C21" s="112"/>
      <c r="D21" s="113"/>
      <c r="E21" s="9">
        <v>2926492.4370629946</v>
      </c>
      <c r="F21" s="14" t="s">
        <v>3</v>
      </c>
      <c r="G21" s="1"/>
    </row>
    <row r="22" spans="1:7" x14ac:dyDescent="0.25">
      <c r="A22" s="1"/>
      <c r="B22" s="85" t="s">
        <v>10</v>
      </c>
      <c r="C22" s="86"/>
      <c r="D22" s="87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5" t="s">
        <v>39</v>
      </c>
      <c r="C23" s="86"/>
      <c r="D23" s="87"/>
      <c r="E23" s="9">
        <f>-E21*'Fane 15. Nøgletal'!C25</f>
        <v>-58529.848741259892</v>
      </c>
      <c r="F23" s="14" t="s">
        <v>3</v>
      </c>
      <c r="G23" s="1"/>
    </row>
    <row r="24" spans="1:7" x14ac:dyDescent="0.25">
      <c r="A24" s="1"/>
      <c r="B24" s="94" t="s">
        <v>166</v>
      </c>
      <c r="C24" s="95"/>
      <c r="D24" s="96"/>
      <c r="E24" s="12">
        <f>SUM(E21:E23)*(1+'Fane 15. Nøgletal'!C12)^4</f>
        <v>3100724.3444167315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163</v>
      </c>
      <c r="C26" s="95"/>
      <c r="D26" s="95"/>
      <c r="E26" s="95"/>
      <c r="F26" s="96"/>
      <c r="G26" s="1"/>
    </row>
    <row r="27" spans="1:7" x14ac:dyDescent="0.25">
      <c r="A27" s="1"/>
      <c r="B27" s="111" t="s">
        <v>159</v>
      </c>
      <c r="C27" s="112"/>
      <c r="D27" s="113"/>
      <c r="E27" s="9">
        <v>2926492.4370629946</v>
      </c>
      <c r="F27" s="14" t="s">
        <v>3</v>
      </c>
      <c r="G27" s="1"/>
    </row>
    <row r="28" spans="1:7" x14ac:dyDescent="0.25">
      <c r="A28" s="1"/>
      <c r="B28" s="85" t="s">
        <v>10</v>
      </c>
      <c r="C28" s="86"/>
      <c r="D28" s="87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5" t="s">
        <v>39</v>
      </c>
      <c r="C29" s="86"/>
      <c r="D29" s="87"/>
      <c r="E29" s="9">
        <f>-E27*'Fane 15. Nøgletal'!C25</f>
        <v>-58529.848741259892</v>
      </c>
      <c r="F29" s="14" t="s">
        <v>3</v>
      </c>
      <c r="G29" s="1"/>
    </row>
    <row r="30" spans="1:7" x14ac:dyDescent="0.25">
      <c r="A30" s="1"/>
      <c r="B30" s="94" t="s">
        <v>167</v>
      </c>
      <c r="C30" s="95"/>
      <c r="D30" s="96"/>
      <c r="E30" s="12">
        <f>SUM(E27:E29)*(1+'Fane 15. Nøgletal'!C12)^5</f>
        <v>3161808.6140017412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e8VQNpcGK7NjIcTa/ABq2gxATMYlLq+7XUL+7ch/jHl0txS9YeueKVk5mZtVPiKsWOkD1LStL+7Pc8CbEdk8zg==" saltValue="PjeRskaKVZYcZ/tkd5aTqg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223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32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Q/Rrx/aiWntdfGVwWTmaRK8tpcVcDlQxE07R/nGqlKzy49iuT60mSPWvRQHe9zzZoQZ3tq3dtyt6pOmQXwAnaA==" saltValue="sNZvYoj9HE1pO97YAZBNpw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222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169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170</v>
      </c>
      <c r="C14" s="95"/>
      <c r="D14" s="95"/>
      <c r="E14" s="95"/>
      <c r="F14" s="96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168</v>
      </c>
      <c r="C20" s="95"/>
      <c r="D20" s="95"/>
      <c r="E20" s="95"/>
      <c r="F20" s="96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171</v>
      </c>
      <c r="C26" s="95"/>
      <c r="D26" s="95"/>
      <c r="E26" s="95"/>
      <c r="F26" s="96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+TKaGCGUjDPDqzfA+Bn1us2BZyIGxVuNUMwP6h/aKISWXzaiKOVRaSVCeo5+krsAVOUFX4yGpiSB0Ojf40l+SA==" saltValue="11k7bUs+lI8U2f+xaSSPkQ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18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8712050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0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-7973056.1349206343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738993.86507936567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1</v>
      </c>
      <c r="H13" s="14" t="s">
        <v>28</v>
      </c>
      <c r="I13" s="1"/>
    </row>
    <row r="14" spans="1:9" x14ac:dyDescent="0.25">
      <c r="A14" s="1"/>
      <c r="B14" s="94" t="s">
        <v>138</v>
      </c>
      <c r="C14" s="95"/>
      <c r="D14" s="95"/>
      <c r="E14" s="95"/>
      <c r="F14" s="96"/>
      <c r="G14" s="12">
        <f>IF(G13 = 0,0,-G12/G13)</f>
        <v>-738993.86507936567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eiVFGWvH3Gqrx0+6alxfnvfZGtfTl5Tsyujm++Q9XCK6CJGX3WcSHND2KqnrbxqYIYJdtwzj/O+jOSNVjA5vmQ==" saltValue="YH8QGKoT+2g14LK7Bp2j7w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73599695.992184922</v>
      </c>
      <c r="D9" s="8" t="s">
        <v>3</v>
      </c>
      <c r="E9" s="1"/>
    </row>
    <row r="10" spans="1:5" ht="17.100000000000001" customHeight="1" x14ac:dyDescent="0.25">
      <c r="A10" s="1"/>
      <c r="B10" s="53" t="s">
        <v>64</v>
      </c>
      <c r="C10" s="7">
        <f>'Fane 10.1. Varige tillæg'!C14</f>
        <v>1109748.6873000001</v>
      </c>
      <c r="D10" s="8" t="s">
        <v>3</v>
      </c>
      <c r="E10" s="1"/>
    </row>
    <row r="11" spans="1:5" ht="17.100000000000001" customHeight="1" x14ac:dyDescent="0.25">
      <c r="A11" s="1"/>
      <c r="B11" s="53" t="s">
        <v>65</v>
      </c>
      <c r="C11" s="9">
        <f>'Fane 10.1. Varige tillæg'!E14</f>
        <v>1051477.8152340001</v>
      </c>
      <c r="D11" s="8" t="s">
        <v>3</v>
      </c>
      <c r="E11" s="1"/>
    </row>
    <row r="12" spans="1:5" ht="17.100000000000001" customHeight="1" x14ac:dyDescent="0.25">
      <c r="A12" s="1"/>
      <c r="B12" s="53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3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3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3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3" t="s">
        <v>27</v>
      </c>
      <c r="C16" s="9">
        <f>SUM(C9:C15)*'Fane 15. Nøgletal'!C12</f>
        <v>1492490.1731459626</v>
      </c>
      <c r="D16" s="8" t="s">
        <v>3</v>
      </c>
      <c r="E16" s="1"/>
    </row>
    <row r="17" spans="1:5" ht="17.100000000000001" customHeight="1" x14ac:dyDescent="0.25">
      <c r="A17" s="1"/>
      <c r="B17" s="53" t="s">
        <v>10</v>
      </c>
      <c r="C17" s="9">
        <f>-SUM(C9:C16)*'Fane 5. Individuelt eff. krav'!G11</f>
        <v>0</v>
      </c>
      <c r="D17" s="8" t="s">
        <v>3</v>
      </c>
      <c r="E17" s="1"/>
    </row>
    <row r="18" spans="1:5" ht="17.100000000000001" customHeight="1" x14ac:dyDescent="0.25">
      <c r="A18" s="1"/>
      <c r="B18" s="53" t="s">
        <v>39</v>
      </c>
      <c r="C18" s="9">
        <f>-'Fane 4.1. Gen. krav - drift'!G28</f>
        <v>-531934.57686965528</v>
      </c>
      <c r="D18" s="8" t="s">
        <v>3</v>
      </c>
      <c r="E18" s="1"/>
    </row>
    <row r="19" spans="1:5" ht="17.100000000000001" customHeight="1" x14ac:dyDescent="0.25">
      <c r="A19" s="1"/>
      <c r="B19" s="53" t="s">
        <v>40</v>
      </c>
      <c r="C19" s="9">
        <f>-'Fane 4.2. Gen. krav - anlæg'!G25</f>
        <v>-1493277.7204355251</v>
      </c>
      <c r="D19" s="8" t="s">
        <v>3</v>
      </c>
      <c r="E19" s="1"/>
    </row>
    <row r="20" spans="1:5" ht="17.100000000000001" customHeight="1" x14ac:dyDescent="0.25">
      <c r="A20" s="1"/>
      <c r="B20" s="47" t="s">
        <v>29</v>
      </c>
      <c r="C20" s="10">
        <f>SUM(C9:C19)</f>
        <v>75228200.370559707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omk.'!C15+'Fane 6. Ikke-påvirkelige omk.'!C19+'Fane 6. Ikke-påvirkelige omk.'!C27</f>
        <v>3248206.4918080801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47" t="s">
        <v>145</v>
      </c>
      <c r="C24" s="10">
        <f>'Fane 11. Periodevise driftsomk.'!E12</f>
        <v>2982073.3419025131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3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3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47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-738993.86507936567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2325348.2374701547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83044834.576661095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iZINiC8Wb1Y54OE3jJQRf72sh+RIEqFuAciPEWPuruQ/0GDBaw0h0arieZEUor8HaTWKEbxdGY/DSLyH8GFLWQ==" saltValue="vy3jO9IJFoS2EhpVpmGstg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4" t="s">
        <v>248</v>
      </c>
      <c r="C3" s="84"/>
      <c r="D3" s="1"/>
    </row>
    <row r="4" spans="1:4" ht="25.5" customHeight="1" x14ac:dyDescent="0.25">
      <c r="A4" s="1"/>
      <c r="B4" s="84"/>
      <c r="C4" s="84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4" t="s">
        <v>228</v>
      </c>
      <c r="C9" s="28">
        <v>1.2699999999999999E-2</v>
      </c>
      <c r="D9" s="1"/>
    </row>
    <row r="10" spans="1:4" x14ac:dyDescent="0.25">
      <c r="A10" s="1"/>
      <c r="B10" s="54" t="s">
        <v>229</v>
      </c>
      <c r="C10" s="28">
        <v>1.7500000000000002E-2</v>
      </c>
      <c r="D10" s="1"/>
    </row>
    <row r="11" spans="1:4" x14ac:dyDescent="0.25">
      <c r="A11" s="1"/>
      <c r="B11" s="54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4" t="s">
        <v>231</v>
      </c>
      <c r="C17" s="25">
        <v>9.1000000000000004E-3</v>
      </c>
      <c r="D17" s="1"/>
    </row>
    <row r="18" spans="1:4" x14ac:dyDescent="0.25">
      <c r="A18" s="1"/>
      <c r="B18" s="54" t="s">
        <v>232</v>
      </c>
      <c r="C18" s="25">
        <v>1.77E-2</v>
      </c>
      <c r="D18" s="1"/>
    </row>
    <row r="19" spans="1:4" x14ac:dyDescent="0.25">
      <c r="A19" s="1"/>
      <c r="B19" s="54" t="s">
        <v>233</v>
      </c>
      <c r="C19" s="25">
        <v>8.6999999999999994E-3</v>
      </c>
      <c r="D19" s="1"/>
    </row>
    <row r="20" spans="1:4" x14ac:dyDescent="0.25">
      <c r="A20" s="1"/>
      <c r="B20" s="54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4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5CbKq8/Ki99qlxz1Y5Ye9SXQ9SJ7kXpPhcGONT3nuEB6h5rg94BE+Z0noh20A/xbQU3TiElsLR91YPLGWcLLGQ==" saltValue="a1aF6w/I2bmiMekyph/J4A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75228200.370559707</v>
      </c>
      <c r="D9" s="8" t="s">
        <v>3</v>
      </c>
      <c r="E9" s="1"/>
    </row>
    <row r="10" spans="1:5" ht="15" customHeight="1" x14ac:dyDescent="0.25">
      <c r="A10" s="1"/>
      <c r="B10" s="53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3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1481995.5473000261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0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-531565.41427330778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-1479450.745248707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74699179.758337721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Nøgletal'!C12)+'Fane 6. Ikke-påvirkelige omk.'!C20+'Fane 6. Ikke-påvirkelige omk.'!C28</f>
        <v>3312196.1596966996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7" t="s">
        <v>146</v>
      </c>
      <c r="C20" s="10">
        <f>'Fane 11. Periodevise driftsomk.'!E18</f>
        <v>3040820.1867379923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3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3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47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81052196.104772419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gqOo3AkYfBGUznkPVsdMDPN58mmXNRbJLcChvfyG7I0CTKoufo2ZcFLiaRCqCo9JGX9SMrY/cO0ax/kmhKf0xA==" saltValue="V7ScWecEvxcCmizjk4Fan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6"/>
      <c r="C6" s="46"/>
      <c r="D6" s="46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74699179.758337721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1471573.8412392531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0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-531196.50787580211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-1465751.8006620917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74173805.291039094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Nøgletal'!C12)^2+'Fane 6. Ikke-påvirkelige omk.'!C21+'Fane 6. Ikke-påvirkelige omk.'!C29</f>
        <v>3377446.4240427245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7" t="s">
        <v>146</v>
      </c>
      <c r="C20" s="10">
        <f>'Fane 11. Periodevise driftsomk.'!E24</f>
        <v>3100724.3444167315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3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3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47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80651976.059498563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XmoJIFkY9yN/Ga/+ZHFvvkbnc45Jrne/cS2VKKYIOIPC5JVqnuEWubOa/vCm4TUMChca1rMmU60+Hfr6cG7tRQ==" saltValue="a43yDwsM82D/g1AW4+dZBg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6"/>
      <c r="C6" s="46"/>
      <c r="D6" s="46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74173805.291039094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1461223.9642334701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0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-530827.85749933636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-1452179.7011788969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73652021.696594343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Nøgletal'!C12)^3+'Fane 6. Ikke-påvirkelige omk.'!C22+'Fane 6. Ikke-påvirkelige omk.'!C30</f>
        <v>3443982.1185963661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7" t="s">
        <v>146</v>
      </c>
      <c r="C20" s="10">
        <f>'Fane 11. Periodevise driftsomk.'!E30</f>
        <v>3161808.6140017412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3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3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47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80257812.429192439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hwduW51uQImFkVgz1Z3K45UZkYLse5ZlDiTHNvG6v/3anAnoD/Dbrz4ZLuuuOFon2VBo5ShUgLkx9TsAhVT4WQ==" saltValue="Q9fqCqgkFK0cwYZZ5G3L7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243</v>
      </c>
      <c r="C3" s="84"/>
      <c r="D3" s="84"/>
      <c r="E3" s="84"/>
      <c r="F3" s="84"/>
      <c r="G3" s="1"/>
    </row>
    <row r="4" spans="1:7" ht="29.2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1" t="s">
        <v>79</v>
      </c>
      <c r="C9" s="82"/>
      <c r="D9" s="83"/>
      <c r="E9" s="7">
        <v>74412431.875922725</v>
      </c>
      <c r="F9" s="8" t="s">
        <v>3</v>
      </c>
      <c r="G9" s="1"/>
    </row>
    <row r="10" spans="1:7" ht="15" customHeight="1" x14ac:dyDescent="0.25">
      <c r="A10" s="1"/>
      <c r="B10" s="85" t="s">
        <v>64</v>
      </c>
      <c r="C10" s="86"/>
      <c r="D10" s="87"/>
      <c r="E10" s="7">
        <v>0</v>
      </c>
      <c r="F10" s="8" t="s">
        <v>3</v>
      </c>
      <c r="G10" s="1"/>
    </row>
    <row r="11" spans="1:7" ht="15" customHeight="1" x14ac:dyDescent="0.25">
      <c r="A11" s="1"/>
      <c r="B11" s="85" t="s">
        <v>65</v>
      </c>
      <c r="C11" s="86"/>
      <c r="D11" s="87"/>
      <c r="E11" s="9">
        <v>111822.39159999999</v>
      </c>
      <c r="F11" s="8" t="s">
        <v>3</v>
      </c>
      <c r="G11" s="1"/>
    </row>
    <row r="12" spans="1:7" ht="15" customHeight="1" x14ac:dyDescent="0.25">
      <c r="A12" s="1"/>
      <c r="B12" s="85" t="s">
        <v>42</v>
      </c>
      <c r="C12" s="86"/>
      <c r="D12" s="87"/>
      <c r="E12" s="9">
        <v>0</v>
      </c>
      <c r="F12" s="8" t="s">
        <v>3</v>
      </c>
      <c r="G12" s="1"/>
    </row>
    <row r="13" spans="1:7" ht="15" customHeight="1" x14ac:dyDescent="0.25">
      <c r="A13" s="1"/>
      <c r="B13" s="81" t="s">
        <v>41</v>
      </c>
      <c r="C13" s="82"/>
      <c r="D13" s="83"/>
      <c r="E13" s="9">
        <v>0</v>
      </c>
      <c r="F13" s="8" t="s">
        <v>3</v>
      </c>
      <c r="G13" s="1"/>
    </row>
    <row r="14" spans="1:7" ht="15" customHeight="1" x14ac:dyDescent="0.25">
      <c r="A14" s="1"/>
      <c r="B14" s="81" t="s">
        <v>44</v>
      </c>
      <c r="C14" s="82"/>
      <c r="D14" s="83"/>
      <c r="E14" s="9">
        <v>0</v>
      </c>
      <c r="F14" s="8" t="s">
        <v>3</v>
      </c>
      <c r="G14" s="1"/>
    </row>
    <row r="15" spans="1:7" ht="15" customHeight="1" x14ac:dyDescent="0.25">
      <c r="A15" s="1"/>
      <c r="B15" s="81" t="s">
        <v>43</v>
      </c>
      <c r="C15" s="82"/>
      <c r="D15" s="83"/>
      <c r="E15" s="9">
        <v>0</v>
      </c>
      <c r="F15" s="8" t="s">
        <v>3</v>
      </c>
      <c r="G15" s="1"/>
    </row>
    <row r="16" spans="1:7" ht="15" customHeight="1" x14ac:dyDescent="0.25">
      <c r="A16" s="1"/>
      <c r="B16" s="81" t="s">
        <v>27</v>
      </c>
      <c r="C16" s="82"/>
      <c r="D16" s="83"/>
      <c r="E16" s="9">
        <f>E9*'Fane 15. Nøgletal'!C10+SUM(E10:E15)*'Fane 15. Nøgletal'!C11</f>
        <v>1304107.3562466877</v>
      </c>
      <c r="F16" s="8" t="s">
        <v>3</v>
      </c>
      <c r="G16" s="1"/>
    </row>
    <row r="17" spans="1:7" ht="15" customHeight="1" x14ac:dyDescent="0.25">
      <c r="A17" s="1"/>
      <c r="B17" s="81" t="s">
        <v>10</v>
      </c>
      <c r="C17" s="82"/>
      <c r="D17" s="83"/>
      <c r="E17" s="9">
        <f>-SUM(E9:E16)*'Fane 5. Individuelt eff. krav'!G10</f>
        <v>-809862.65433530544</v>
      </c>
      <c r="F17" s="8" t="s">
        <v>3</v>
      </c>
      <c r="G17" s="1"/>
    </row>
    <row r="18" spans="1:7" ht="15" customHeight="1" x14ac:dyDescent="0.25">
      <c r="A18" s="1"/>
      <c r="B18" s="81" t="s">
        <v>39</v>
      </c>
      <c r="C18" s="82"/>
      <c r="D18" s="83"/>
      <c r="E18" s="9">
        <f>-'Fane 4.1. Gen. krav - drift'!G22</f>
        <v>-509656.06344889256</v>
      </c>
      <c r="F18" s="8" t="s">
        <v>3</v>
      </c>
      <c r="G18" s="1"/>
    </row>
    <row r="19" spans="1:7" ht="15" customHeight="1" x14ac:dyDescent="0.25">
      <c r="A19" s="1"/>
      <c r="B19" s="81" t="s">
        <v>40</v>
      </c>
      <c r="C19" s="82"/>
      <c r="D19" s="83"/>
      <c r="E19" s="9">
        <f>-'Fane 4.2. Gen. krav - anlæg'!G19</f>
        <v>-909146.91380029777</v>
      </c>
      <c r="F19" s="8" t="s">
        <v>3</v>
      </c>
      <c r="G19" s="1"/>
    </row>
    <row r="20" spans="1:7" ht="15" customHeight="1" x14ac:dyDescent="0.25">
      <c r="A20" s="1"/>
      <c r="B20" s="47" t="s">
        <v>29</v>
      </c>
      <c r="C20" s="48"/>
      <c r="D20" s="49"/>
      <c r="E20" s="10">
        <f>SUM(E9:E19)</f>
        <v>73599695.992184922</v>
      </c>
      <c r="F20" s="11" t="s">
        <v>3</v>
      </c>
      <c r="G20" s="1"/>
    </row>
    <row r="21" spans="1:7" ht="15" customHeight="1" x14ac:dyDescent="0.25">
      <c r="A21" s="1"/>
      <c r="B21" s="94" t="s">
        <v>145</v>
      </c>
      <c r="C21" s="95"/>
      <c r="D21" s="95"/>
      <c r="E21" s="95"/>
      <c r="F21" s="96"/>
      <c r="G21" s="1"/>
    </row>
    <row r="22" spans="1:7" ht="15" customHeight="1" x14ac:dyDescent="0.25">
      <c r="A22" s="1"/>
      <c r="B22" s="81" t="s">
        <v>239</v>
      </c>
      <c r="C22" s="82"/>
      <c r="D22" s="83"/>
      <c r="E22" s="44">
        <v>2977705.6100000003</v>
      </c>
      <c r="F22" s="8" t="s">
        <v>3</v>
      </c>
      <c r="G22" s="1"/>
    </row>
    <row r="23" spans="1:7" ht="15" customHeight="1" x14ac:dyDescent="0.25">
      <c r="A23" s="1"/>
      <c r="B23" s="81" t="s">
        <v>238</v>
      </c>
      <c r="C23" s="82"/>
      <c r="D23" s="83"/>
      <c r="E23" s="44">
        <f>-E22*('Fane 15. Nøgletal'!C25+'Fane 5. Individuelt eff. krav'!G10)</f>
        <v>-91356.626688032979</v>
      </c>
      <c r="F23" s="8" t="s">
        <v>3</v>
      </c>
      <c r="G23" s="1"/>
    </row>
    <row r="24" spans="1:7" ht="15" customHeight="1" x14ac:dyDescent="0.25">
      <c r="A24" s="1"/>
      <c r="B24" s="88" t="s">
        <v>240</v>
      </c>
      <c r="C24" s="89"/>
      <c r="D24" s="90"/>
      <c r="E24" s="10">
        <f>SUM(E22:E23)</f>
        <v>2886348.9833119675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8" t="s">
        <v>17</v>
      </c>
      <c r="C26" s="89"/>
      <c r="D26" s="90"/>
      <c r="E26" s="10">
        <v>1421921.4862017196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1" t="s">
        <v>134</v>
      </c>
      <c r="C28" s="92"/>
      <c r="D28" s="93"/>
      <c r="E28" s="10">
        <v>561448.24806278443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1" t="s">
        <v>19</v>
      </c>
      <c r="C30" s="92"/>
      <c r="D30" s="93"/>
      <c r="E30" s="10">
        <v>-738993</v>
      </c>
      <c r="F30" s="11" t="s">
        <v>3</v>
      </c>
      <c r="G30" s="1"/>
    </row>
    <row r="31" spans="1:7" x14ac:dyDescent="0.25">
      <c r="A31" s="1"/>
      <c r="B31" s="94" t="s">
        <v>24</v>
      </c>
      <c r="C31" s="95"/>
      <c r="D31" s="96"/>
      <c r="E31" s="12">
        <f>SUM(E30,E28,E26,E20,E24)</f>
        <v>77730421.709761396</v>
      </c>
      <c r="F31" s="13" t="s">
        <v>3</v>
      </c>
      <c r="G31" s="1"/>
    </row>
    <row r="32" spans="1:7" ht="27" customHeight="1" x14ac:dyDescent="0.25">
      <c r="A32" s="1"/>
      <c r="B32" s="81" t="s">
        <v>208</v>
      </c>
      <c r="C32" s="82"/>
      <c r="D32" s="82"/>
      <c r="E32" s="82"/>
      <c r="F32" s="83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kgnDyUqncHj4CM6iPw1OhqzDVOz7y8nL1QOLGTglACAmyZiScjEkvtZvLWVJu9bCfAqDtIDUYsAxBSSrfhfAGg==" saltValue="8/8yH0FeD/jiC0/NqlFmtA==" spinCount="100000" sheet="1" objects="1" scenarios="1"/>
  <mergeCells count="21">
    <mergeCell ref="B22:D22"/>
    <mergeCell ref="B23:D23"/>
    <mergeCell ref="B21:F21"/>
    <mergeCell ref="B24:D24"/>
    <mergeCell ref="B30:D30"/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94" t="s">
        <v>94</v>
      </c>
      <c r="C5" s="95"/>
      <c r="D5" s="95"/>
      <c r="E5" s="95"/>
      <c r="F5" s="95"/>
      <c r="G5" s="95"/>
      <c r="H5" s="96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25749261</v>
      </c>
      <c r="H6" s="14" t="s">
        <v>3</v>
      </c>
      <c r="I6" s="1"/>
    </row>
    <row r="7" spans="1:9" x14ac:dyDescent="0.25">
      <c r="A7" s="1"/>
      <c r="B7" s="81" t="s">
        <v>242</v>
      </c>
      <c r="C7" s="82"/>
      <c r="D7" s="82"/>
      <c r="E7" s="82"/>
      <c r="F7" s="83"/>
      <c r="G7" s="26">
        <v>2973717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574459.56000000006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4" t="s">
        <v>95</v>
      </c>
      <c r="C11" s="95"/>
      <c r="D11" s="95"/>
      <c r="E11" s="95"/>
      <c r="F11" s="95"/>
      <c r="G11" s="95"/>
      <c r="H11" s="96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25615360.465200003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0.61480263169854887</v>
      </c>
      <c r="H13" s="14" t="s">
        <v>3</v>
      </c>
      <c r="I13" s="1"/>
    </row>
    <row r="14" spans="1:9" ht="15" customHeight="1" x14ac:dyDescent="0.25">
      <c r="A14" s="1"/>
      <c r="B14" s="81" t="s">
        <v>237</v>
      </c>
      <c r="C14" s="82"/>
      <c r="D14" s="82"/>
      <c r="E14" s="82"/>
      <c r="F14" s="83"/>
      <c r="G14" s="26">
        <v>2926492.8000000003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0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570837.0776000527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4" t="s">
        <v>96</v>
      </c>
      <c r="C19" s="95"/>
      <c r="D19" s="95"/>
      <c r="E19" s="95"/>
      <c r="F19" s="95"/>
      <c r="G19" s="95"/>
      <c r="H19" s="96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25482803.172444627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v>0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509656.06344889256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4" t="s">
        <v>97</v>
      </c>
      <c r="C25" s="95"/>
      <c r="D25" s="95"/>
      <c r="E25" s="95"/>
      <c r="F25" s="95"/>
      <c r="G25" s="95"/>
      <c r="H25" s="96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25465118.107042953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1131610.7364398101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531934.57686965528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4" t="s">
        <v>100</v>
      </c>
      <c r="C31" s="95"/>
      <c r="D31" s="95"/>
      <c r="E31" s="95"/>
      <c r="F31" s="95"/>
      <c r="G31" s="95"/>
      <c r="H31" s="96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26578270.713665389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531565.41427330778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4" t="s">
        <v>127</v>
      </c>
      <c r="C37" s="95"/>
      <c r="D37" s="95"/>
      <c r="E37" s="95"/>
      <c r="F37" s="95"/>
      <c r="G37" s="95"/>
      <c r="H37" s="96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26559825.393790107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531196.50787580211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4" t="s">
        <v>128</v>
      </c>
      <c r="C43" s="95"/>
      <c r="D43" s="95"/>
      <c r="E43" s="95"/>
      <c r="F43" s="95"/>
      <c r="G43" s="95"/>
      <c r="H43" s="96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26541392.874966815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530827.85749933636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i060ptAyPSLkrCQGI9XXqe7JZRdraHzak4M1K2eA+LSjhn+PGdnU+szVsAIdLGvcLUI6Gv42D6Un4MqroXYczg==" saltValue="OEd1LYMMWbs65wKKe5yeoA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5"/>
      <c r="C3" s="55"/>
      <c r="D3" s="55"/>
      <c r="E3" s="55"/>
      <c r="F3" s="55"/>
      <c r="G3" s="55"/>
      <c r="H3" s="55"/>
      <c r="I3" s="1"/>
    </row>
    <row r="4" spans="1:9" x14ac:dyDescent="0.25">
      <c r="A4" s="1"/>
      <c r="B4" s="94" t="s">
        <v>98</v>
      </c>
      <c r="C4" s="95"/>
      <c r="D4" s="95"/>
      <c r="E4" s="95"/>
      <c r="F4" s="95"/>
      <c r="G4" s="95"/>
      <c r="H4" s="96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51205381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465968.96710000001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4" t="s">
        <v>106</v>
      </c>
      <c r="C9" s="95"/>
      <c r="D9" s="95"/>
      <c r="E9" s="95"/>
      <c r="F9" s="95"/>
      <c r="G9" s="95"/>
      <c r="H9" s="96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51627351.74347575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-292843.99243548943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908620.78719341254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4" t="s">
        <v>110</v>
      </c>
      <c r="C16" s="95"/>
      <c r="D16" s="95"/>
      <c r="E16" s="95"/>
      <c r="F16" s="95"/>
      <c r="G16" s="95"/>
      <c r="H16" s="96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51308339.985714167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113712.19001803997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909146.91380029777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4" t="s">
        <v>114</v>
      </c>
      <c r="C22" s="95"/>
      <c r="D22" s="95"/>
      <c r="E22" s="95"/>
      <c r="F22" s="95"/>
      <c r="G22" s="95"/>
      <c r="H22" s="96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51508009.495591976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1072191.92819411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1493277.7204355251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4" t="s">
        <v>118</v>
      </c>
      <c r="C28" s="95"/>
      <c r="D28" s="95"/>
      <c r="E28" s="95"/>
      <c r="F28" s="95"/>
      <c r="G28" s="95"/>
      <c r="H28" s="96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52093336.100306578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1479450.745248707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4" t="s">
        <v>129</v>
      </c>
      <c r="C34" s="95"/>
      <c r="D34" s="95"/>
      <c r="E34" s="95"/>
      <c r="F34" s="95"/>
      <c r="G34" s="95"/>
      <c r="H34" s="96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51610978.896552518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1465751.8006620917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4" t="s">
        <v>130</v>
      </c>
      <c r="C40" s="95"/>
      <c r="D40" s="95"/>
      <c r="E40" s="95"/>
      <c r="F40" s="95"/>
      <c r="G40" s="95"/>
      <c r="H40" s="96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51133088.069679469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1452179.7011788969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M+ayVy9EcN5jcNYvko2DYzGOTHVJ382ly+g7J/1mFMVeVUBcQMYzhtLD1Qen4LmAc1dn9kBpIXaTlfZOnd9zCQ==" saltValue="ZJnE8uh8GylE0t9s32RdYQ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10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3.6767661863637046E-3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1.0680207734851588E-2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0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u/kefNQF8zGoDK6uAOJgWZ6ODU6/Hwcl0OQtWmA2dY8VHNw89FNSQCbvnhcRMmmEPVSEnOd/YvWBHpTUmu/sWw==" saltValue="rCfyRo/xLsw1tECgxYYMyg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2019-10-14T15:57:01Z</dcterms:modified>
</cp:coreProperties>
</file>