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Energi Viborg Vand AS (S014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calcPr calcId="162913"/>
</workbook>
</file>

<file path=xl/calcChain.xml><?xml version="1.0" encoding="utf-8"?>
<calcChain xmlns="http://schemas.openxmlformats.org/spreadsheetml/2006/main">
  <c r="E31" i="27" l="1"/>
  <c r="E30" i="27"/>
  <c r="E16" i="27" l="1"/>
  <c r="E28" i="27"/>
  <c r="G21" i="30"/>
  <c r="E11" i="11" l="1"/>
  <c r="E19" i="40" l="1"/>
  <c r="E16" i="40" l="1"/>
  <c r="E12" i="40"/>
  <c r="E12" i="11" l="1"/>
  <c r="E13" i="11"/>
  <c r="E10" i="11"/>
  <c r="G8" i="30" l="1"/>
  <c r="E23" i="27" l="1"/>
  <c r="E24" i="27" s="1"/>
  <c r="E29" i="20" l="1"/>
  <c r="E23" i="20"/>
  <c r="E17" i="20"/>
  <c r="E11" i="20"/>
  <c r="E21" i="32" l="1"/>
  <c r="E12" i="32"/>
  <c r="E26" i="32" l="1"/>
  <c r="E28" i="32" s="1"/>
  <c r="C32" i="2" s="1"/>
  <c r="E28" i="20" l="1"/>
  <c r="E22" i="20"/>
  <c r="E24" i="20" s="1"/>
  <c r="C20" i="22" s="1"/>
  <c r="E16" i="20"/>
  <c r="E18" i="20" s="1"/>
  <c r="C20" i="15" s="1"/>
  <c r="E10" i="20"/>
  <c r="E12" i="20" s="1"/>
  <c r="C24" i="2" s="1"/>
  <c r="E30" i="20" l="1"/>
  <c r="C20" i="23" s="1"/>
  <c r="E20" i="40" l="1"/>
  <c r="C34" i="2" s="1"/>
  <c r="E29" i="2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G30" i="36" l="1"/>
  <c r="C11" i="15"/>
  <c r="G39" i="30"/>
  <c r="C10" i="22"/>
  <c r="C11" i="22"/>
  <c r="G36" i="36"/>
  <c r="G33" i="30"/>
  <c r="C10" i="15"/>
  <c r="G45" i="30"/>
  <c r="C10" i="23"/>
  <c r="G42" i="36"/>
  <c r="C11" i="23"/>
  <c r="E35" i="39"/>
  <c r="C35" i="39"/>
  <c r="E27" i="39"/>
  <c r="C27" i="39"/>
  <c r="E19" i="39"/>
  <c r="E21" i="39" s="1"/>
  <c r="C19" i="39"/>
  <c r="C21" i="39" s="1"/>
  <c r="E11" i="39"/>
  <c r="E13" i="39" s="1"/>
  <c r="C11" i="39"/>
  <c r="C13" i="39" s="1"/>
  <c r="E37" i="39" l="1"/>
  <c r="E36" i="39"/>
  <c r="C37" i="39"/>
  <c r="C36" i="39"/>
  <c r="E29" i="39"/>
  <c r="E28" i="39"/>
  <c r="C29" i="39"/>
  <c r="C28" i="39"/>
  <c r="E20" i="39"/>
  <c r="E22" i="39" s="1"/>
  <c r="C23" i="15" s="1"/>
  <c r="E12" i="39"/>
  <c r="E14" i="39" s="1"/>
  <c r="C27" i="2" s="1"/>
  <c r="C20" i="39"/>
  <c r="C22" i="39" s="1"/>
  <c r="C22" i="15" s="1"/>
  <c r="C12" i="39"/>
  <c r="E30" i="39" l="1"/>
  <c r="C23" i="22" s="1"/>
  <c r="C38" i="39"/>
  <c r="C22" i="23" s="1"/>
  <c r="C30" i="39"/>
  <c r="C22" i="22" s="1"/>
  <c r="E38" i="39"/>
  <c r="C23" i="23" s="1"/>
  <c r="C14" i="39"/>
  <c r="C26" i="2" s="1"/>
  <c r="G12" i="10"/>
  <c r="G14" i="10" s="1"/>
  <c r="C24" i="23" l="1"/>
  <c r="C24" i="22"/>
  <c r="C24" i="15"/>
  <c r="C28" i="2"/>
  <c r="G6" i="36" l="1"/>
  <c r="G10" i="36" l="1"/>
  <c r="G13" i="36" l="1"/>
  <c r="G12" i="30"/>
  <c r="G17" i="36" l="1"/>
  <c r="G19" i="36" s="1"/>
  <c r="G16" i="30"/>
  <c r="G20" i="30" s="1"/>
  <c r="E19" i="27" l="1"/>
  <c r="G23" i="36"/>
  <c r="G22" i="30"/>
  <c r="E18" i="27" s="1"/>
  <c r="G26" i="30" l="1"/>
  <c r="E17" i="27" l="1"/>
  <c r="E20" i="27" s="1"/>
  <c r="E36" i="27" s="1"/>
  <c r="C9" i="2" l="1"/>
  <c r="C26" i="15"/>
  <c r="F14" i="11" l="1"/>
  <c r="C10" i="37" s="1"/>
  <c r="C13" i="37" s="1"/>
  <c r="C14" i="37" s="1"/>
  <c r="C10" i="2" s="1"/>
  <c r="G14" i="11"/>
  <c r="E11" i="21" l="1"/>
  <c r="C11" i="21"/>
  <c r="E11" i="29"/>
  <c r="C11" i="29"/>
  <c r="C15" i="19"/>
  <c r="C16" i="19" s="1"/>
  <c r="E12" i="29" l="1"/>
  <c r="C15" i="2" s="1"/>
  <c r="C12" i="29"/>
  <c r="C14" i="2" s="1"/>
  <c r="C18" i="15"/>
  <c r="C22" i="2"/>
  <c r="C18" i="23"/>
  <c r="C18" i="22"/>
  <c r="C12" i="21"/>
  <c r="C12" i="2" s="1"/>
  <c r="E12" i="21"/>
  <c r="C13" i="2" s="1"/>
  <c r="G27" i="30" l="1"/>
  <c r="G28" i="30" s="1"/>
  <c r="C18" i="2" l="1"/>
  <c r="G32" i="30" l="1"/>
  <c r="G34" i="30" s="1"/>
  <c r="E14" i="11"/>
  <c r="E10" i="37" s="1"/>
  <c r="E13" i="37" s="1"/>
  <c r="E14" i="37" s="1"/>
  <c r="C11" i="2" s="1"/>
  <c r="G24" i="36" s="1"/>
  <c r="G25" i="36" s="1"/>
  <c r="C30" i="2"/>
  <c r="C14" i="15" l="1"/>
  <c r="G38" i="30" l="1"/>
  <c r="G40" i="30" s="1"/>
  <c r="C16" i="2"/>
  <c r="C17" i="2" s="1"/>
  <c r="C14" i="22" l="1"/>
  <c r="G44" i="30" l="1"/>
  <c r="C19" i="2"/>
  <c r="C20" i="2" s="1"/>
  <c r="G29" i="36"/>
  <c r="G31" i="36" s="1"/>
  <c r="C9" i="15" l="1"/>
  <c r="C35" i="2"/>
  <c r="G46" i="30"/>
  <c r="C14" i="23" s="1"/>
  <c r="G35" i="36"/>
  <c r="G37" i="36" s="1"/>
  <c r="G41" i="36" l="1"/>
  <c r="G43" i="36" s="1"/>
  <c r="C12" i="15"/>
  <c r="C13" i="15" s="1"/>
  <c r="C15" i="15"/>
  <c r="C15" i="22"/>
  <c r="C16" i="15" l="1"/>
  <c r="C27" i="15" l="1"/>
  <c r="C9" i="22"/>
  <c r="C15" i="23"/>
  <c r="C12" i="22" l="1"/>
  <c r="C13" i="22" s="1"/>
  <c r="C16" i="22" l="1"/>
  <c r="C25" i="22" l="1"/>
  <c r="C9" i="23"/>
  <c r="C12" i="23" s="1"/>
  <c r="C13" i="23" s="1"/>
  <c r="C16" i="23" s="1"/>
  <c r="C25" i="23" s="1"/>
</calcChain>
</file>

<file path=xl/sharedStrings.xml><?xml version="1.0" encoding="utf-8"?>
<sst xmlns="http://schemas.openxmlformats.org/spreadsheetml/2006/main" count="690" uniqueCount="273">
  <si>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</si>
  <si>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</si>
  <si>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</si>
  <si>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</si>
  <si>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</si>
  <si>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</si>
  <si>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</si>
  <si>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</si>
  <si>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</si>
  <si>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</si>
  <si>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</si>
  <si>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</si>
  <si>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</si>
  <si>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</si>
  <si>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</si>
  <si>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</si>
  <si>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</si>
  <si>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</si>
  <si>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</si>
  <si>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</si>
  <si>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</si>
  <si>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</si>
  <si>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</si>
  <si>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</si>
  <si>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</si>
  <si>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</si>
  <si>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</si>
  <si>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</si>
  <si>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</si>
  <si>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</si>
  <si>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</si>
  <si>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</si>
  <si>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</si>
  <si>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</si>
  <si>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</si>
  <si>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</si>
  <si>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</si>
  <si>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</si>
  <si>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</si>
  <si>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</si>
  <si>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</si>
  <si>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</si>
  <si>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</si>
  <si>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</si>
  <si>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</si>
  <si>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</si>
  <si>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</si>
  <si>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</si>
  <si>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</si>
  <si>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</si>
  <si>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</si>
  <si>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</si>
  <si>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</si>
  <si>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</si>
  <si>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</si>
  <si>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</si>
  <si>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</si>
  <si>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</si>
  <si>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</si>
  <si>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</si>
  <si>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</si>
  <si>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</si>
  <si>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</si>
  <si>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</si>
  <si>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</si>
  <si>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</si>
  <si>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</si>
  <si>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</si>
  <si>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</si>
  <si>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</si>
  <si>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</si>
  <si>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</si>
  <si>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</si>
  <si>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</si>
  <si>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</si>
  <si>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</si>
  <si>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</si>
  <si>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</si>
  <si>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Beregningen af jeres individuelle effektiviseringskrav fremgår af metodepapir samt bilag til benchmarkingmodellen 2020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</si>
  <si>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</si>
  <si>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</si>
  <si>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</si>
  <si>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</si>
  <si>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</si>
  <si>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</si>
  <si>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</si>
  <si>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</si>
  <si>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</si>
  <si>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</si>
  <si>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</si>
  <si>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</si>
  <si>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</si>
  <si>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</si>
  <si>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</si>
  <si>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</si>
  <si>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</si>
  <si>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</si>
  <si>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</si>
  <si>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</si>
  <si>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</si>
  <si>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</si>
  <si>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</si>
  <si>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</si>
  <si>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</si>
  <si>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</si>
  <si>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</si>
  <si>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</si>
  <si>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</si>
  <si>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</si>
  <si>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</si>
  <si>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</si>
  <si>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</si>
  <si>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</si>
  <si>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</si>
  <si>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</si>
  <si>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</si>
  <si>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</si>
  <si>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</si>
  <si>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</si>
  <si>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</si>
  <si>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</si>
  <si>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</si>
  <si>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</si>
  <si>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</si>
  <si>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</si>
  <si>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</si>
  <si>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</si>
  <si>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</si>
  <si>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</si>
  <si>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</si>
  <si>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</si>
  <si>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</si>
  <si>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Individuelt effektiviseringskrav til de økonomiske rammer for 2018-2019</t>
  </si>
  <si>
    <t>Individuelt effektiviseringskrav til de økonomiske rammer for 2020-2021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</si>
  <si>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</si>
  <si>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</si>
  <si>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</si>
  <si>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</si>
  <si>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</si>
  <si>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</si>
  <si>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</si>
  <si>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</si>
  <si>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</si>
  <si>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</si>
  <si>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</si>
  <si>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</si>
  <si>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</si>
  <si>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</si>
  <si>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</si>
  <si>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</si>
  <si>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</si>
  <si>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</si>
  <si>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</si>
  <si>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</si>
  <si>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</si>
  <si>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</si>
  <si>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</si>
  <si>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</si>
  <si>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</si>
  <si>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</si>
  <si>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</si>
  <si>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</si>
  <si>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</si>
  <si>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</si>
  <si>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</si>
  <si>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</si>
  <si>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</si>
  <si>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</si>
  <si>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</si>
  <si>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</si>
  <si>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</si>
  <si>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</si>
  <si>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Til økonomisk ramme for 2020 og 2021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</si>
  <si>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</si>
  <si>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</si>
  <si>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</si>
  <si>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</si>
  <si>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</si>
  <si>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</si>
  <si>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Til indregning i de økonomiske rammer for 2020-2021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</si>
  <si>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</si>
  <si>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</si>
  <si>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</si>
  <si>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</si>
  <si>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</si>
  <si>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</si>
  <si>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</si>
  <si>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</si>
  <si>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</si>
  <si>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</si>
  <si>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</si>
  <si>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</si>
  <si>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</si>
  <si>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</si>
  <si>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</si>
  <si>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</si>
  <si>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</si>
  <si>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</si>
  <si>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</si>
  <si>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</si>
  <si>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</si>
  <si>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</si>
  <si>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</si>
  <si>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</si>
  <si>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</si>
  <si>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Generelt effektiviseringskrav til anlægsomkostningerne</t>
  </si>
  <si>
    <t>Generelt effektiviseringskrav til driftsomkostningerne</t>
  </si>
  <si>
    <t>Nøgletal</t>
  </si>
  <si>
    <t xml:space="preserve">Note: Denne opgørelse er taget fra jeres statusmeddelelse for den økonomiske ramme for 2019. I kan derfor ikke komme med høringssvar til denne opgørelse. </t>
  </si>
  <si>
    <t>Fradrag for kontrol af den økonomiske ramme for 2018</t>
  </si>
  <si>
    <t>Tidligere godkendt tillæg indregnet i den økonomiske ramme for 2018</t>
  </si>
  <si>
    <t>Faktisk omkostning til medfinansiering af klimatilpasningsprojekter i 2018</t>
  </si>
  <si>
    <t>Fane 4.1</t>
  </si>
  <si>
    <t>Fane 4.2</t>
  </si>
  <si>
    <t>Fane 6</t>
  </si>
  <si>
    <t>Fane 10.1</t>
  </si>
  <si>
    <t>Fane 10.2</t>
  </si>
  <si>
    <t>Fane 11</t>
  </si>
  <si>
    <t>Fane 4.1: Generelt effektiviseringskrav til driftsomkostningerne</t>
  </si>
  <si>
    <t>Fane 4.2: Generelt effektiviseringskrav til anlægsomkostningerne</t>
  </si>
  <si>
    <t>Fane 6: Ikke-påvirkelige omkostninger</t>
  </si>
  <si>
    <t>Fane 14: Historisk over- eller underdækning</t>
  </si>
  <si>
    <t>Fane 13: Bortfald eller nedsættelse af omkostninger til mål, medfinansiering eller udvidelse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</si>
  <si>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</si>
  <si>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</si>
  <si>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</si>
  <si>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</si>
  <si>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11: Periodevise driftsomkostninger givet under prisloftsbekendtgørelsen</t>
  </si>
  <si>
    <t>Prisudvikling til brug for ØR2017</t>
  </si>
  <si>
    <t>Prisudvikling til brug for ØR2018-2019</t>
  </si>
  <si>
    <t>Prisudvikling til brug for ØR2020-2021</t>
  </si>
  <si>
    <t>Generelt effektiviseringskrav til brug for anlægsomkostninger i ØR2017</t>
  </si>
  <si>
    <t>Generelt effektiviseringskrav til brug for anlægsomkostninger i ØR2018-2019</t>
  </si>
  <si>
    <t>Generelt effektiviseringskrav til brug for nye anlægsomkostninger i ØR2019</t>
  </si>
  <si>
    <t>Generelt effektiviseringskrav til brug for anlægsomkostninger i ØR2020-2021</t>
  </si>
  <si>
    <t>Generelt effektiviseringskrav til brug for driftsomkostninger</t>
  </si>
  <si>
    <t>Tillæg til medfinansieringsprojekter godkendt under prisloftsbekendtgørelsen</t>
  </si>
  <si>
    <t>Periodevise driftsomkostninger i den økonomiske ramme for 2018</t>
  </si>
  <si>
    <t>Effektiviseringskrav af periodevise driftsomkostninger</t>
  </si>
  <si>
    <t>Periodevise driftsomkostninger i den økonomiske ramme for 2019</t>
  </si>
  <si>
    <t>Periodevise driftsomkostninger i den økonomiske ramme for 2019 i alt</t>
  </si>
  <si>
    <t>Fane 3</t>
  </si>
  <si>
    <t>Periodevise driftsomkostninger i den økonomiske ramme for 2017</t>
  </si>
  <si>
    <t>Fane 3: Videreførte omkostninger fra den økonomiske ramme for 2019</t>
  </si>
  <si>
    <t>Korrektion af driftsomkostninger i grundlaget</t>
  </si>
  <si>
    <t>Korrektion af anlægsomkostninger i grundlaget</t>
  </si>
  <si>
    <t>Fane 2.3: Samlet økonomisk ramme for 2022</t>
  </si>
  <si>
    <t>Fane 2.4: Samlet økonomisk ramme for 2023</t>
  </si>
  <si>
    <t>Fane 15: Nøgletal</t>
  </si>
  <si>
    <t>Korrektion af tidligere rammer</t>
  </si>
  <si>
    <t>Tillæg/fradrag for korrektion af tidligere rammer</t>
  </si>
  <si>
    <t>Fradrag i de økonomiske rammer for 2020-2021 i alt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</si>
  <si>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</si>
  <si>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</si>
  <si>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</si>
  <si>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</si>
  <si>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</si>
  <si>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</si>
  <si>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</si>
  <si>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Spildevandsafgift</t>
  </si>
  <si>
    <t>Afgift til Forsyningssekretariatet</t>
  </si>
  <si>
    <t>Køb af ydelser og produkter fra andre vandselskaber reguleret af vandsektorloven</t>
  </si>
  <si>
    <t>Ejendomsskatter</t>
  </si>
  <si>
    <t>Erstatninger</t>
  </si>
  <si>
    <t>Separering</t>
  </si>
  <si>
    <t>Byggemodninger</t>
  </si>
  <si>
    <t>Tømning af slambede</t>
  </si>
  <si>
    <t>Ingen engangstillæg</t>
  </si>
  <si>
    <t>Pumpestationer m. overbygning (&lt; 20 m2), Konstruktioner</t>
  </si>
  <si>
    <t>Ledningsnet ≤ Ø 200 mm</t>
  </si>
  <si>
    <t>Anlægsprojekter igangsat senest 1. marts 2016</t>
  </si>
  <si>
    <t xml:space="preserve">Effektiviseringskrav </t>
  </si>
  <si>
    <t>Videreførte omkostninger fra den økonomiske ramme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</si>
</sst>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23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3" fontId="7" fillId="3" borderId="2" xfId="0" applyNumberFormat="1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3" fontId="8" fillId="0" borderId="6" xfId="0" applyNumberFormat="1" applyFont="1" applyFill="1" applyBorder="1" applyProtection="1"/>
    <xf numFmtId="0" fontId="8" fillId="0" borderId="1" xfId="0" applyFont="1" applyFill="1" applyBorder="1" applyAlignment="1" applyProtection="1">
      <alignment wrapText="1"/>
    </xf>
    <xf numFmtId="3" fontId="0" fillId="2" borderId="0" xfId="0" applyNumberFormat="1" applyFill="1" applyProtection="1"/>
    <xf numFmtId="0" fontId="8" fillId="0" borderId="1" xfId="0" applyNumberFormat="1" applyFont="1" applyFill="1" applyBorder="1" applyProtection="1"/>
    <xf numFmtId="49" fontId="8" fillId="9" borderId="2" xfId="0" applyNumberFormat="1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horizontal="center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4" t="s">
        <v>4</v>
      </c>
      <c r="E6" s="64"/>
      <c r="F6" s="64"/>
      <c r="G6" s="64"/>
      <c r="H6" s="3"/>
      <c r="I6" s="1"/>
    </row>
    <row r="7" spans="1:9" ht="15" customHeight="1" x14ac:dyDescent="0.25">
      <c r="A7" s="1"/>
      <c r="B7" s="1"/>
      <c r="C7" s="3"/>
      <c r="D7" s="64"/>
      <c r="E7" s="64"/>
      <c r="F7" s="64"/>
      <c r="G7" s="64"/>
      <c r="H7" s="3"/>
      <c r="I7" s="1"/>
    </row>
    <row r="8" spans="1:9" ht="15.75" x14ac:dyDescent="0.25">
      <c r="A8" s="1"/>
      <c r="B8" s="1"/>
      <c r="C8" s="4"/>
      <c r="D8" s="72" t="s">
        <v>172</v>
      </c>
      <c r="E8" s="72"/>
      <c r="F8" s="72"/>
      <c r="G8" s="72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71" t="s">
        <v>5</v>
      </c>
      <c r="E11" s="71"/>
      <c r="F11" s="71"/>
      <c r="G11" s="71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61" t="s">
        <v>52</v>
      </c>
      <c r="E13" s="62"/>
      <c r="F13" s="62"/>
      <c r="G13" s="63"/>
      <c r="H13" s="1"/>
      <c r="I13" s="1"/>
    </row>
    <row r="14" spans="1:9" x14ac:dyDescent="0.25">
      <c r="A14" s="1"/>
      <c r="B14" s="1"/>
      <c r="C14" s="6" t="s">
        <v>23</v>
      </c>
      <c r="D14" s="61" t="s">
        <v>54</v>
      </c>
      <c r="E14" s="62"/>
      <c r="F14" s="62"/>
      <c r="G14" s="63"/>
      <c r="H14" s="1"/>
      <c r="I14" s="1"/>
    </row>
    <row r="15" spans="1:9" x14ac:dyDescent="0.25">
      <c r="A15" s="1"/>
      <c r="B15" s="1"/>
      <c r="C15" s="6" t="s">
        <v>51</v>
      </c>
      <c r="D15" s="61" t="s">
        <v>135</v>
      </c>
      <c r="E15" s="62"/>
      <c r="F15" s="62"/>
      <c r="G15" s="63"/>
      <c r="H15" s="1"/>
      <c r="I15" s="1"/>
    </row>
    <row r="16" spans="1:9" x14ac:dyDescent="0.25">
      <c r="A16" s="1"/>
      <c r="B16" s="1"/>
      <c r="C16" s="6" t="s">
        <v>53</v>
      </c>
      <c r="D16" s="61" t="s">
        <v>136</v>
      </c>
      <c r="E16" s="62"/>
      <c r="F16" s="62"/>
      <c r="G16" s="63"/>
      <c r="H16" s="1"/>
      <c r="I16" s="1"/>
    </row>
    <row r="17" spans="1:9" x14ac:dyDescent="0.25">
      <c r="A17" s="1"/>
      <c r="B17" s="1"/>
      <c r="C17" s="6" t="s">
        <v>241</v>
      </c>
      <c r="D17" s="61" t="s">
        <v>63</v>
      </c>
      <c r="E17" s="62"/>
      <c r="F17" s="62"/>
      <c r="G17" s="63"/>
      <c r="H17" s="1"/>
      <c r="I17" s="1"/>
    </row>
    <row r="18" spans="1:9" x14ac:dyDescent="0.25">
      <c r="A18" s="1"/>
      <c r="B18" s="1"/>
      <c r="C18" s="6" t="s">
        <v>212</v>
      </c>
      <c r="D18" s="73" t="s">
        <v>180</v>
      </c>
      <c r="E18" s="74"/>
      <c r="F18" s="74"/>
      <c r="G18" s="75"/>
      <c r="H18" s="1"/>
      <c r="I18" s="1"/>
    </row>
    <row r="19" spans="1:9" x14ac:dyDescent="0.25">
      <c r="A19" s="1"/>
      <c r="B19" s="1"/>
      <c r="C19" s="6" t="s">
        <v>213</v>
      </c>
      <c r="D19" s="73" t="s">
        <v>181</v>
      </c>
      <c r="E19" s="74"/>
      <c r="F19" s="74"/>
      <c r="G19" s="75"/>
      <c r="H19" s="1"/>
      <c r="I19" s="1"/>
    </row>
    <row r="20" spans="1:9" x14ac:dyDescent="0.25">
      <c r="A20" s="1"/>
      <c r="B20" s="1"/>
      <c r="C20" s="6" t="s">
        <v>7</v>
      </c>
      <c r="D20" s="73" t="s">
        <v>10</v>
      </c>
      <c r="E20" s="74"/>
      <c r="F20" s="74"/>
      <c r="G20" s="75"/>
      <c r="H20" s="1"/>
      <c r="I20" s="1"/>
    </row>
    <row r="21" spans="1:9" x14ac:dyDescent="0.25">
      <c r="A21" s="1"/>
      <c r="B21" s="1"/>
      <c r="C21" s="6" t="s">
        <v>214</v>
      </c>
      <c r="D21" s="65" t="s">
        <v>17</v>
      </c>
      <c r="E21" s="66"/>
      <c r="F21" s="66"/>
      <c r="G21" s="67"/>
      <c r="H21" s="1"/>
      <c r="I21" s="1"/>
    </row>
    <row r="22" spans="1:9" x14ac:dyDescent="0.25">
      <c r="A22" s="1"/>
      <c r="B22" s="1"/>
      <c r="C22" s="6" t="s">
        <v>142</v>
      </c>
      <c r="D22" s="68" t="s">
        <v>176</v>
      </c>
      <c r="E22" s="69"/>
      <c r="F22" s="69"/>
      <c r="G22" s="70"/>
      <c r="H22" s="1"/>
      <c r="I22" s="1"/>
    </row>
    <row r="23" spans="1:9" x14ac:dyDescent="0.25">
      <c r="A23" s="1"/>
      <c r="B23" s="1"/>
      <c r="C23" s="6" t="s">
        <v>8</v>
      </c>
      <c r="D23" s="68" t="s">
        <v>249</v>
      </c>
      <c r="E23" s="69"/>
      <c r="F23" s="69"/>
      <c r="G23" s="70"/>
      <c r="H23" s="1"/>
      <c r="I23" s="1"/>
    </row>
    <row r="24" spans="1:9" x14ac:dyDescent="0.25">
      <c r="A24" s="1"/>
      <c r="B24" s="1"/>
      <c r="C24" s="6" t="s">
        <v>9</v>
      </c>
      <c r="D24" s="68" t="s">
        <v>55</v>
      </c>
      <c r="E24" s="69"/>
      <c r="F24" s="69"/>
      <c r="G24" s="70"/>
      <c r="H24" s="1"/>
      <c r="I24" s="1"/>
    </row>
    <row r="25" spans="1:9" x14ac:dyDescent="0.25">
      <c r="A25" s="1"/>
      <c r="B25" s="1"/>
      <c r="C25" s="6" t="s">
        <v>215</v>
      </c>
      <c r="D25" s="68" t="s">
        <v>143</v>
      </c>
      <c r="E25" s="69"/>
      <c r="F25" s="69"/>
      <c r="G25" s="70"/>
      <c r="H25" s="1"/>
      <c r="I25" s="1"/>
    </row>
    <row r="26" spans="1:9" x14ac:dyDescent="0.25">
      <c r="A26" s="1"/>
      <c r="B26" s="1"/>
      <c r="C26" s="6" t="s">
        <v>216</v>
      </c>
      <c r="D26" s="68" t="s">
        <v>144</v>
      </c>
      <c r="E26" s="69"/>
      <c r="F26" s="69"/>
      <c r="G26" s="70"/>
      <c r="H26" s="1"/>
      <c r="I26" s="1"/>
    </row>
    <row r="27" spans="1:9" x14ac:dyDescent="0.25">
      <c r="A27" s="1"/>
      <c r="B27" s="1"/>
      <c r="C27" s="6" t="s">
        <v>217</v>
      </c>
      <c r="D27" s="68" t="s">
        <v>145</v>
      </c>
      <c r="E27" s="69"/>
      <c r="F27" s="69"/>
      <c r="G27" s="70"/>
      <c r="H27" s="1"/>
      <c r="I27" s="1"/>
    </row>
    <row r="28" spans="1:9" x14ac:dyDescent="0.25">
      <c r="A28" s="1"/>
      <c r="B28" s="1"/>
      <c r="C28" s="6" t="s">
        <v>22</v>
      </c>
      <c r="D28" s="68" t="s">
        <v>56</v>
      </c>
      <c r="E28" s="69"/>
      <c r="F28" s="69"/>
      <c r="G28" s="70"/>
      <c r="H28" s="1"/>
      <c r="I28" s="1"/>
    </row>
    <row r="29" spans="1:9" x14ac:dyDescent="0.25">
      <c r="A29" s="1"/>
      <c r="B29" s="1"/>
      <c r="C29" s="6" t="s">
        <v>58</v>
      </c>
      <c r="D29" s="68" t="s">
        <v>57</v>
      </c>
      <c r="E29" s="69"/>
      <c r="F29" s="69"/>
      <c r="G29" s="70"/>
      <c r="H29" s="1"/>
      <c r="I29" s="1"/>
    </row>
    <row r="30" spans="1:9" x14ac:dyDescent="0.25">
      <c r="A30" s="1"/>
      <c r="B30" s="1"/>
      <c r="C30" s="6" t="s">
        <v>59</v>
      </c>
      <c r="D30" s="79" t="s">
        <v>11</v>
      </c>
      <c r="E30" s="80"/>
      <c r="F30" s="80"/>
      <c r="G30" s="81"/>
      <c r="H30" s="1"/>
      <c r="I30" s="1"/>
    </row>
    <row r="31" spans="1:9" x14ac:dyDescent="0.25">
      <c r="A31" s="1"/>
      <c r="B31" s="1"/>
      <c r="C31" s="6" t="s">
        <v>175</v>
      </c>
      <c r="D31" s="76" t="s">
        <v>207</v>
      </c>
      <c r="E31" s="77"/>
      <c r="F31" s="77"/>
      <c r="G31" s="78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AGCuZftDnvSfSyhWRNzZ1CAhvP0aCqlffwxABrE47/Bl6c5oPm06TIGGeSyTq4gdzrAdyeZInNMoxj9+55T2Ew==" saltValue="uDQSj89hD1elaigPHP1FBA==" spinCount="100000" sheet="1" objects="1" scenarios="1"/>
  <mergeCells count="22">
    <mergeCell ref="D29:G29"/>
    <mergeCell ref="D31:G31"/>
    <mergeCell ref="D18:G18"/>
    <mergeCell ref="D24:G24"/>
    <mergeCell ref="D25:G25"/>
    <mergeCell ref="D28:G28"/>
    <mergeCell ref="D26:G26"/>
    <mergeCell ref="D27:G27"/>
    <mergeCell ref="D23:G23"/>
    <mergeCell ref="D30:G30"/>
    <mergeCell ref="D14:G14"/>
    <mergeCell ref="D6:G7"/>
    <mergeCell ref="D21:G21"/>
    <mergeCell ref="D22:G22"/>
    <mergeCell ref="D11:G11"/>
    <mergeCell ref="D8:G8"/>
    <mergeCell ref="D15:G15"/>
    <mergeCell ref="D16:G16"/>
    <mergeCell ref="D19:G19"/>
    <mergeCell ref="D13:G13"/>
    <mergeCell ref="D17:G17"/>
    <mergeCell ref="D20:G20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30:G30" location="'Fane 14. Hist. over-underdæk.'!A1" display="Historisk over- eller underdækning"/>
    <hyperlink ref="D21:G21" location="'Fane 6. Ikke-påvirkelige omk.'!A1" display="Ikke-påvirkelige omkostninger"/>
    <hyperlink ref="D18:G18" location="'Fane 4.1. Gen. krav - drift'!A1" display="Generelt effektiviseringskrav på drift"/>
    <hyperlink ref="D20:G20" location="'Fane 5. Individuelt eff. krav'!A1" display="Individuelt effektiviseringskrav"/>
    <hyperlink ref="D19:G19" location="'Fane 4.2. Gen. krav - anlæg'!A1" display="Generelt effektiviseringskrav på anlæg"/>
    <hyperlink ref="D23" location="'Fane 8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1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8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82" t="s">
        <v>220</v>
      </c>
      <c r="C3" s="82"/>
      <c r="D3" s="82"/>
      <c r="E3" s="1"/>
      <c r="F3" s="1"/>
    </row>
    <row r="4" spans="1:6" ht="15" customHeight="1" x14ac:dyDescent="0.25">
      <c r="A4" s="1"/>
      <c r="B4" s="82"/>
      <c r="C4" s="82"/>
      <c r="D4" s="82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97" t="s">
        <v>66</v>
      </c>
      <c r="C8" s="98"/>
      <c r="D8" s="99"/>
      <c r="E8" s="1"/>
      <c r="F8" s="1"/>
    </row>
    <row r="9" spans="1:6" ht="15" customHeight="1" x14ac:dyDescent="0.25">
      <c r="A9" s="1"/>
      <c r="B9" s="33" t="s">
        <v>49</v>
      </c>
      <c r="C9" s="11" t="s">
        <v>67</v>
      </c>
      <c r="D9" s="11"/>
      <c r="E9" s="1"/>
      <c r="F9" s="1"/>
    </row>
    <row r="10" spans="1:6" x14ac:dyDescent="0.25">
      <c r="A10" s="1"/>
      <c r="B10" s="58" t="s">
        <v>259</v>
      </c>
      <c r="C10" s="9">
        <v>2175344</v>
      </c>
      <c r="D10" s="14" t="s">
        <v>3</v>
      </c>
      <c r="E10" s="1"/>
      <c r="F10" s="1"/>
    </row>
    <row r="11" spans="1:6" x14ac:dyDescent="0.25">
      <c r="A11" s="1"/>
      <c r="B11" s="58" t="s">
        <v>260</v>
      </c>
      <c r="C11" s="9">
        <v>62843</v>
      </c>
      <c r="D11" s="14" t="s">
        <v>3</v>
      </c>
      <c r="E11" s="1"/>
      <c r="F11" s="1"/>
    </row>
    <row r="12" spans="1:6" ht="26.25" x14ac:dyDescent="0.25">
      <c r="A12" s="1"/>
      <c r="B12" s="35" t="s">
        <v>261</v>
      </c>
      <c r="C12" s="9">
        <v>666251</v>
      </c>
      <c r="D12" s="14" t="s">
        <v>3</v>
      </c>
      <c r="E12" s="1"/>
      <c r="F12" s="1"/>
    </row>
    <row r="13" spans="1:6" x14ac:dyDescent="0.25">
      <c r="A13" s="1"/>
      <c r="B13" s="35" t="s">
        <v>262</v>
      </c>
      <c r="C13" s="9">
        <v>285694</v>
      </c>
      <c r="D13" s="14" t="s">
        <v>3</v>
      </c>
      <c r="E13" s="1"/>
      <c r="F13" s="1"/>
    </row>
    <row r="14" spans="1:6" x14ac:dyDescent="0.25">
      <c r="A14" s="1"/>
      <c r="B14" s="58" t="s">
        <v>263</v>
      </c>
      <c r="C14" s="9">
        <v>696317</v>
      </c>
      <c r="D14" s="14" t="s">
        <v>3</v>
      </c>
      <c r="E14" s="1"/>
      <c r="F14" s="1"/>
    </row>
    <row r="15" spans="1:6" x14ac:dyDescent="0.25">
      <c r="A15" s="1"/>
      <c r="B15" s="40" t="s">
        <v>68</v>
      </c>
      <c r="C15" s="12">
        <f>SUM(C10:C14)</f>
        <v>3886449</v>
      </c>
      <c r="D15" s="13" t="s">
        <v>3</v>
      </c>
      <c r="E15" s="1"/>
      <c r="F15" s="1"/>
    </row>
    <row r="16" spans="1:6" x14ac:dyDescent="0.25">
      <c r="A16" s="1"/>
      <c r="B16" s="40" t="s">
        <v>69</v>
      </c>
      <c r="C16" s="12">
        <f>C15*(1+'Fane 15. Nøgletal'!C12)^2</f>
        <v>4041083.3825924103</v>
      </c>
      <c r="D16" s="13" t="s">
        <v>3</v>
      </c>
      <c r="E16" s="1"/>
      <c r="F16" s="1"/>
    </row>
    <row r="17" spans="1:6" x14ac:dyDescent="0.25">
      <c r="A17" s="1"/>
      <c r="B17" s="16"/>
      <c r="C17" s="15"/>
      <c r="D17" s="15"/>
      <c r="E17" s="1"/>
      <c r="F17" s="1"/>
    </row>
    <row r="18" spans="1:6" x14ac:dyDescent="0.25">
      <c r="A18" s="1"/>
      <c r="B18" s="16"/>
      <c r="C18" s="15"/>
      <c r="D18" s="15"/>
      <c r="E18" s="1"/>
      <c r="F18" s="1"/>
    </row>
    <row r="19" spans="1:6" x14ac:dyDescent="0.25">
      <c r="A19" s="1"/>
      <c r="B19" s="97" t="s">
        <v>236</v>
      </c>
      <c r="C19" s="98"/>
      <c r="D19" s="99"/>
      <c r="E19" s="1"/>
      <c r="F19" s="1"/>
    </row>
    <row r="20" spans="1:6" x14ac:dyDescent="0.25">
      <c r="A20" s="1"/>
      <c r="B20" s="58" t="s">
        <v>197</v>
      </c>
      <c r="C20" s="9">
        <v>0</v>
      </c>
      <c r="D20" s="14" t="s">
        <v>3</v>
      </c>
      <c r="E20" s="1"/>
      <c r="F20" s="1"/>
    </row>
    <row r="21" spans="1:6" x14ac:dyDescent="0.25">
      <c r="A21" s="1"/>
      <c r="B21" s="58" t="s">
        <v>198</v>
      </c>
      <c r="C21" s="9">
        <v>0</v>
      </c>
      <c r="D21" s="14" t="s">
        <v>3</v>
      </c>
      <c r="E21" s="1"/>
      <c r="F21" s="1"/>
    </row>
    <row r="22" spans="1:6" x14ac:dyDescent="0.25">
      <c r="A22" s="1"/>
      <c r="B22" s="58" t="s">
        <v>199</v>
      </c>
      <c r="C22" s="9">
        <v>0</v>
      </c>
      <c r="D22" s="14" t="s">
        <v>3</v>
      </c>
      <c r="E22" s="1"/>
      <c r="F22" s="1"/>
    </row>
    <row r="23" spans="1:6" x14ac:dyDescent="0.25">
      <c r="A23" s="1"/>
      <c r="B23" s="58" t="s">
        <v>200</v>
      </c>
      <c r="C23" s="9">
        <v>0</v>
      </c>
      <c r="D23" s="14" t="s">
        <v>3</v>
      </c>
      <c r="E23" s="1"/>
      <c r="F23" s="1"/>
    </row>
    <row r="24" spans="1:6" x14ac:dyDescent="0.25">
      <c r="A24" s="1"/>
      <c r="B24" s="97"/>
      <c r="C24" s="98"/>
      <c r="D24" s="99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97" t="s">
        <v>196</v>
      </c>
      <c r="C27" s="98"/>
      <c r="D27" s="99"/>
      <c r="E27" s="1"/>
      <c r="F27" s="1"/>
    </row>
    <row r="28" spans="1:6" x14ac:dyDescent="0.25">
      <c r="A28" s="1"/>
      <c r="B28" s="58" t="s">
        <v>197</v>
      </c>
      <c r="C28" s="9">
        <v>0</v>
      </c>
      <c r="D28" s="14" t="s">
        <v>3</v>
      </c>
      <c r="E28" s="1"/>
      <c r="F28" s="1"/>
    </row>
    <row r="29" spans="1:6" x14ac:dyDescent="0.25">
      <c r="A29" s="1"/>
      <c r="B29" s="58" t="s">
        <v>198</v>
      </c>
      <c r="C29" s="9">
        <v>0</v>
      </c>
      <c r="D29" s="14" t="s">
        <v>3</v>
      </c>
      <c r="E29" s="1"/>
      <c r="F29" s="1"/>
    </row>
    <row r="30" spans="1:6" x14ac:dyDescent="0.25">
      <c r="A30" s="1"/>
      <c r="B30" s="58" t="s">
        <v>199</v>
      </c>
      <c r="C30" s="9">
        <v>0</v>
      </c>
      <c r="D30" s="14" t="s">
        <v>3</v>
      </c>
      <c r="E30" s="1"/>
      <c r="F30" s="1"/>
    </row>
    <row r="31" spans="1:6" x14ac:dyDescent="0.25">
      <c r="A31" s="1"/>
      <c r="B31" s="58" t="s">
        <v>200</v>
      </c>
      <c r="C31" s="9">
        <v>0</v>
      </c>
      <c r="D31" s="14" t="s">
        <v>3</v>
      </c>
      <c r="E31" s="1"/>
      <c r="F31" s="1"/>
    </row>
    <row r="32" spans="1:6" x14ac:dyDescent="0.25">
      <c r="A32" s="1"/>
      <c r="B32" s="97"/>
      <c r="C32" s="98"/>
      <c r="D32" s="99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</sheetData>
  <sheetProtection algorithmName="SHA-512" hashValue="pPe+xB8SeIDkzFbE1PXDqIyCDzU/3M9h+mH7oGDh4ZCKPlIYVeQNeHllUSAmaNB6cZ9oGVDHJ6XV/Uw7w+RMFA==" saltValue="f2T7q171T+O+fHWygw8HdA==" spinCount="100000" sheet="1" objects="1" scenarios="1"/>
  <mergeCells count="6">
    <mergeCell ref="B32:D32"/>
    <mergeCell ref="B3:D4"/>
    <mergeCell ref="B8:D8"/>
    <mergeCell ref="B19:D19"/>
    <mergeCell ref="B27:D27"/>
    <mergeCell ref="B24:D24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855468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7" t="s">
        <v>226</v>
      </c>
      <c r="C3" s="87"/>
      <c r="D3" s="87"/>
      <c r="E3" s="87"/>
      <c r="F3" s="87"/>
      <c r="G3" s="1"/>
    </row>
    <row r="4" spans="1:7" ht="15" customHeight="1" x14ac:dyDescent="0.25">
      <c r="A4" s="1"/>
      <c r="B4" s="87"/>
      <c r="C4" s="87"/>
      <c r="D4" s="87"/>
      <c r="E4" s="87"/>
      <c r="F4" s="87"/>
      <c r="G4" s="1"/>
    </row>
    <row r="5" spans="1:7" ht="15" customHeight="1" x14ac:dyDescent="0.25">
      <c r="A5" s="1"/>
      <c r="B5" s="56"/>
      <c r="C5" s="56"/>
      <c r="D5" s="56"/>
      <c r="E5" s="56"/>
      <c r="F5" s="56"/>
      <c r="G5" s="1"/>
    </row>
    <row r="6" spans="1:7" ht="15" customHeight="1" x14ac:dyDescent="0.25">
      <c r="A6" s="1"/>
      <c r="B6" s="56"/>
      <c r="C6" s="56"/>
      <c r="D6" s="56"/>
      <c r="E6" s="56"/>
      <c r="F6" s="56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7" t="s">
        <v>183</v>
      </c>
      <c r="C8" s="98"/>
      <c r="D8" s="98"/>
      <c r="E8" s="98"/>
      <c r="F8" s="99"/>
      <c r="G8" s="1"/>
    </row>
    <row r="9" spans="1:7" x14ac:dyDescent="0.25">
      <c r="A9" s="1"/>
      <c r="B9" s="103" t="s">
        <v>184</v>
      </c>
      <c r="C9" s="104"/>
      <c r="D9" s="105"/>
      <c r="E9" s="9">
        <v>187442056.45153588</v>
      </c>
      <c r="F9" s="14" t="s">
        <v>3</v>
      </c>
      <c r="G9" s="1"/>
    </row>
    <row r="10" spans="1:7" x14ac:dyDescent="0.25">
      <c r="A10" s="1"/>
      <c r="B10" s="103" t="s">
        <v>185</v>
      </c>
      <c r="C10" s="104"/>
      <c r="D10" s="105"/>
      <c r="E10" s="9">
        <v>170288537</v>
      </c>
      <c r="F10" s="14" t="s">
        <v>3</v>
      </c>
      <c r="G10" s="1"/>
    </row>
    <row r="11" spans="1:7" x14ac:dyDescent="0.25">
      <c r="A11" s="1"/>
      <c r="B11" s="103" t="s">
        <v>50</v>
      </c>
      <c r="C11" s="104"/>
      <c r="D11" s="105"/>
      <c r="E11" s="9">
        <v>584000</v>
      </c>
      <c r="F11" s="14" t="s">
        <v>3</v>
      </c>
      <c r="G11" s="1"/>
    </row>
    <row r="12" spans="1:7" x14ac:dyDescent="0.25">
      <c r="A12" s="1"/>
      <c r="B12" s="91" t="s">
        <v>186</v>
      </c>
      <c r="C12" s="92"/>
      <c r="D12" s="93"/>
      <c r="E12" s="10">
        <f>E9-(E10-E11)</f>
        <v>17737519.451535881</v>
      </c>
      <c r="F12" s="17" t="s">
        <v>3</v>
      </c>
      <c r="G12" s="1"/>
    </row>
    <row r="13" spans="1:7" x14ac:dyDescent="0.25">
      <c r="A13" s="1"/>
      <c r="B13" s="40"/>
      <c r="C13" s="34"/>
      <c r="D13" s="34"/>
      <c r="E13" s="34"/>
      <c r="F13" s="22"/>
      <c r="G13" s="1"/>
    </row>
    <row r="14" spans="1:7" ht="27" customHeight="1" x14ac:dyDescent="0.25">
      <c r="A14" s="1"/>
      <c r="B14" s="84" t="s">
        <v>208</v>
      </c>
      <c r="C14" s="85"/>
      <c r="D14" s="85"/>
      <c r="E14" s="85"/>
      <c r="F14" s="86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97" t="s">
        <v>73</v>
      </c>
      <c r="C17" s="98"/>
      <c r="D17" s="98"/>
      <c r="E17" s="98"/>
      <c r="F17" s="99"/>
      <c r="G17" s="1"/>
    </row>
    <row r="18" spans="1:7" x14ac:dyDescent="0.25">
      <c r="A18" s="1"/>
      <c r="B18" s="103" t="s">
        <v>74</v>
      </c>
      <c r="C18" s="104"/>
      <c r="D18" s="105"/>
      <c r="E18" s="9">
        <v>171012149.89708048</v>
      </c>
      <c r="F18" s="14" t="s">
        <v>3</v>
      </c>
      <c r="G18" s="1"/>
    </row>
    <row r="19" spans="1:7" x14ac:dyDescent="0.25">
      <c r="A19" s="1"/>
      <c r="B19" s="103" t="s">
        <v>75</v>
      </c>
      <c r="C19" s="104"/>
      <c r="D19" s="105"/>
      <c r="E19" s="9">
        <v>211292736</v>
      </c>
      <c r="F19" s="14" t="s">
        <v>3</v>
      </c>
      <c r="G19" s="1"/>
    </row>
    <row r="20" spans="1:7" x14ac:dyDescent="0.25">
      <c r="A20" s="1"/>
      <c r="B20" s="103" t="s">
        <v>50</v>
      </c>
      <c r="C20" s="104"/>
      <c r="D20" s="105"/>
      <c r="E20" s="9">
        <v>0</v>
      </c>
      <c r="F20" s="14" t="s">
        <v>3</v>
      </c>
      <c r="G20" s="1"/>
    </row>
    <row r="21" spans="1:7" x14ac:dyDescent="0.25">
      <c r="A21" s="1"/>
      <c r="B21" s="91" t="s">
        <v>76</v>
      </c>
      <c r="C21" s="92"/>
      <c r="D21" s="93"/>
      <c r="E21" s="10">
        <f>E18-(E19-E20)</f>
        <v>-40280586.102919519</v>
      </c>
      <c r="F21" s="17" t="s">
        <v>3</v>
      </c>
      <c r="G21" s="1"/>
    </row>
    <row r="22" spans="1:7" x14ac:dyDescent="0.25">
      <c r="A22" s="1"/>
      <c r="B22" s="40"/>
      <c r="C22" s="34"/>
      <c r="D22" s="34"/>
      <c r="E22" s="3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97" t="s">
        <v>179</v>
      </c>
      <c r="C25" s="98"/>
      <c r="D25" s="98"/>
      <c r="E25" s="98"/>
      <c r="F25" s="99"/>
      <c r="G25" s="1"/>
    </row>
    <row r="26" spans="1:7" x14ac:dyDescent="0.25">
      <c r="A26" s="1"/>
      <c r="B26" s="111" t="s">
        <v>174</v>
      </c>
      <c r="C26" s="112"/>
      <c r="D26" s="113"/>
      <c r="E26" s="9">
        <f>IF(E12+E21&lt;0,E12+E21,0)</f>
        <v>-22543066.651383638</v>
      </c>
      <c r="F26" s="14" t="s">
        <v>3</v>
      </c>
      <c r="G26" s="1"/>
    </row>
    <row r="27" spans="1:7" x14ac:dyDescent="0.25">
      <c r="A27" s="1"/>
      <c r="B27" s="111" t="s">
        <v>204</v>
      </c>
      <c r="C27" s="112"/>
      <c r="D27" s="113"/>
      <c r="E27" s="9">
        <v>2</v>
      </c>
      <c r="F27" s="14" t="s">
        <v>28</v>
      </c>
      <c r="G27" s="1"/>
    </row>
    <row r="28" spans="1:7" x14ac:dyDescent="0.25">
      <c r="A28" s="1"/>
      <c r="B28" s="91" t="s">
        <v>251</v>
      </c>
      <c r="C28" s="92"/>
      <c r="D28" s="93"/>
      <c r="E28" s="10">
        <f>E26/E27</f>
        <v>-11271533.325691819</v>
      </c>
      <c r="F28" s="17" t="s">
        <v>3</v>
      </c>
      <c r="G28" s="1"/>
    </row>
    <row r="29" spans="1:7" x14ac:dyDescent="0.25">
      <c r="A29" s="1"/>
      <c r="B29" s="114"/>
      <c r="C29" s="115"/>
      <c r="D29" s="115"/>
      <c r="E29" s="115"/>
      <c r="F29" s="116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WGNPrbJyW3o3+8TfarQAUErYYvAotfB/S6J21+Ou0LbDf0cs5/sMO2GNwdsbSlCAFBvKBsuwd8hEvMutlg36gQ==" saltValue="OqmYPJGQ4Jx1BbsP3OWr6g==" spinCount="100000" sheet="1" objects="1" scenarios="1"/>
  <mergeCells count="17">
    <mergeCell ref="B25:F25"/>
    <mergeCell ref="B26:D26"/>
    <mergeCell ref="B29:F29"/>
    <mergeCell ref="B27:D27"/>
    <mergeCell ref="B28:D28"/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5703125" style="2" customWidth="1"/>
    <col min="5" max="5" width="12.7109375" style="2" bestFit="1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7" t="s">
        <v>252</v>
      </c>
      <c r="C3" s="87"/>
      <c r="D3" s="87"/>
      <c r="E3" s="87"/>
      <c r="F3" s="87"/>
      <c r="G3" s="1"/>
    </row>
    <row r="4" spans="1:7" ht="15" customHeight="1" x14ac:dyDescent="0.25">
      <c r="A4" s="1"/>
      <c r="B4" s="87"/>
      <c r="C4" s="87"/>
      <c r="D4" s="87"/>
      <c r="E4" s="87"/>
      <c r="F4" s="87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97" t="s">
        <v>177</v>
      </c>
      <c r="C9" s="98"/>
      <c r="D9" s="98"/>
      <c r="E9" s="98"/>
      <c r="F9" s="98"/>
      <c r="G9" s="1"/>
    </row>
    <row r="10" spans="1:7" x14ac:dyDescent="0.25">
      <c r="A10" s="1"/>
      <c r="B10" s="84" t="s">
        <v>201</v>
      </c>
      <c r="C10" s="85"/>
      <c r="D10" s="86"/>
      <c r="E10" s="7">
        <v>0</v>
      </c>
      <c r="F10" s="8" t="s">
        <v>3</v>
      </c>
      <c r="G10" s="1"/>
    </row>
    <row r="11" spans="1:7" x14ac:dyDescent="0.25">
      <c r="A11" s="1"/>
      <c r="B11" s="103" t="s">
        <v>202</v>
      </c>
      <c r="C11" s="104"/>
      <c r="D11" s="105"/>
      <c r="E11" s="7">
        <v>0</v>
      </c>
      <c r="F11" s="8" t="s">
        <v>3</v>
      </c>
      <c r="G11" s="1"/>
    </row>
    <row r="12" spans="1:7" x14ac:dyDescent="0.25">
      <c r="A12" s="1"/>
      <c r="B12" s="91" t="s">
        <v>203</v>
      </c>
      <c r="C12" s="92"/>
      <c r="D12" s="93"/>
      <c r="E12" s="10">
        <f>E11-E10</f>
        <v>0</v>
      </c>
      <c r="F12" s="11" t="s">
        <v>3</v>
      </c>
      <c r="G12" s="1"/>
    </row>
    <row r="13" spans="1:7" x14ac:dyDescent="0.25">
      <c r="A13" s="1"/>
      <c r="B13" s="97" t="s">
        <v>178</v>
      </c>
      <c r="C13" s="98"/>
      <c r="D13" s="98"/>
      <c r="E13" s="98"/>
      <c r="F13" s="98"/>
      <c r="G13" s="1"/>
    </row>
    <row r="14" spans="1:7" x14ac:dyDescent="0.25">
      <c r="A14" s="1"/>
      <c r="B14" s="103" t="s">
        <v>210</v>
      </c>
      <c r="C14" s="104"/>
      <c r="D14" s="105"/>
      <c r="E14" s="9">
        <v>0</v>
      </c>
      <c r="F14" s="8" t="s">
        <v>3</v>
      </c>
      <c r="G14" s="1"/>
    </row>
    <row r="15" spans="1:7" x14ac:dyDescent="0.25">
      <c r="A15" s="1"/>
      <c r="B15" s="84" t="s">
        <v>211</v>
      </c>
      <c r="C15" s="85"/>
      <c r="D15" s="86"/>
      <c r="E15" s="9">
        <v>0</v>
      </c>
      <c r="F15" s="8" t="s">
        <v>3</v>
      </c>
      <c r="G15" s="1"/>
    </row>
    <row r="16" spans="1:7" x14ac:dyDescent="0.25">
      <c r="A16" s="1"/>
      <c r="B16" s="91" t="s">
        <v>203</v>
      </c>
      <c r="C16" s="92"/>
      <c r="D16" s="93"/>
      <c r="E16" s="10">
        <f>E15-E14</f>
        <v>0</v>
      </c>
      <c r="F16" s="11" t="s">
        <v>3</v>
      </c>
      <c r="G16" s="1"/>
    </row>
    <row r="17" spans="1:7" ht="15" customHeight="1" x14ac:dyDescent="0.25">
      <c r="A17" s="1"/>
      <c r="B17" s="97" t="s">
        <v>173</v>
      </c>
      <c r="C17" s="98"/>
      <c r="D17" s="98"/>
      <c r="E17" s="98"/>
      <c r="F17" s="98"/>
      <c r="G17" s="1"/>
    </row>
    <row r="18" spans="1:7" ht="28.15" customHeight="1" x14ac:dyDescent="0.25">
      <c r="A18" s="1"/>
      <c r="B18" s="84" t="s">
        <v>258</v>
      </c>
      <c r="C18" s="85"/>
      <c r="D18" s="86"/>
      <c r="E18" s="9">
        <v>0</v>
      </c>
      <c r="F18" s="8" t="s">
        <v>3</v>
      </c>
      <c r="G18" s="1"/>
    </row>
    <row r="19" spans="1:7" ht="29.25" customHeight="1" x14ac:dyDescent="0.25">
      <c r="A19" s="1"/>
      <c r="B19" s="94" t="s">
        <v>182</v>
      </c>
      <c r="C19" s="95"/>
      <c r="D19" s="96"/>
      <c r="E19" s="10">
        <f>IF('Fane 3. Omkostninger i ØR2019'!E33-'Fane 3. Omkostninger i ØR2019'!E33/(1+'Fane 15. Nøgletal'!C11)^2+E18&lt;0,-('Fane 3. Omkostninger i ØR2019'!E33-'Fane 3. Omkostninger i ØR2019'!E33/(1+'Fane 15. Nøgletal'!C11)^2+E18),0)</f>
        <v>0</v>
      </c>
      <c r="F19" s="11" t="s">
        <v>3</v>
      </c>
      <c r="G19" s="1"/>
    </row>
    <row r="20" spans="1:7" x14ac:dyDescent="0.25">
      <c r="A20" s="1"/>
      <c r="B20" s="40" t="s">
        <v>194</v>
      </c>
      <c r="C20" s="34"/>
      <c r="D20" s="34"/>
      <c r="E20" s="12">
        <f>E12+E16+E19</f>
        <v>0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ozQq4puQaJiaDEaWOsTrGTxYzJMxP2rTxn0u125RW5FY8urIoL6VN0/ZSVV0ep8mVmMXcN21T3czl9/m/CGK6w==" saltValue="p1yX5jrflFix7SP5WV+ZwQ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2" t="s">
        <v>253</v>
      </c>
      <c r="C3" s="82"/>
      <c r="D3" s="82"/>
      <c r="E3" s="82"/>
      <c r="F3" s="82"/>
      <c r="G3" s="82"/>
      <c r="H3" s="82"/>
      <c r="I3" s="1"/>
    </row>
    <row r="4" spans="1:9" ht="15" customHeight="1" x14ac:dyDescent="0.25">
      <c r="A4" s="1"/>
      <c r="B4" s="82"/>
      <c r="C4" s="82"/>
      <c r="D4" s="82"/>
      <c r="E4" s="82"/>
      <c r="F4" s="82"/>
      <c r="G4" s="82"/>
      <c r="H4" s="82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7" t="s">
        <v>254</v>
      </c>
      <c r="C8" s="98"/>
      <c r="D8" s="98"/>
      <c r="E8" s="98"/>
      <c r="F8" s="98"/>
      <c r="G8" s="98"/>
      <c r="H8" s="99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ht="39" x14ac:dyDescent="0.25">
      <c r="A10" s="1"/>
      <c r="B10" s="60" t="s">
        <v>268</v>
      </c>
      <c r="C10" s="48">
        <v>50</v>
      </c>
      <c r="D10" s="9">
        <v>3988141</v>
      </c>
      <c r="E10" s="9">
        <f>IFERROR(D10/C10,0)</f>
        <v>79762.820000000007</v>
      </c>
      <c r="F10" s="9">
        <v>0</v>
      </c>
      <c r="G10" s="9">
        <v>0</v>
      </c>
      <c r="H10" s="14" t="s">
        <v>3</v>
      </c>
      <c r="I10" s="1"/>
    </row>
    <row r="11" spans="1:9" x14ac:dyDescent="0.25">
      <c r="A11" s="1"/>
      <c r="B11" s="60" t="s">
        <v>269</v>
      </c>
      <c r="C11" s="48">
        <v>75</v>
      </c>
      <c r="D11" s="9">
        <v>1086619</v>
      </c>
      <c r="E11" s="9">
        <f t="shared" ref="E11" si="0">IFERROR(D11/C11,0)</f>
        <v>14488.253333333334</v>
      </c>
      <c r="F11" s="9">
        <v>0</v>
      </c>
      <c r="G11" s="9">
        <v>0</v>
      </c>
      <c r="H11" s="14" t="s">
        <v>3</v>
      </c>
      <c r="I11" s="1"/>
    </row>
    <row r="12" spans="1:9" ht="39" x14ac:dyDescent="0.25">
      <c r="A12" s="1"/>
      <c r="B12" s="60" t="s">
        <v>268</v>
      </c>
      <c r="C12" s="48">
        <v>50</v>
      </c>
      <c r="D12" s="9">
        <v>1322372</v>
      </c>
      <c r="E12" s="9">
        <f t="shared" ref="E12:E13" si="1">IFERROR(D12/C12,0)</f>
        <v>26447.439999999999</v>
      </c>
      <c r="F12" s="9">
        <v>0</v>
      </c>
      <c r="G12" s="9">
        <v>0</v>
      </c>
      <c r="H12" s="14" t="s">
        <v>3</v>
      </c>
      <c r="I12" s="1"/>
    </row>
    <row r="13" spans="1:9" x14ac:dyDescent="0.25">
      <c r="A13" s="1"/>
      <c r="B13" s="60" t="s">
        <v>269</v>
      </c>
      <c r="C13" s="48">
        <v>75</v>
      </c>
      <c r="D13" s="9">
        <v>6006319</v>
      </c>
      <c r="E13" s="9">
        <f t="shared" si="1"/>
        <v>80084.253333333327</v>
      </c>
      <c r="F13" s="9">
        <v>0</v>
      </c>
      <c r="G13" s="9">
        <v>0</v>
      </c>
      <c r="H13" s="14" t="s">
        <v>3</v>
      </c>
      <c r="I13" s="1"/>
    </row>
    <row r="14" spans="1:9" x14ac:dyDescent="0.25">
      <c r="A14" s="1"/>
      <c r="B14" s="97" t="s">
        <v>255</v>
      </c>
      <c r="C14" s="98"/>
      <c r="D14" s="99"/>
      <c r="E14" s="12">
        <f>SUM(E10:E13)</f>
        <v>200782.76666666666</v>
      </c>
      <c r="F14" s="12">
        <f>SUM(F10:F13)</f>
        <v>0</v>
      </c>
      <c r="G14" s="12">
        <f>SUM(G10:G13)</f>
        <v>0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2:8" x14ac:dyDescent="0.25">
      <c r="B49" s="1"/>
      <c r="C49" s="1"/>
      <c r="D49" s="1"/>
      <c r="E49" s="1"/>
      <c r="F49" s="1"/>
      <c r="G49" s="1"/>
      <c r="H49" s="1"/>
    </row>
  </sheetData>
  <sheetProtection algorithmName="SHA-512" hashValue="kQpEHHkeMYo58xM4QIoCxbSASAI04UfrZDRZBBdD0FpyL4XnAPG8EFAFaTeGR07BOydPgqYmDyIGCYTMdcTBRQ==" saltValue="h1bP6YCJcLfaL5ayH6VBaQ==" spinCount="100000" sheet="1" objects="1" scenarios="1"/>
  <mergeCells count="3">
    <mergeCell ref="B3:H4"/>
    <mergeCell ref="B14:D14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2" t="s">
        <v>225</v>
      </c>
      <c r="C3" s="82"/>
      <c r="D3" s="82"/>
      <c r="E3" s="82"/>
      <c r="F3" s="82"/>
      <c r="G3" s="1"/>
    </row>
    <row r="4" spans="1:7" ht="15" customHeight="1" x14ac:dyDescent="0.25">
      <c r="A4" s="1"/>
      <c r="B4" s="82"/>
      <c r="C4" s="82"/>
      <c r="D4" s="82"/>
      <c r="E4" s="82"/>
      <c r="F4" s="82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139</v>
      </c>
      <c r="C8" s="34"/>
      <c r="D8" s="34"/>
      <c r="E8" s="34"/>
      <c r="F8" s="22"/>
      <c r="G8" s="1"/>
    </row>
    <row r="9" spans="1:7" ht="17.25" customHeight="1" x14ac:dyDescent="0.25">
      <c r="A9" s="1"/>
      <c r="B9" s="54" t="s">
        <v>25</v>
      </c>
      <c r="C9" s="54" t="s">
        <v>16</v>
      </c>
      <c r="D9" s="55"/>
      <c r="E9" s="54" t="s">
        <v>48</v>
      </c>
      <c r="F9" s="39"/>
      <c r="G9" s="1"/>
    </row>
    <row r="10" spans="1:7" x14ac:dyDescent="0.25">
      <c r="A10" s="1"/>
      <c r="B10" s="27" t="s">
        <v>270</v>
      </c>
      <c r="C10" s="24">
        <f>'Fane 9. Anlægsprojekter'!F14</f>
        <v>0</v>
      </c>
      <c r="D10" s="14" t="s">
        <v>3</v>
      </c>
      <c r="E10" s="9">
        <f>SUM('Fane 9. Anlægsprojekter'!E14,'Fane 9. Anlægsprojekter'!G14)</f>
        <v>200782.76666666666</v>
      </c>
      <c r="F10" s="14" t="s">
        <v>3</v>
      </c>
      <c r="G10" s="1"/>
    </row>
    <row r="11" spans="1:7" x14ac:dyDescent="0.25">
      <c r="A11" s="1"/>
      <c r="B11" s="49" t="s">
        <v>264</v>
      </c>
      <c r="C11" s="24">
        <v>36584</v>
      </c>
      <c r="D11" s="14" t="s">
        <v>3</v>
      </c>
      <c r="E11" s="9">
        <v>549834</v>
      </c>
      <c r="F11" s="14" t="s">
        <v>3</v>
      </c>
      <c r="G11" s="1"/>
    </row>
    <row r="12" spans="1:7" x14ac:dyDescent="0.25">
      <c r="A12" s="1"/>
      <c r="B12" s="49" t="s">
        <v>265</v>
      </c>
      <c r="C12" s="24">
        <v>37346</v>
      </c>
      <c r="D12" s="14" t="s">
        <v>3</v>
      </c>
      <c r="E12" s="9">
        <v>194231</v>
      </c>
      <c r="F12" s="14" t="s">
        <v>3</v>
      </c>
      <c r="G12" s="1"/>
    </row>
    <row r="13" spans="1:7" x14ac:dyDescent="0.25">
      <c r="A13" s="1"/>
      <c r="B13" s="40" t="s">
        <v>60</v>
      </c>
      <c r="C13" s="12">
        <f>SUM(C10:C12)</f>
        <v>73930</v>
      </c>
      <c r="D13" s="13" t="s">
        <v>3</v>
      </c>
      <c r="E13" s="12">
        <f>SUM(E10:E12)</f>
        <v>944847.7666666666</v>
      </c>
      <c r="F13" s="13" t="s">
        <v>3</v>
      </c>
      <c r="G13" s="1"/>
    </row>
    <row r="14" spans="1:7" x14ac:dyDescent="0.25">
      <c r="A14" s="1"/>
      <c r="B14" s="40" t="s">
        <v>70</v>
      </c>
      <c r="C14" s="12">
        <f>C13*(1+'Fane 15. Nøgletal'!C12)</f>
        <v>75386.421000000002</v>
      </c>
      <c r="D14" s="13" t="s">
        <v>3</v>
      </c>
      <c r="E14" s="12">
        <f>E13*(1+'Fane 15. Nøgletal'!C12)</f>
        <v>963461.26766999997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YB8kHmFUqVm9Qm6EXmkFnsViZma9N3b+KUwvTwZ4qgylepDPIV8JztQzBSZH5fJNgGCCq19eKyJjFr0TCaplsg==" saltValue="bEClo49yhBWFxqGe3WUTqw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42578125" style="2" bestFit="1" customWidth="1"/>
    <col min="5" max="5" width="17.7109375" style="2" bestFit="1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2" t="s">
        <v>224</v>
      </c>
      <c r="C3" s="82"/>
      <c r="D3" s="82"/>
      <c r="E3" s="82"/>
      <c r="F3" s="82"/>
      <c r="G3" s="1"/>
    </row>
    <row r="4" spans="1:7" ht="15" customHeight="1" x14ac:dyDescent="0.25">
      <c r="A4" s="1"/>
      <c r="B4" s="82"/>
      <c r="C4" s="82"/>
      <c r="D4" s="82"/>
      <c r="E4" s="82"/>
      <c r="F4" s="82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7" t="s">
        <v>187</v>
      </c>
      <c r="C8" s="98"/>
      <c r="D8" s="98"/>
      <c r="E8" s="98"/>
      <c r="F8" s="99"/>
      <c r="G8" s="1"/>
    </row>
    <row r="9" spans="1:7" x14ac:dyDescent="0.25">
      <c r="A9" s="1"/>
      <c r="B9" s="54" t="s">
        <v>25</v>
      </c>
      <c r="C9" s="54" t="s">
        <v>16</v>
      </c>
      <c r="D9" s="55"/>
      <c r="E9" s="54" t="s">
        <v>48</v>
      </c>
      <c r="F9" s="39"/>
      <c r="G9" s="1"/>
    </row>
    <row r="10" spans="1:7" x14ac:dyDescent="0.25">
      <c r="A10" s="1"/>
      <c r="B10" s="27" t="s">
        <v>266</v>
      </c>
      <c r="C10" s="24">
        <v>8303603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191</v>
      </c>
      <c r="C11" s="12">
        <f>SUM(C10:C10)</f>
        <v>8303603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krav'!G11</f>
        <v>-44065.725424447322</v>
      </c>
      <c r="D12" s="31" t="s">
        <v>3</v>
      </c>
      <c r="E12" s="30">
        <f>-E11*'Fane 5. Individuelt eff. krav'!G11</f>
        <v>0</v>
      </c>
      <c r="F12" s="31" t="s">
        <v>3</v>
      </c>
      <c r="G12" s="1"/>
    </row>
    <row r="13" spans="1:7" x14ac:dyDescent="0.25">
      <c r="A13" s="1"/>
      <c r="B13" s="29" t="s">
        <v>195</v>
      </c>
      <c r="C13" s="30">
        <f>-C11*'Fane 15. Nøgletal'!C25</f>
        <v>-166072.06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0" t="s">
        <v>192</v>
      </c>
      <c r="C14" s="12">
        <f>SUM(C11:C13)*(1+'Fane 15. Nøgletal'!C12)^2</f>
        <v>8415488.7369449548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97" t="s">
        <v>188</v>
      </c>
      <c r="C16" s="98"/>
      <c r="D16" s="98"/>
      <c r="E16" s="98"/>
      <c r="F16" s="99"/>
      <c r="G16" s="1"/>
    </row>
    <row r="17" spans="1:7" x14ac:dyDescent="0.25">
      <c r="A17" s="1"/>
      <c r="B17" s="54" t="s">
        <v>25</v>
      </c>
      <c r="C17" s="54" t="s">
        <v>16</v>
      </c>
      <c r="D17" s="55"/>
      <c r="E17" s="54" t="s">
        <v>48</v>
      </c>
      <c r="F17" s="39"/>
      <c r="G17" s="1"/>
    </row>
    <row r="18" spans="1:7" x14ac:dyDescent="0.25">
      <c r="A18" s="1"/>
      <c r="B18" s="27" t="s">
        <v>267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0" t="s">
        <v>191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krav'!G11</f>
        <v>0</v>
      </c>
      <c r="D20" s="31" t="s">
        <v>3</v>
      </c>
      <c r="E20" s="30">
        <f>-E19*'Fane 5. Individuelt eff. krav'!G11</f>
        <v>0</v>
      </c>
      <c r="F20" s="31" t="s">
        <v>3</v>
      </c>
      <c r="G20" s="1"/>
    </row>
    <row r="21" spans="1:7" x14ac:dyDescent="0.25">
      <c r="A21" s="1"/>
      <c r="B21" s="29" t="s">
        <v>195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0" t="s">
        <v>193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97" t="s">
        <v>189</v>
      </c>
      <c r="C24" s="98"/>
      <c r="D24" s="98"/>
      <c r="E24" s="98"/>
      <c r="F24" s="99"/>
      <c r="G24" s="1"/>
    </row>
    <row r="25" spans="1:7" x14ac:dyDescent="0.25">
      <c r="A25" s="1"/>
      <c r="B25" s="54" t="s">
        <v>25</v>
      </c>
      <c r="C25" s="54" t="s">
        <v>16</v>
      </c>
      <c r="D25" s="55"/>
      <c r="E25" s="54" t="s">
        <v>48</v>
      </c>
      <c r="F25" s="39"/>
      <c r="G25" s="1"/>
    </row>
    <row r="26" spans="1:7" x14ac:dyDescent="0.25">
      <c r="A26" s="1"/>
      <c r="B26" s="27" t="s">
        <v>267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0" t="s">
        <v>191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krav'!G11</f>
        <v>0</v>
      </c>
      <c r="D28" s="31" t="s">
        <v>3</v>
      </c>
      <c r="E28" s="30">
        <f>-E27*'Fane 5. Individuelt eff. krav'!G11</f>
        <v>0</v>
      </c>
      <c r="F28" s="31" t="s">
        <v>3</v>
      </c>
      <c r="G28" s="1"/>
    </row>
    <row r="29" spans="1:7" x14ac:dyDescent="0.25">
      <c r="A29" s="1"/>
      <c r="B29" s="29" t="s">
        <v>195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0" t="s">
        <v>193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97" t="s">
        <v>190</v>
      </c>
      <c r="C32" s="98"/>
      <c r="D32" s="98"/>
      <c r="E32" s="98"/>
      <c r="F32" s="99"/>
      <c r="G32" s="1"/>
    </row>
    <row r="33" spans="1:7" x14ac:dyDescent="0.25">
      <c r="A33" s="1"/>
      <c r="B33" s="54" t="s">
        <v>25</v>
      </c>
      <c r="C33" s="54" t="s">
        <v>16</v>
      </c>
      <c r="D33" s="55"/>
      <c r="E33" s="54" t="s">
        <v>48</v>
      </c>
      <c r="F33" s="39"/>
      <c r="G33" s="1"/>
    </row>
    <row r="34" spans="1:7" x14ac:dyDescent="0.25">
      <c r="A34" s="1"/>
      <c r="B34" s="27" t="s">
        <v>267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0" t="s">
        <v>191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krav'!G11</f>
        <v>0</v>
      </c>
      <c r="D36" s="31" t="s">
        <v>3</v>
      </c>
      <c r="E36" s="30">
        <f>-E35*'Fane 5. Individuelt eff. krav'!G11</f>
        <v>0</v>
      </c>
      <c r="F36" s="31" t="s">
        <v>3</v>
      </c>
      <c r="G36" s="1"/>
    </row>
    <row r="37" spans="1:7" x14ac:dyDescent="0.25">
      <c r="A37" s="1"/>
      <c r="B37" s="29" t="s">
        <v>195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0" t="s">
        <v>193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SJBpJKm0k0VAarjlqtUhSKBjyRFCchCeBmzHs14gMYluOuINdG3GXmH7w1roIYzxx/PKgruww3iTqyxBl3qFow==" saltValue="MeuXyy6N2mYq6URI8ZleSg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7" t="s">
        <v>227</v>
      </c>
      <c r="C3" s="87"/>
      <c r="D3" s="87"/>
      <c r="E3" s="87"/>
      <c r="F3" s="87"/>
      <c r="G3" s="1"/>
    </row>
    <row r="4" spans="1:7" ht="15" customHeight="1" x14ac:dyDescent="0.25">
      <c r="A4" s="1"/>
      <c r="B4" s="87"/>
      <c r="C4" s="87"/>
      <c r="D4" s="87"/>
      <c r="E4" s="87"/>
      <c r="F4" s="87"/>
      <c r="G4" s="1"/>
    </row>
    <row r="5" spans="1:7" x14ac:dyDescent="0.25">
      <c r="A5" s="1"/>
      <c r="B5" s="87"/>
      <c r="C5" s="87"/>
      <c r="D5" s="87"/>
      <c r="E5" s="87"/>
      <c r="F5" s="87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7" t="s">
        <v>160</v>
      </c>
      <c r="C8" s="98"/>
      <c r="D8" s="98"/>
      <c r="E8" s="98"/>
      <c r="F8" s="99"/>
      <c r="G8" s="1"/>
    </row>
    <row r="9" spans="1:7" x14ac:dyDescent="0.25">
      <c r="A9" s="1"/>
      <c r="B9" s="117" t="s">
        <v>159</v>
      </c>
      <c r="C9" s="118"/>
      <c r="D9" s="119"/>
      <c r="E9" s="9">
        <v>0</v>
      </c>
      <c r="F9" s="14" t="s">
        <v>3</v>
      </c>
      <c r="G9" s="1"/>
    </row>
    <row r="10" spans="1:7" x14ac:dyDescent="0.25">
      <c r="A10" s="1"/>
      <c r="B10" s="88" t="s">
        <v>10</v>
      </c>
      <c r="C10" s="89"/>
      <c r="D10" s="90"/>
      <c r="E10" s="9">
        <f>-E9*'Fane 5. Individuelt eff. krav'!G11</f>
        <v>0</v>
      </c>
      <c r="F10" s="14" t="s">
        <v>3</v>
      </c>
      <c r="G10" s="1"/>
    </row>
    <row r="11" spans="1:7" x14ac:dyDescent="0.25">
      <c r="A11" s="1"/>
      <c r="B11" s="88" t="s">
        <v>39</v>
      </c>
      <c r="C11" s="89"/>
      <c r="D11" s="90"/>
      <c r="E11" s="9">
        <f>-E9*'Fane 15. Nøgletal'!C25</f>
        <v>0</v>
      </c>
      <c r="F11" s="14" t="s">
        <v>3</v>
      </c>
      <c r="G11" s="1"/>
    </row>
    <row r="12" spans="1:7" x14ac:dyDescent="0.25">
      <c r="A12" s="1"/>
      <c r="B12" s="97" t="s">
        <v>164</v>
      </c>
      <c r="C12" s="98"/>
      <c r="D12" s="99"/>
      <c r="E12" s="12">
        <f>SUM(E9:E11)*(1+'Fane 15. Nøgletal'!C12)^2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7" t="s">
        <v>161</v>
      </c>
      <c r="C14" s="98"/>
      <c r="D14" s="98"/>
      <c r="E14" s="98"/>
      <c r="F14" s="99"/>
      <c r="G14" s="1"/>
    </row>
    <row r="15" spans="1:7" x14ac:dyDescent="0.25">
      <c r="A15" s="1"/>
      <c r="B15" s="117" t="s">
        <v>159</v>
      </c>
      <c r="C15" s="118"/>
      <c r="D15" s="119"/>
      <c r="E15" s="9">
        <v>0</v>
      </c>
      <c r="F15" s="14" t="s">
        <v>3</v>
      </c>
      <c r="G15" s="1"/>
    </row>
    <row r="16" spans="1:7" x14ac:dyDescent="0.25">
      <c r="A16" s="1"/>
      <c r="B16" s="88" t="s">
        <v>10</v>
      </c>
      <c r="C16" s="89"/>
      <c r="D16" s="90"/>
      <c r="E16" s="9">
        <f>-E15*'Fane 5. Individuelt eff. krav'!G11</f>
        <v>0</v>
      </c>
      <c r="F16" s="14" t="s">
        <v>3</v>
      </c>
      <c r="G16" s="1"/>
    </row>
    <row r="17" spans="1:7" x14ac:dyDescent="0.25">
      <c r="A17" s="1"/>
      <c r="B17" s="88" t="s">
        <v>39</v>
      </c>
      <c r="C17" s="89"/>
      <c r="D17" s="90"/>
      <c r="E17" s="9">
        <f>-E15*'Fane 15. Nøgletal'!C25</f>
        <v>0</v>
      </c>
      <c r="F17" s="14" t="s">
        <v>3</v>
      </c>
      <c r="G17" s="1"/>
    </row>
    <row r="18" spans="1:7" x14ac:dyDescent="0.25">
      <c r="A18" s="1"/>
      <c r="B18" s="97" t="s">
        <v>165</v>
      </c>
      <c r="C18" s="98"/>
      <c r="D18" s="99"/>
      <c r="E18" s="12">
        <f>SUM(E15:E17)*(1+'Fane 15. Nøgletal'!C12)^3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7" t="s">
        <v>162</v>
      </c>
      <c r="C20" s="98"/>
      <c r="D20" s="98"/>
      <c r="E20" s="98"/>
      <c r="F20" s="99"/>
      <c r="G20" s="1"/>
    </row>
    <row r="21" spans="1:7" x14ac:dyDescent="0.25">
      <c r="A21" s="1"/>
      <c r="B21" s="117" t="s">
        <v>159</v>
      </c>
      <c r="C21" s="118"/>
      <c r="D21" s="119"/>
      <c r="E21" s="9">
        <v>0</v>
      </c>
      <c r="F21" s="14" t="s">
        <v>3</v>
      </c>
      <c r="G21" s="1"/>
    </row>
    <row r="22" spans="1:7" x14ac:dyDescent="0.25">
      <c r="A22" s="1"/>
      <c r="B22" s="88" t="s">
        <v>10</v>
      </c>
      <c r="C22" s="89"/>
      <c r="D22" s="90"/>
      <c r="E22" s="9">
        <f>-E21*'Fane 5. Individuelt eff. krav'!G11</f>
        <v>0</v>
      </c>
      <c r="F22" s="14" t="s">
        <v>3</v>
      </c>
      <c r="G22" s="1"/>
    </row>
    <row r="23" spans="1:7" x14ac:dyDescent="0.25">
      <c r="A23" s="1"/>
      <c r="B23" s="88" t="s">
        <v>39</v>
      </c>
      <c r="C23" s="89"/>
      <c r="D23" s="90"/>
      <c r="E23" s="9">
        <f>-E21*'Fane 15. Nøgletal'!C25</f>
        <v>0</v>
      </c>
      <c r="F23" s="14" t="s">
        <v>3</v>
      </c>
      <c r="G23" s="1"/>
    </row>
    <row r="24" spans="1:7" x14ac:dyDescent="0.25">
      <c r="A24" s="1"/>
      <c r="B24" s="97" t="s">
        <v>166</v>
      </c>
      <c r="C24" s="98"/>
      <c r="D24" s="99"/>
      <c r="E24" s="12">
        <f>SUM(E21:E23)*(1+'Fane 15. Nøgletal'!C12)^4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7" t="s">
        <v>163</v>
      </c>
      <c r="C26" s="98"/>
      <c r="D26" s="98"/>
      <c r="E26" s="98"/>
      <c r="F26" s="99"/>
      <c r="G26" s="1"/>
    </row>
    <row r="27" spans="1:7" x14ac:dyDescent="0.25">
      <c r="A27" s="1"/>
      <c r="B27" s="117" t="s">
        <v>159</v>
      </c>
      <c r="C27" s="118"/>
      <c r="D27" s="119"/>
      <c r="E27" s="9">
        <v>0</v>
      </c>
      <c r="F27" s="14" t="s">
        <v>3</v>
      </c>
      <c r="G27" s="1"/>
    </row>
    <row r="28" spans="1:7" x14ac:dyDescent="0.25">
      <c r="A28" s="1"/>
      <c r="B28" s="88" t="s">
        <v>10</v>
      </c>
      <c r="C28" s="89"/>
      <c r="D28" s="90"/>
      <c r="E28" s="9">
        <f>-E27*'Fane 5. Individuelt eff. krav'!G11</f>
        <v>0</v>
      </c>
      <c r="F28" s="14" t="s">
        <v>3</v>
      </c>
      <c r="G28" s="1"/>
    </row>
    <row r="29" spans="1:7" x14ac:dyDescent="0.25">
      <c r="A29" s="1"/>
      <c r="B29" s="88" t="s">
        <v>39</v>
      </c>
      <c r="C29" s="89"/>
      <c r="D29" s="90"/>
      <c r="E29" s="9">
        <f>-E27*'Fane 15. Nøgletal'!C25</f>
        <v>0</v>
      </c>
      <c r="F29" s="14" t="s">
        <v>3</v>
      </c>
      <c r="G29" s="1"/>
    </row>
    <row r="30" spans="1:7" x14ac:dyDescent="0.25">
      <c r="A30" s="1"/>
      <c r="B30" s="97" t="s">
        <v>167</v>
      </c>
      <c r="C30" s="98"/>
      <c r="D30" s="99"/>
      <c r="E30" s="12">
        <f>SUM(E27:E29)*(1+'Fane 15. Nøgletal'!C12)^5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rllOQkK2HOMXnerEdTydWRPtEpmFMigVVRqbjo1gK23CDiKDWtI5lGZw13cSREtUyJDx/+SoHIoGWu+RTZOFEQ==" saltValue="Z+9MU5rLuZ/ElswknWXuaw==" spinCount="100000" sheet="1" objects="1" scenarios="1"/>
  <mergeCells count="21">
    <mergeCell ref="B3:F5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36.42578125" style="2" customWidth="1"/>
    <col min="3" max="3" width="15.5703125" style="2" customWidth="1"/>
    <col min="4" max="4" width="3.28515625" style="2" customWidth="1"/>
    <col min="5" max="5" width="17.1406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7" t="s">
        <v>223</v>
      </c>
      <c r="C3" s="87"/>
      <c r="D3" s="87"/>
      <c r="E3" s="87"/>
      <c r="F3" s="87"/>
      <c r="G3" s="1"/>
    </row>
    <row r="4" spans="1:7" ht="25.5" customHeight="1" x14ac:dyDescent="0.25">
      <c r="A4" s="1"/>
      <c r="B4" s="87"/>
      <c r="C4" s="87"/>
      <c r="D4" s="87"/>
      <c r="E4" s="87"/>
      <c r="F4" s="87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7" t="s">
        <v>32</v>
      </c>
      <c r="C8" s="98"/>
      <c r="D8" s="98"/>
      <c r="E8" s="98"/>
      <c r="F8" s="99"/>
      <c r="G8" s="1"/>
    </row>
    <row r="9" spans="1:7" ht="15" customHeight="1" x14ac:dyDescent="0.25">
      <c r="A9" s="1"/>
      <c r="B9" s="38" t="s">
        <v>33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256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LpVnv7RFZJ6cUwrfnAlq5mNXe7vneqXu3V5VMyP2rCDwgOD91QE3zunKqk7zfVT06npTBeOsqluiEJtyrH5FTQ==" saltValue="HGMt9r9V02YodoeSkNt9bg==" spinCount="100000" sheet="1" objects="1" scenarios="1"/>
  <mergeCells count="2">
    <mergeCell ref="B3:F4"/>
    <mergeCell ref="B8:F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7" t="s">
        <v>222</v>
      </c>
      <c r="C3" s="87"/>
      <c r="D3" s="87"/>
      <c r="E3" s="87"/>
      <c r="F3" s="87"/>
      <c r="G3" s="1"/>
    </row>
    <row r="4" spans="1:7" ht="25.5" customHeight="1" x14ac:dyDescent="0.25">
      <c r="A4" s="1"/>
      <c r="B4" s="87"/>
      <c r="C4" s="87"/>
      <c r="D4" s="87"/>
      <c r="E4" s="87"/>
      <c r="F4" s="87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7" t="s">
        <v>169</v>
      </c>
      <c r="C8" s="98"/>
      <c r="D8" s="98"/>
      <c r="E8" s="98"/>
      <c r="F8" s="99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257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71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7" t="s">
        <v>170</v>
      </c>
      <c r="C14" s="98"/>
      <c r="D14" s="98"/>
      <c r="E14" s="98"/>
      <c r="F14" s="99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257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0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0" t="s">
        <v>152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7" t="s">
        <v>168</v>
      </c>
      <c r="C20" s="98"/>
      <c r="D20" s="98"/>
      <c r="E20" s="98"/>
      <c r="F20" s="99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257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0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0" t="s">
        <v>153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7" t="s">
        <v>171</v>
      </c>
      <c r="C26" s="98"/>
      <c r="D26" s="98"/>
      <c r="E26" s="98"/>
      <c r="F26" s="99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257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0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0" t="s">
        <v>154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7uyKnaLXIMhdZwVpTvFWAVmB3FzEACFB3waYr3weeDiXCPntgSOsX/lgXCG2z2Dwpwe4crmHMu/PiDVatYScDg==" saltValue="a+rrlJrtpGr4wi6TSz1wTQ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2" t="s">
        <v>221</v>
      </c>
      <c r="C3" s="82"/>
      <c r="D3" s="82"/>
      <c r="E3" s="82"/>
      <c r="F3" s="82"/>
      <c r="G3" s="82"/>
      <c r="H3" s="82"/>
      <c r="I3" s="1"/>
    </row>
    <row r="4" spans="1:9" ht="15" customHeight="1" x14ac:dyDescent="0.25">
      <c r="A4" s="1"/>
      <c r="B4" s="82"/>
      <c r="C4" s="82"/>
      <c r="D4" s="82"/>
      <c r="E4" s="82"/>
      <c r="F4" s="82"/>
      <c r="G4" s="82"/>
      <c r="H4" s="82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7" t="s">
        <v>18</v>
      </c>
      <c r="C8" s="98"/>
      <c r="D8" s="98"/>
      <c r="E8" s="98"/>
      <c r="F8" s="98"/>
      <c r="G8" s="98"/>
      <c r="H8" s="99"/>
      <c r="I8" s="1"/>
    </row>
    <row r="9" spans="1:9" x14ac:dyDescent="0.25">
      <c r="A9" s="1"/>
      <c r="B9" s="103" t="s">
        <v>12</v>
      </c>
      <c r="C9" s="104"/>
      <c r="D9" s="104"/>
      <c r="E9" s="104"/>
      <c r="F9" s="105"/>
      <c r="G9" s="9">
        <v>19504819</v>
      </c>
      <c r="H9" s="14" t="s">
        <v>3</v>
      </c>
      <c r="I9" s="1"/>
    </row>
    <row r="10" spans="1:9" x14ac:dyDescent="0.25">
      <c r="A10" s="1"/>
      <c r="B10" s="103" t="s">
        <v>137</v>
      </c>
      <c r="C10" s="104"/>
      <c r="D10" s="104"/>
      <c r="E10" s="104"/>
      <c r="F10" s="105"/>
      <c r="G10" s="9">
        <v>0</v>
      </c>
      <c r="H10" s="14" t="s">
        <v>3</v>
      </c>
      <c r="I10" s="1"/>
    </row>
    <row r="11" spans="1:9" x14ac:dyDescent="0.25">
      <c r="A11" s="1"/>
      <c r="B11" s="103" t="s">
        <v>77</v>
      </c>
      <c r="C11" s="104"/>
      <c r="D11" s="104"/>
      <c r="E11" s="104"/>
      <c r="F11" s="105"/>
      <c r="G11" s="9">
        <v>-19504819.333333332</v>
      </c>
      <c r="H11" s="14" t="s">
        <v>3</v>
      </c>
      <c r="I11" s="1"/>
    </row>
    <row r="12" spans="1:9" x14ac:dyDescent="0.25">
      <c r="A12" s="1"/>
      <c r="B12" s="120" t="s">
        <v>15</v>
      </c>
      <c r="C12" s="121"/>
      <c r="D12" s="121"/>
      <c r="E12" s="121"/>
      <c r="F12" s="122"/>
      <c r="G12" s="19">
        <f>(G9+G10)+G11</f>
        <v>-0.3333333320915699</v>
      </c>
      <c r="H12" s="18" t="s">
        <v>3</v>
      </c>
      <c r="I12" s="1"/>
    </row>
    <row r="13" spans="1:9" x14ac:dyDescent="0.25">
      <c r="A13" s="1"/>
      <c r="B13" s="103" t="s">
        <v>13</v>
      </c>
      <c r="C13" s="104"/>
      <c r="D13" s="104"/>
      <c r="E13" s="104"/>
      <c r="F13" s="105"/>
      <c r="G13" s="9">
        <v>0</v>
      </c>
      <c r="H13" s="14" t="s">
        <v>28</v>
      </c>
      <c r="I13" s="1"/>
    </row>
    <row r="14" spans="1:9" x14ac:dyDescent="0.25">
      <c r="A14" s="1"/>
      <c r="B14" s="97" t="s">
        <v>138</v>
      </c>
      <c r="C14" s="98"/>
      <c r="D14" s="98"/>
      <c r="E14" s="98"/>
      <c r="F14" s="99"/>
      <c r="G14" s="12">
        <f>IF(G13 = 0,0,-G12/G13)</f>
        <v>0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9oiLL1uleamV3MfBDfKoCOZBiKS/jioPgzd7I9S5EY70S3rY0E8mu0WYmjZVLS6sk4nu96SNJLDRIUEE4jis7w==" saltValue="ugxM/fl45nZSCHlrAZKdtA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8.5703125" style="2" customWidth="1"/>
    <col min="3" max="3" width="12.5703125" style="2" customWidth="1"/>
    <col min="4" max="4" width="2.85546875" style="2" bestFit="1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82" t="s">
        <v>62</v>
      </c>
      <c r="C3" s="82"/>
      <c r="D3" s="82"/>
      <c r="E3" s="1"/>
    </row>
    <row r="4" spans="1:5" ht="15" customHeight="1" x14ac:dyDescent="0.25">
      <c r="A4" s="1"/>
      <c r="B4" s="82"/>
      <c r="C4" s="82"/>
      <c r="D4" s="82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x14ac:dyDescent="0.25">
      <c r="A9" s="1"/>
      <c r="B9" s="35" t="s">
        <v>35</v>
      </c>
      <c r="C9" s="7">
        <f>'Fane 3. Omkostninger i ØR2019'!E20</f>
        <v>160471329.04930389</v>
      </c>
      <c r="D9" s="8" t="s">
        <v>3</v>
      </c>
      <c r="E9" s="1"/>
    </row>
    <row r="10" spans="1:5" ht="17.100000000000001" customHeight="1" x14ac:dyDescent="0.25">
      <c r="A10" s="1"/>
      <c r="B10" s="57" t="s">
        <v>64</v>
      </c>
      <c r="C10" s="7">
        <f>'Fane 10.1. Varige tillæg'!C14</f>
        <v>75386.421000000002</v>
      </c>
      <c r="D10" s="8" t="s">
        <v>3</v>
      </c>
      <c r="E10" s="1"/>
    </row>
    <row r="11" spans="1:5" ht="17.100000000000001" customHeight="1" x14ac:dyDescent="0.25">
      <c r="A11" s="1"/>
      <c r="B11" s="57" t="s">
        <v>65</v>
      </c>
      <c r="C11" s="9">
        <f>'Fane 10.1. Varige tillæg'!E14</f>
        <v>963461.26766999997</v>
      </c>
      <c r="D11" s="8" t="s">
        <v>3</v>
      </c>
      <c r="E11" s="1"/>
    </row>
    <row r="12" spans="1:5" ht="17.100000000000001" customHeight="1" x14ac:dyDescent="0.25">
      <c r="A12" s="1"/>
      <c r="B12" s="57" t="s">
        <v>42</v>
      </c>
      <c r="C12" s="9">
        <f>-'Fane 13. Bortfald'!C12</f>
        <v>0</v>
      </c>
      <c r="D12" s="8" t="s">
        <v>3</v>
      </c>
      <c r="E12" s="1"/>
    </row>
    <row r="13" spans="1:5" ht="17.100000000000001" customHeight="1" x14ac:dyDescent="0.25">
      <c r="A13" s="1"/>
      <c r="B13" s="57" t="s">
        <v>41</v>
      </c>
      <c r="C13" s="9">
        <f>-'Fane 13. Bortfald'!E12</f>
        <v>0</v>
      </c>
      <c r="D13" s="8" t="s">
        <v>3</v>
      </c>
      <c r="E13" s="1"/>
    </row>
    <row r="14" spans="1:5" ht="17.100000000000001" customHeight="1" x14ac:dyDescent="0.25">
      <c r="A14" s="1"/>
      <c r="B14" s="57" t="s">
        <v>44</v>
      </c>
      <c r="C14" s="9">
        <f>'Fane 12. Tilknyttet aktivitet'!C12</f>
        <v>0</v>
      </c>
      <c r="D14" s="8" t="s">
        <v>3</v>
      </c>
      <c r="E14" s="1"/>
    </row>
    <row r="15" spans="1:5" ht="17.100000000000001" customHeight="1" x14ac:dyDescent="0.25">
      <c r="A15" s="1"/>
      <c r="B15" s="57" t="s">
        <v>43</v>
      </c>
      <c r="C15" s="9">
        <f>'Fane 12. Tilknyttet aktivitet'!E12</f>
        <v>0</v>
      </c>
      <c r="D15" s="8" t="s">
        <v>3</v>
      </c>
      <c r="E15" s="1"/>
    </row>
    <row r="16" spans="1:5" ht="17.100000000000001" customHeight="1" x14ac:dyDescent="0.25">
      <c r="A16" s="1"/>
      <c r="B16" s="57" t="s">
        <v>27</v>
      </c>
      <c r="C16" s="9">
        <f>SUM(C9:C15)*'Fane 15. Nøgletal'!C12</f>
        <v>3181750.4817380854</v>
      </c>
      <c r="D16" s="8" t="s">
        <v>3</v>
      </c>
      <c r="E16" s="1"/>
    </row>
    <row r="17" spans="1:5" ht="17.100000000000001" customHeight="1" x14ac:dyDescent="0.25">
      <c r="A17" s="1"/>
      <c r="B17" s="57" t="s">
        <v>10</v>
      </c>
      <c r="C17" s="9">
        <f>-SUM(C9:C16)*'Fane 5. Individuelt eff. krav'!G11</f>
        <v>-873990.39242204744</v>
      </c>
      <c r="D17" s="8" t="s">
        <v>3</v>
      </c>
      <c r="E17" s="1"/>
    </row>
    <row r="18" spans="1:5" ht="17.100000000000001" customHeight="1" x14ac:dyDescent="0.25">
      <c r="A18" s="1"/>
      <c r="B18" s="57" t="s">
        <v>39</v>
      </c>
      <c r="C18" s="9">
        <f>-'Fane 4.1. Gen. krav - drift'!G28</f>
        <v>-914160.26991289959</v>
      </c>
      <c r="D18" s="8" t="s">
        <v>3</v>
      </c>
      <c r="E18" s="1"/>
    </row>
    <row r="19" spans="1:5" ht="17.100000000000001" customHeight="1" x14ac:dyDescent="0.25">
      <c r="A19" s="1"/>
      <c r="B19" s="57" t="s">
        <v>40</v>
      </c>
      <c r="C19" s="9">
        <f>-'Fane 4.2. Gen. krav - anlæg'!G25</f>
        <v>-3407328.7579371752</v>
      </c>
      <c r="D19" s="8" t="s">
        <v>3</v>
      </c>
      <c r="E19" s="1"/>
    </row>
    <row r="20" spans="1:5" ht="17.100000000000001" customHeight="1" x14ac:dyDescent="0.25">
      <c r="A20" s="1"/>
      <c r="B20" s="51" t="s">
        <v>29</v>
      </c>
      <c r="C20" s="10">
        <f>SUM(C9:C19)</f>
        <v>159496447.79943988</v>
      </c>
      <c r="D20" s="11" t="s">
        <v>3</v>
      </c>
      <c r="E20" s="1"/>
    </row>
    <row r="21" spans="1:5" ht="15" customHeight="1" x14ac:dyDescent="0.25">
      <c r="A21" s="1"/>
      <c r="B21" s="40" t="s">
        <v>17</v>
      </c>
      <c r="C21" s="3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omk.'!C16+'Fane 6. Ikke-påvirkelige omk.'!C20+'Fane 6. Ikke-påvirkelige omk.'!C28</f>
        <v>4041083.3825924103</v>
      </c>
      <c r="D22" s="11" t="s">
        <v>3</v>
      </c>
      <c r="E22" s="1"/>
    </row>
    <row r="23" spans="1:5" ht="15" customHeight="1" x14ac:dyDescent="0.25">
      <c r="A23" s="1"/>
      <c r="B23" s="40" t="s">
        <v>145</v>
      </c>
      <c r="C23" s="34"/>
      <c r="D23" s="22"/>
      <c r="E23" s="1"/>
    </row>
    <row r="24" spans="1:5" ht="15" customHeight="1" x14ac:dyDescent="0.25">
      <c r="A24" s="1"/>
      <c r="B24" s="51" t="s">
        <v>145</v>
      </c>
      <c r="C24" s="10">
        <f>'Fane 11. Periodevise driftsomk.'!E12</f>
        <v>0</v>
      </c>
      <c r="D24" s="11" t="s">
        <v>3</v>
      </c>
      <c r="E24" s="1"/>
    </row>
    <row r="25" spans="1:5" ht="15" customHeight="1" x14ac:dyDescent="0.25">
      <c r="A25" s="1"/>
      <c r="B25" s="40" t="s">
        <v>144</v>
      </c>
      <c r="C25" s="34"/>
      <c r="D25" s="22"/>
      <c r="E25" s="1"/>
    </row>
    <row r="26" spans="1:5" ht="15" customHeight="1" x14ac:dyDescent="0.25">
      <c r="A26" s="1"/>
      <c r="B26" s="57" t="s">
        <v>140</v>
      </c>
      <c r="C26" s="9">
        <f>'Fane 10.2. Engangstillæg'!C14</f>
        <v>8415488.7369449548</v>
      </c>
      <c r="D26" s="8" t="s">
        <v>3</v>
      </c>
      <c r="E26" s="1"/>
    </row>
    <row r="27" spans="1:5" ht="15" customHeight="1" x14ac:dyDescent="0.25">
      <c r="A27" s="1"/>
      <c r="B27" s="57" t="s">
        <v>141</v>
      </c>
      <c r="C27" s="9">
        <f>'Fane 10.2. Engangstillæg'!E14</f>
        <v>0</v>
      </c>
      <c r="D27" s="8" t="s">
        <v>3</v>
      </c>
      <c r="E27" s="1"/>
    </row>
    <row r="28" spans="1:5" x14ac:dyDescent="0.25">
      <c r="A28" s="1"/>
      <c r="B28" s="51" t="s">
        <v>147</v>
      </c>
      <c r="C28" s="10">
        <f>SUM(C26:C27)</f>
        <v>8415488.7369449548</v>
      </c>
      <c r="D28" s="11" t="s">
        <v>3</v>
      </c>
      <c r="E28" s="1"/>
    </row>
    <row r="29" spans="1:5" x14ac:dyDescent="0.25">
      <c r="A29" s="1"/>
      <c r="B29" s="40" t="s">
        <v>11</v>
      </c>
      <c r="C29" s="34"/>
      <c r="D29" s="22"/>
      <c r="E29" s="1"/>
    </row>
    <row r="30" spans="1:5" ht="15" customHeight="1" x14ac:dyDescent="0.25">
      <c r="A30" s="1"/>
      <c r="B30" s="38" t="s">
        <v>19</v>
      </c>
      <c r="C30" s="10">
        <f>'Fane 14. Hist. over-underdæk.'!G14</f>
        <v>0</v>
      </c>
      <c r="D30" s="11" t="s">
        <v>3</v>
      </c>
      <c r="E30" s="1"/>
    </row>
    <row r="31" spans="1:5" x14ac:dyDescent="0.25">
      <c r="A31" s="1"/>
      <c r="B31" s="40" t="s">
        <v>174</v>
      </c>
      <c r="C31" s="34"/>
      <c r="D31" s="22"/>
      <c r="E31" s="1"/>
    </row>
    <row r="32" spans="1:5" x14ac:dyDescent="0.25">
      <c r="A32" s="1"/>
      <c r="B32" s="38" t="s">
        <v>209</v>
      </c>
      <c r="C32" s="10">
        <f>'Fane 7. Kontrol af ØR2018'!E28</f>
        <v>-11271533.325691819</v>
      </c>
      <c r="D32" s="11" t="s">
        <v>3</v>
      </c>
      <c r="E32" s="1"/>
    </row>
    <row r="33" spans="1:5" ht="15" customHeight="1" x14ac:dyDescent="0.25">
      <c r="A33" s="1"/>
      <c r="B33" s="40" t="s">
        <v>249</v>
      </c>
      <c r="C33" s="34"/>
      <c r="D33" s="22"/>
      <c r="E33" s="1"/>
    </row>
    <row r="34" spans="1:5" x14ac:dyDescent="0.25">
      <c r="A34" s="1"/>
      <c r="B34" s="38" t="s">
        <v>250</v>
      </c>
      <c r="C34" s="10">
        <f>'Fane 8. Korrektioner'!E20</f>
        <v>0</v>
      </c>
      <c r="D34" s="11" t="s">
        <v>3</v>
      </c>
      <c r="E34" s="1"/>
    </row>
    <row r="35" spans="1:5" x14ac:dyDescent="0.25">
      <c r="A35" s="1"/>
      <c r="B35" s="40" t="s">
        <v>36</v>
      </c>
      <c r="C35" s="36">
        <f>SUM(C34,C32,C30,C28,C24,C22,C20)</f>
        <v>160681486.59328541</v>
      </c>
      <c r="D35" s="37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uvi1wyUajXShGtcrDQsieOpUDLP1XuBfUKiVogx1prIKY1718kNalEZejRqNXx4dkfZlr0Yd/qrwh9FXubed1w==" saltValue="u+wvbOJMM0WIDYRmOFwrQA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87" t="s">
        <v>248</v>
      </c>
      <c r="C3" s="87"/>
      <c r="D3" s="1"/>
    </row>
    <row r="4" spans="1:4" ht="25.5" customHeight="1" x14ac:dyDescent="0.25">
      <c r="A4" s="1"/>
      <c r="B4" s="87"/>
      <c r="C4" s="87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0" t="s">
        <v>21</v>
      </c>
      <c r="C8" s="22"/>
      <c r="D8" s="1"/>
    </row>
    <row r="9" spans="1:4" x14ac:dyDescent="0.25">
      <c r="A9" s="1"/>
      <c r="B9" s="58" t="s">
        <v>228</v>
      </c>
      <c r="C9" s="28">
        <v>1.2699999999999999E-2</v>
      </c>
      <c r="D9" s="1"/>
    </row>
    <row r="10" spans="1:4" x14ac:dyDescent="0.25">
      <c r="A10" s="1"/>
      <c r="B10" s="58" t="s">
        <v>229</v>
      </c>
      <c r="C10" s="28">
        <v>1.7500000000000002E-2</v>
      </c>
      <c r="D10" s="1"/>
    </row>
    <row r="11" spans="1:4" x14ac:dyDescent="0.25">
      <c r="A11" s="1"/>
      <c r="B11" s="58" t="s">
        <v>31</v>
      </c>
      <c r="C11" s="28">
        <v>1.6899999999999998E-2</v>
      </c>
      <c r="D11" s="1"/>
    </row>
    <row r="12" spans="1:4" x14ac:dyDescent="0.25">
      <c r="A12" s="1"/>
      <c r="B12" s="41" t="s">
        <v>230</v>
      </c>
      <c r="C12" s="42">
        <v>1.9699999999999999E-2</v>
      </c>
      <c r="D12" s="1"/>
    </row>
    <row r="13" spans="1:4" x14ac:dyDescent="0.25">
      <c r="A13" s="1"/>
      <c r="B13" s="40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0" t="s">
        <v>205</v>
      </c>
      <c r="C16" s="22"/>
      <c r="D16" s="1"/>
    </row>
    <row r="17" spans="1:4" x14ac:dyDescent="0.25">
      <c r="A17" s="1"/>
      <c r="B17" s="58" t="s">
        <v>231</v>
      </c>
      <c r="C17" s="25">
        <v>9.1000000000000004E-3</v>
      </c>
      <c r="D17" s="1"/>
    </row>
    <row r="18" spans="1:4" x14ac:dyDescent="0.25">
      <c r="A18" s="1"/>
      <c r="B18" s="58" t="s">
        <v>232</v>
      </c>
      <c r="C18" s="25">
        <v>1.77E-2</v>
      </c>
      <c r="D18" s="1"/>
    </row>
    <row r="19" spans="1:4" x14ac:dyDescent="0.25">
      <c r="A19" s="1"/>
      <c r="B19" s="58" t="s">
        <v>233</v>
      </c>
      <c r="C19" s="25">
        <v>8.6999999999999994E-3</v>
      </c>
      <c r="D19" s="1"/>
    </row>
    <row r="20" spans="1:4" x14ac:dyDescent="0.25">
      <c r="A20" s="1"/>
      <c r="B20" s="58" t="s">
        <v>234</v>
      </c>
      <c r="C20" s="43">
        <v>2.8400000000000002E-2</v>
      </c>
      <c r="D20" s="1"/>
    </row>
    <row r="21" spans="1:4" x14ac:dyDescent="0.25">
      <c r="A21" s="1"/>
      <c r="B21" s="40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0" t="s">
        <v>206</v>
      </c>
      <c r="C24" s="22"/>
      <c r="D24" s="1"/>
    </row>
    <row r="25" spans="1:4" x14ac:dyDescent="0.25">
      <c r="A25" s="1"/>
      <c r="B25" s="58" t="s">
        <v>235</v>
      </c>
      <c r="C25" s="28">
        <v>0.02</v>
      </c>
      <c r="D25" s="1"/>
    </row>
    <row r="26" spans="1:4" x14ac:dyDescent="0.25">
      <c r="A26" s="1"/>
      <c r="B26" s="40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9djSMXh/bKqz8A2+vNF+EA0XJMcvOhko7M4e7NVNA8Y6n32G9hMJvAB6FrFh6PtaG2dEPnGruNLBEqgOLpdJyw==" saltValue="yLBJkBF0l7N4zzwuPUPRvw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0.85546875" style="2" customWidth="1"/>
    <col min="3" max="3" width="12.2851562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82" t="s">
        <v>82</v>
      </c>
      <c r="C3" s="82"/>
      <c r="D3" s="82"/>
      <c r="E3" s="1"/>
    </row>
    <row r="4" spans="1:5" ht="15" customHeight="1" x14ac:dyDescent="0.25">
      <c r="A4" s="1"/>
      <c r="B4" s="82"/>
      <c r="C4" s="82"/>
      <c r="D4" s="82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2.1. Økonomisk ramme 2020'!C20</f>
        <v>159496447.79943988</v>
      </c>
      <c r="D9" s="8" t="s">
        <v>3</v>
      </c>
      <c r="E9" s="1"/>
    </row>
    <row r="10" spans="1:5" ht="15" customHeight="1" x14ac:dyDescent="0.25">
      <c r="A10" s="1"/>
      <c r="B10" s="57" t="s">
        <v>42</v>
      </c>
      <c r="C10" s="7">
        <f>-'Fane 13. Bortfald'!C18</f>
        <v>0</v>
      </c>
      <c r="D10" s="8" t="s">
        <v>3</v>
      </c>
      <c r="E10" s="1"/>
    </row>
    <row r="11" spans="1:5" ht="15" customHeight="1" x14ac:dyDescent="0.25">
      <c r="A11" s="1"/>
      <c r="B11" s="57" t="s">
        <v>41</v>
      </c>
      <c r="C11" s="7">
        <f>-'Fane 13. Bortfald'!E18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3142080.0216489653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-863093.37168460945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drift'!G34</f>
        <v>-913525.84268558014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anlæg'!G31</f>
        <v>-3375778.6654496309</v>
      </c>
      <c r="D15" s="8" t="s">
        <v>3</v>
      </c>
      <c r="E15" s="1"/>
    </row>
    <row r="16" spans="1:5" ht="15" customHeight="1" x14ac:dyDescent="0.25">
      <c r="A16" s="1"/>
      <c r="B16" s="33" t="s">
        <v>29</v>
      </c>
      <c r="C16" s="10">
        <f>SUM(C9:C15)</f>
        <v>157486129.94126904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omk.'!C16*(1+'Fane 15. Nøgletal'!C12)+'Fane 6. Ikke-påvirkelige omk.'!C21+'Fane 6. Ikke-påvirkelige omk.'!C29</f>
        <v>4120692.7252294812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1" t="s">
        <v>146</v>
      </c>
      <c r="C20" s="10">
        <f>'Fane 11. Periodevise driftsomk.'!E18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7" t="s">
        <v>140</v>
      </c>
      <c r="C22" s="9">
        <f>'Fane 10.2. Engangstillæg'!C22</f>
        <v>0</v>
      </c>
      <c r="D22" s="8" t="s">
        <v>3</v>
      </c>
      <c r="E22" s="1"/>
    </row>
    <row r="23" spans="1:5" ht="15" customHeight="1" x14ac:dyDescent="0.25">
      <c r="A23" s="1"/>
      <c r="B23" s="57" t="s">
        <v>141</v>
      </c>
      <c r="C23" s="9">
        <f>'Fane 10.2. Engangstillæg'!E22</f>
        <v>0</v>
      </c>
      <c r="D23" s="8" t="s">
        <v>3</v>
      </c>
      <c r="E23" s="1"/>
    </row>
    <row r="24" spans="1:5" ht="15" customHeight="1" x14ac:dyDescent="0.25">
      <c r="A24" s="1"/>
      <c r="B24" s="51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174</v>
      </c>
      <c r="C25" s="34"/>
      <c r="D25" s="22"/>
      <c r="E25" s="1"/>
    </row>
    <row r="26" spans="1:5" ht="15" customHeight="1" x14ac:dyDescent="0.25">
      <c r="A26" s="1"/>
      <c r="B26" s="38" t="s">
        <v>209</v>
      </c>
      <c r="C26" s="10">
        <f>'Fane 2.1. Økonomisk ramme 2020'!C32</f>
        <v>-11271533.325691819</v>
      </c>
      <c r="D26" s="11" t="s">
        <v>3</v>
      </c>
      <c r="E26" s="1"/>
    </row>
    <row r="27" spans="1:5" x14ac:dyDescent="0.25">
      <c r="A27" s="1"/>
      <c r="B27" s="40" t="s">
        <v>45</v>
      </c>
      <c r="C27" s="12">
        <f>SUM(C16,C18,C20,C24,C26)</f>
        <v>150335289.34080669</v>
      </c>
      <c r="D27" s="13" t="s">
        <v>3</v>
      </c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c9arUJCrSHbzoYA6IwPxAmg1W9z36wq1cwXIlGDAwBMoJHx835HPj3r3O8dX4/M9IDCX4H/sNXSoJZ7wZ+HF6g==" saltValue="fdx6OYlDBIMS0hBgEYMkOQ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1406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82" t="s">
        <v>246</v>
      </c>
      <c r="C3" s="82"/>
      <c r="D3" s="82"/>
      <c r="E3" s="1"/>
    </row>
    <row r="4" spans="1:5" ht="15" customHeight="1" x14ac:dyDescent="0.25">
      <c r="A4" s="1"/>
      <c r="B4" s="82"/>
      <c r="C4" s="82"/>
      <c r="D4" s="82"/>
      <c r="E4" s="1"/>
    </row>
    <row r="5" spans="1:5" x14ac:dyDescent="0.25">
      <c r="A5" s="1"/>
      <c r="B5" s="83" t="s">
        <v>30</v>
      </c>
      <c r="C5" s="83"/>
      <c r="D5" s="83"/>
      <c r="E5" s="1"/>
    </row>
    <row r="6" spans="1:5" x14ac:dyDescent="0.25">
      <c r="A6" s="1"/>
      <c r="B6" s="50"/>
      <c r="C6" s="50"/>
      <c r="D6" s="50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38</v>
      </c>
      <c r="C9" s="7">
        <f>'Fane 2.2. Økonomisk ramme 2021'!C16</f>
        <v>157486129.94126904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Bortfald'!C24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Bortfald'!E24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3102476.7598429997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-852214.80954541836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drift'!G40</f>
        <v>-912891.85575075645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anlæg'!G37</f>
        <v>-3344520.7104124739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155478979.32540336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omk.'!C16*(1+'Fane 15. Nøgletal'!C12)^2+'Fane 6. Ikke-påvirkelige omk.'!C22+'Fane 6. Ikke-påvirkelige omk.'!C30</f>
        <v>4201870.3719165018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1" t="s">
        <v>146</v>
      </c>
      <c r="C20" s="10">
        <f>'Fane 11. Periodevise driftsomk.'!E24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7" t="s">
        <v>140</v>
      </c>
      <c r="C22" s="9">
        <f>'Fane 10.2. Engangstillæg'!C30</f>
        <v>0</v>
      </c>
      <c r="D22" s="8" t="s">
        <v>3</v>
      </c>
      <c r="E22" s="1"/>
    </row>
    <row r="23" spans="1:5" ht="15" customHeight="1" x14ac:dyDescent="0.25">
      <c r="A23" s="1"/>
      <c r="B23" s="57" t="s">
        <v>141</v>
      </c>
      <c r="C23" s="9">
        <f>'Fane 10.2. Engangstillæg'!E30</f>
        <v>0</v>
      </c>
      <c r="D23" s="8" t="s">
        <v>3</v>
      </c>
      <c r="E23" s="1"/>
    </row>
    <row r="24" spans="1:5" ht="15" customHeight="1" x14ac:dyDescent="0.25">
      <c r="A24" s="1"/>
      <c r="B24" s="51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46</v>
      </c>
      <c r="C25" s="12">
        <f>SUM(C16,C18,C20,C24)</f>
        <v>159680849.69731987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MIaczsna0Inz/EB1OVBW3clA3GloXj6Yh2c6yEBy4qWZs44XqqHL/vt8ooaXCeQusRpjsAKW2eyHjWuD7cvIuQ==" saltValue="UqLU6KjWOTr3jx+tUqjb1w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57031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82" t="s">
        <v>247</v>
      </c>
      <c r="C3" s="82"/>
      <c r="D3" s="82"/>
      <c r="E3" s="1"/>
    </row>
    <row r="4" spans="1:5" ht="15" customHeight="1" x14ac:dyDescent="0.25">
      <c r="A4" s="1"/>
      <c r="B4" s="82"/>
      <c r="C4" s="82"/>
      <c r="D4" s="82"/>
      <c r="E4" s="1"/>
    </row>
    <row r="5" spans="1:5" x14ac:dyDescent="0.25">
      <c r="A5" s="1"/>
      <c r="B5" s="83" t="s">
        <v>30</v>
      </c>
      <c r="C5" s="83"/>
      <c r="D5" s="83"/>
      <c r="E5" s="1"/>
    </row>
    <row r="6" spans="1:5" x14ac:dyDescent="0.25">
      <c r="A6" s="1"/>
      <c r="B6" s="50"/>
      <c r="C6" s="50"/>
      <c r="D6" s="50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272</v>
      </c>
      <c r="C9" s="7">
        <f>'Fane 2.3. Økonomisk ramme 2022'!C16</f>
        <v>155478979.32540336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Bortfald'!C30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Bortfald'!E30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C9*'Fane 15. Nøgletal'!C12</f>
        <v>3062935.8927104459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-841353.38650793035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drift'!G46</f>
        <v>-912258.30880286545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anlæg'!G43</f>
        <v>-3313552.1877848236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153474751.33501819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omk.'!C16*(1+'Fane 15. Nøgletal'!C12)^3+'Fane 6. Ikke-påvirkelige omk.'!C23+'Fane 6. Ikke-påvirkelige omk.'!C31</f>
        <v>4284647.2182432571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1" t="s">
        <v>146</v>
      </c>
      <c r="C20" s="10">
        <f>'Fane 11. Periodevise driftsomk.'!E30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7" t="s">
        <v>140</v>
      </c>
      <c r="C22" s="9">
        <f>'Fane 10.2. Engangstillæg'!C38</f>
        <v>0</v>
      </c>
      <c r="D22" s="8" t="s">
        <v>3</v>
      </c>
      <c r="E22" s="1"/>
    </row>
    <row r="23" spans="1:5" ht="15" customHeight="1" x14ac:dyDescent="0.25">
      <c r="A23" s="1"/>
      <c r="B23" s="57" t="s">
        <v>141</v>
      </c>
      <c r="C23" s="9">
        <f>'Fane 10.2. Engangstillæg'!E38</f>
        <v>0</v>
      </c>
      <c r="D23" s="8" t="s">
        <v>3</v>
      </c>
      <c r="E23" s="1"/>
    </row>
    <row r="24" spans="1:5" ht="15" customHeight="1" x14ac:dyDescent="0.25">
      <c r="A24" s="1"/>
      <c r="B24" s="51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158</v>
      </c>
      <c r="C25" s="12">
        <f>SUM(C16,C18,C20,C24)</f>
        <v>157759398.55326146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3C9zMPG4qASWVlYe7bpkbR5+mOzQB3gegtNbd+ARZMu7jYmTlYy90X1SFGbBpSo4307x2hKQNc/gA0DzeD9fVg==" saltValue="7hJ8432nSSOTT3Y1jRx1wQ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52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12.28515625" style="2" customWidth="1"/>
    <col min="3" max="3" width="12" style="2" customWidth="1"/>
    <col min="4" max="4" width="31.7109375" style="2" customWidth="1"/>
    <col min="5" max="5" width="10.85546875" style="2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7" t="s">
        <v>243</v>
      </c>
      <c r="C3" s="87"/>
      <c r="D3" s="87"/>
      <c r="E3" s="87"/>
      <c r="F3" s="87"/>
      <c r="G3" s="1"/>
    </row>
    <row r="4" spans="1:7" ht="29.25" customHeight="1" x14ac:dyDescent="0.25">
      <c r="A4" s="1"/>
      <c r="B4" s="87"/>
      <c r="C4" s="87"/>
      <c r="D4" s="87"/>
      <c r="E4" s="87"/>
      <c r="F4" s="87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81</v>
      </c>
      <c r="C8" s="34"/>
      <c r="D8" s="34"/>
      <c r="E8" s="34"/>
      <c r="F8" s="22"/>
      <c r="G8" s="1"/>
    </row>
    <row r="9" spans="1:7" ht="15" customHeight="1" x14ac:dyDescent="0.25">
      <c r="A9" s="1"/>
      <c r="B9" s="84" t="s">
        <v>79</v>
      </c>
      <c r="C9" s="85"/>
      <c r="D9" s="86"/>
      <c r="E9" s="7">
        <v>159140846.37800425</v>
      </c>
      <c r="F9" s="8" t="s">
        <v>3</v>
      </c>
      <c r="G9" s="1"/>
    </row>
    <row r="10" spans="1:7" ht="15" customHeight="1" x14ac:dyDescent="0.25">
      <c r="A10" s="1"/>
      <c r="B10" s="88" t="s">
        <v>64</v>
      </c>
      <c r="C10" s="89"/>
      <c r="D10" s="90"/>
      <c r="E10" s="7">
        <v>105448</v>
      </c>
      <c r="F10" s="8" t="s">
        <v>3</v>
      </c>
      <c r="G10" s="47"/>
    </row>
    <row r="11" spans="1:7" ht="15" customHeight="1" x14ac:dyDescent="0.25">
      <c r="A11" s="1"/>
      <c r="B11" s="88" t="s">
        <v>65</v>
      </c>
      <c r="C11" s="89"/>
      <c r="D11" s="90"/>
      <c r="E11" s="9">
        <v>1417112.1808999998</v>
      </c>
      <c r="F11" s="8" t="s">
        <v>3</v>
      </c>
      <c r="G11" s="1"/>
    </row>
    <row r="12" spans="1:7" ht="15" customHeight="1" x14ac:dyDescent="0.25">
      <c r="A12" s="1"/>
      <c r="B12" s="88" t="s">
        <v>42</v>
      </c>
      <c r="C12" s="89"/>
      <c r="D12" s="90"/>
      <c r="E12" s="9">
        <v>0</v>
      </c>
      <c r="F12" s="8" t="s">
        <v>3</v>
      </c>
      <c r="G12" s="1"/>
    </row>
    <row r="13" spans="1:7" ht="15" customHeight="1" x14ac:dyDescent="0.25">
      <c r="A13" s="1"/>
      <c r="B13" s="84" t="s">
        <v>41</v>
      </c>
      <c r="C13" s="85"/>
      <c r="D13" s="86"/>
      <c r="E13" s="9">
        <v>0</v>
      </c>
      <c r="F13" s="8" t="s">
        <v>3</v>
      </c>
      <c r="G13" s="1"/>
    </row>
    <row r="14" spans="1:7" ht="15" customHeight="1" x14ac:dyDescent="0.25">
      <c r="A14" s="1"/>
      <c r="B14" s="84" t="s">
        <v>44</v>
      </c>
      <c r="C14" s="85"/>
      <c r="D14" s="86"/>
      <c r="E14" s="9">
        <v>0</v>
      </c>
      <c r="F14" s="8" t="s">
        <v>3</v>
      </c>
      <c r="G14" s="1"/>
    </row>
    <row r="15" spans="1:7" ht="15" customHeight="1" x14ac:dyDescent="0.25">
      <c r="A15" s="1"/>
      <c r="B15" s="84" t="s">
        <v>43</v>
      </c>
      <c r="C15" s="85"/>
      <c r="D15" s="86"/>
      <c r="E15" s="9">
        <v>0</v>
      </c>
      <c r="F15" s="8" t="s">
        <v>3</v>
      </c>
      <c r="G15" s="1"/>
    </row>
    <row r="16" spans="1:7" ht="15" customHeight="1" x14ac:dyDescent="0.25">
      <c r="A16" s="1"/>
      <c r="B16" s="84" t="s">
        <v>27</v>
      </c>
      <c r="C16" s="85"/>
      <c r="D16" s="86"/>
      <c r="E16" s="9">
        <f>E9*'Fane 15. Nøgletal'!C10+SUM(E10:E15)*'Fane 15. Nøgletal'!C11</f>
        <v>2810696.0786722847</v>
      </c>
      <c r="F16" s="8" t="s">
        <v>3</v>
      </c>
      <c r="G16" s="1"/>
    </row>
    <row r="17" spans="1:7" ht="15" customHeight="1" x14ac:dyDescent="0.25">
      <c r="A17" s="1"/>
      <c r="B17" s="84" t="s">
        <v>10</v>
      </c>
      <c r="C17" s="85"/>
      <c r="D17" s="86"/>
      <c r="E17" s="9">
        <f>-SUM(E9:E16)*'Fane 5. Individuelt eff. krav'!G10</f>
        <v>0</v>
      </c>
      <c r="F17" s="8" t="s">
        <v>3</v>
      </c>
      <c r="G17" s="1"/>
    </row>
    <row r="18" spans="1:7" ht="15" customHeight="1" x14ac:dyDescent="0.25">
      <c r="A18" s="1"/>
      <c r="B18" s="84" t="s">
        <v>39</v>
      </c>
      <c r="C18" s="85"/>
      <c r="D18" s="86"/>
      <c r="E18" s="9">
        <f>-'Fane 4.1. Gen. krav - drift'!G22</f>
        <v>-913256.639350735</v>
      </c>
      <c r="F18" s="8" t="s">
        <v>3</v>
      </c>
      <c r="G18" s="1"/>
    </row>
    <row r="19" spans="1:7" ht="15" customHeight="1" x14ac:dyDescent="0.25">
      <c r="A19" s="1"/>
      <c r="B19" s="84" t="s">
        <v>40</v>
      </c>
      <c r="C19" s="85"/>
      <c r="D19" s="86"/>
      <c r="E19" s="9">
        <f>-'Fane 4.2. Gen. krav - anlæg'!G19</f>
        <v>-2089516.9489219082</v>
      </c>
      <c r="F19" s="8" t="s">
        <v>3</v>
      </c>
      <c r="G19" s="1"/>
    </row>
    <row r="20" spans="1:7" ht="15" customHeight="1" x14ac:dyDescent="0.25">
      <c r="A20" s="1"/>
      <c r="B20" s="51" t="s">
        <v>29</v>
      </c>
      <c r="C20" s="52"/>
      <c r="D20" s="53"/>
      <c r="E20" s="10">
        <f>SUM(E9:E19)</f>
        <v>160471329.04930389</v>
      </c>
      <c r="F20" s="11" t="s">
        <v>3</v>
      </c>
      <c r="G20" s="1"/>
    </row>
    <row r="21" spans="1:7" ht="15" customHeight="1" x14ac:dyDescent="0.25">
      <c r="A21" s="1"/>
      <c r="B21" s="97" t="s">
        <v>145</v>
      </c>
      <c r="C21" s="98"/>
      <c r="D21" s="98"/>
      <c r="E21" s="98"/>
      <c r="F21" s="99"/>
      <c r="G21" s="1"/>
    </row>
    <row r="22" spans="1:7" ht="15" customHeight="1" x14ac:dyDescent="0.25">
      <c r="A22" s="1"/>
      <c r="B22" s="84" t="s">
        <v>239</v>
      </c>
      <c r="C22" s="85"/>
      <c r="D22" s="86"/>
      <c r="E22" s="44">
        <v>0</v>
      </c>
      <c r="F22" s="8" t="s">
        <v>3</v>
      </c>
      <c r="G22" s="1"/>
    </row>
    <row r="23" spans="1:7" ht="15" customHeight="1" x14ac:dyDescent="0.25">
      <c r="A23" s="1"/>
      <c r="B23" s="84" t="s">
        <v>238</v>
      </c>
      <c r="C23" s="85"/>
      <c r="D23" s="86"/>
      <c r="E23" s="44">
        <f>-E22*('Fane 15. Nøgletal'!C25+'Fane 5. Individuelt eff. krav'!G10)</f>
        <v>0</v>
      </c>
      <c r="F23" s="8" t="s">
        <v>3</v>
      </c>
      <c r="G23" s="1"/>
    </row>
    <row r="24" spans="1:7" ht="15" customHeight="1" x14ac:dyDescent="0.25">
      <c r="A24" s="1"/>
      <c r="B24" s="91" t="s">
        <v>240</v>
      </c>
      <c r="C24" s="92"/>
      <c r="D24" s="93"/>
      <c r="E24" s="10">
        <f>SUM(E22:E23)</f>
        <v>0</v>
      </c>
      <c r="F24" s="11" t="s">
        <v>3</v>
      </c>
      <c r="G24" s="1"/>
    </row>
    <row r="25" spans="1:7" x14ac:dyDescent="0.25">
      <c r="A25" s="1"/>
      <c r="B25" s="40" t="s">
        <v>17</v>
      </c>
      <c r="C25" s="34"/>
      <c r="D25" s="34"/>
      <c r="E25" s="34"/>
      <c r="F25" s="22"/>
      <c r="G25" s="1"/>
    </row>
    <row r="26" spans="1:7" ht="15" customHeight="1" x14ac:dyDescent="0.25">
      <c r="A26" s="1"/>
      <c r="B26" s="91" t="s">
        <v>17</v>
      </c>
      <c r="C26" s="92"/>
      <c r="D26" s="93"/>
      <c r="E26" s="10">
        <v>3346136.6143480092</v>
      </c>
      <c r="F26" s="11" t="s">
        <v>3</v>
      </c>
      <c r="G26" s="1"/>
    </row>
    <row r="27" spans="1:7" ht="15" customHeight="1" x14ac:dyDescent="0.25">
      <c r="A27" s="1"/>
      <c r="B27" s="40" t="s">
        <v>144</v>
      </c>
      <c r="C27" s="34"/>
      <c r="D27" s="34"/>
      <c r="E27" s="34"/>
      <c r="F27" s="22"/>
      <c r="G27" s="1"/>
    </row>
    <row r="28" spans="1:7" ht="15" customHeight="1" x14ac:dyDescent="0.25">
      <c r="A28" s="1"/>
      <c r="B28" s="100" t="s">
        <v>140</v>
      </c>
      <c r="C28" s="101"/>
      <c r="D28" s="102"/>
      <c r="E28" s="45">
        <f>7312905*1.0169^2</f>
        <v>7562169.8277970487</v>
      </c>
      <c r="F28" s="46" t="s">
        <v>3</v>
      </c>
      <c r="G28" s="1"/>
    </row>
    <row r="29" spans="1:7" ht="15" customHeight="1" x14ac:dyDescent="0.25">
      <c r="A29" s="1"/>
      <c r="B29" s="100" t="s">
        <v>141</v>
      </c>
      <c r="C29" s="101"/>
      <c r="D29" s="102"/>
      <c r="E29" s="45">
        <v>0</v>
      </c>
      <c r="F29" s="46" t="s">
        <v>3</v>
      </c>
      <c r="G29" s="1"/>
    </row>
    <row r="30" spans="1:7" ht="15" customHeight="1" x14ac:dyDescent="0.25">
      <c r="A30" s="1"/>
      <c r="B30" s="100" t="s">
        <v>271</v>
      </c>
      <c r="C30" s="101"/>
      <c r="D30" s="102"/>
      <c r="E30" s="45">
        <f>-(E28*'Fane 15. Nøgletal'!C25+E28*'Fane 5. Individuelt eff. krav'!G10)</f>
        <v>-151243.39655594097</v>
      </c>
      <c r="F30" s="46" t="s">
        <v>3</v>
      </c>
      <c r="G30" s="1"/>
    </row>
    <row r="31" spans="1:7" ht="15" customHeight="1" x14ac:dyDescent="0.25">
      <c r="A31" s="1"/>
      <c r="B31" s="91" t="s">
        <v>140</v>
      </c>
      <c r="C31" s="92"/>
      <c r="D31" s="93"/>
      <c r="E31" s="10">
        <f>SUM(E28:E30)</f>
        <v>7410926.4312411081</v>
      </c>
      <c r="F31" s="11" t="s">
        <v>3</v>
      </c>
      <c r="G31" s="1"/>
    </row>
    <row r="32" spans="1:7" x14ac:dyDescent="0.25">
      <c r="A32" s="1"/>
      <c r="B32" s="40" t="s">
        <v>80</v>
      </c>
      <c r="C32" s="34"/>
      <c r="D32" s="34"/>
      <c r="E32" s="34"/>
      <c r="F32" s="22"/>
      <c r="G32" s="1"/>
    </row>
    <row r="33" spans="1:7" ht="27" customHeight="1" x14ac:dyDescent="0.25">
      <c r="A33" s="1"/>
      <c r="B33" s="94" t="s">
        <v>134</v>
      </c>
      <c r="C33" s="95"/>
      <c r="D33" s="96"/>
      <c r="E33" s="10">
        <v>42146.856656832031</v>
      </c>
      <c r="F33" s="11" t="s">
        <v>3</v>
      </c>
      <c r="G33" s="1"/>
    </row>
    <row r="34" spans="1:7" x14ac:dyDescent="0.25">
      <c r="A34" s="1"/>
      <c r="B34" s="40" t="s">
        <v>11</v>
      </c>
      <c r="C34" s="34"/>
      <c r="D34" s="34"/>
      <c r="E34" s="34"/>
      <c r="F34" s="22"/>
      <c r="G34" s="1"/>
    </row>
    <row r="35" spans="1:7" ht="15" customHeight="1" x14ac:dyDescent="0.25">
      <c r="A35" s="1"/>
      <c r="B35" s="94" t="s">
        <v>19</v>
      </c>
      <c r="C35" s="95"/>
      <c r="D35" s="96"/>
      <c r="E35" s="10">
        <v>0</v>
      </c>
      <c r="F35" s="11" t="s">
        <v>3</v>
      </c>
      <c r="G35" s="1"/>
    </row>
    <row r="36" spans="1:7" x14ac:dyDescent="0.25">
      <c r="A36" s="1"/>
      <c r="B36" s="97" t="s">
        <v>24</v>
      </c>
      <c r="C36" s="98"/>
      <c r="D36" s="99"/>
      <c r="E36" s="12">
        <f>SUM(E35,E33,E26,E31,E20,E24)</f>
        <v>171270538.95154983</v>
      </c>
      <c r="F36" s="13" t="s">
        <v>3</v>
      </c>
      <c r="G36" s="1"/>
    </row>
    <row r="37" spans="1:7" ht="27" customHeight="1" x14ac:dyDescent="0.25">
      <c r="A37" s="1"/>
      <c r="B37" s="84" t="s">
        <v>208</v>
      </c>
      <c r="C37" s="85"/>
      <c r="D37" s="85"/>
      <c r="E37" s="85"/>
      <c r="F37" s="86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</sheetData>
  <sheetProtection algorithmName="SHA-512" hashValue="v71k26krHwLOyQ86z9hygGhNL6lKFHO9mSDOnKJsvtDQlXSU9wPV8iEkfxWKrGM+cERw6LZ4nFpO+MuyqtvUaw==" saltValue="By9QnabTl5TEHQlNWiSQGw==" spinCount="100000" sheet="1" objects="1" scenarios="1"/>
  <mergeCells count="25">
    <mergeCell ref="B22:D22"/>
    <mergeCell ref="B23:D23"/>
    <mergeCell ref="B21:F21"/>
    <mergeCell ref="B24:D24"/>
    <mergeCell ref="B35:D35"/>
    <mergeCell ref="B28:D28"/>
    <mergeCell ref="B31:D31"/>
    <mergeCell ref="B29:D29"/>
    <mergeCell ref="B30:D30"/>
    <mergeCell ref="B37:F37"/>
    <mergeCell ref="B3:F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6:D26"/>
    <mergeCell ref="B33:D33"/>
    <mergeCell ref="B36:D3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82" t="s">
        <v>218</v>
      </c>
      <c r="C2" s="82"/>
      <c r="D2" s="82"/>
      <c r="E2" s="82"/>
      <c r="F2" s="82"/>
      <c r="G2" s="82"/>
      <c r="H2" s="82"/>
      <c r="I2" s="1"/>
    </row>
    <row r="3" spans="1:9" ht="15" customHeight="1" x14ac:dyDescent="0.25">
      <c r="A3" s="1"/>
      <c r="B3" s="82"/>
      <c r="C3" s="82"/>
      <c r="D3" s="82"/>
      <c r="E3" s="82"/>
      <c r="F3" s="82"/>
      <c r="G3" s="82"/>
      <c r="H3" s="82"/>
      <c r="I3" s="1"/>
    </row>
    <row r="4" spans="1:9" ht="15" customHeight="1" x14ac:dyDescent="0.25">
      <c r="A4" s="1"/>
      <c r="B4" s="82"/>
      <c r="C4" s="82"/>
      <c r="D4" s="82"/>
      <c r="E4" s="82"/>
      <c r="F4" s="82"/>
      <c r="G4" s="82"/>
      <c r="H4" s="82"/>
      <c r="I4" s="1"/>
    </row>
    <row r="5" spans="1:9" x14ac:dyDescent="0.25">
      <c r="A5" s="1"/>
      <c r="B5" s="97" t="s">
        <v>94</v>
      </c>
      <c r="C5" s="98"/>
      <c r="D5" s="98"/>
      <c r="E5" s="98"/>
      <c r="F5" s="98"/>
      <c r="G5" s="98"/>
      <c r="H5" s="99"/>
      <c r="I5" s="1"/>
    </row>
    <row r="6" spans="1:9" x14ac:dyDescent="0.25">
      <c r="A6" s="1"/>
      <c r="B6" s="103" t="s">
        <v>83</v>
      </c>
      <c r="C6" s="104"/>
      <c r="D6" s="104"/>
      <c r="E6" s="104"/>
      <c r="F6" s="105"/>
      <c r="G6" s="26">
        <v>45816382.663737297</v>
      </c>
      <c r="H6" s="14" t="s">
        <v>3</v>
      </c>
      <c r="I6" s="1"/>
    </row>
    <row r="7" spans="1:9" x14ac:dyDescent="0.25">
      <c r="A7" s="1"/>
      <c r="B7" s="84" t="s">
        <v>242</v>
      </c>
      <c r="C7" s="85"/>
      <c r="D7" s="85"/>
      <c r="E7" s="85"/>
      <c r="F7" s="86"/>
      <c r="G7" s="26">
        <v>0</v>
      </c>
      <c r="H7" s="14" t="s">
        <v>3</v>
      </c>
      <c r="I7" s="1"/>
    </row>
    <row r="8" spans="1:9" x14ac:dyDescent="0.25">
      <c r="A8" s="1"/>
      <c r="B8" s="103" t="s">
        <v>84</v>
      </c>
      <c r="C8" s="104"/>
      <c r="D8" s="104"/>
      <c r="E8" s="104"/>
      <c r="F8" s="105"/>
      <c r="G8" s="26">
        <f>SUM(G6:G7)*'Fane 15. Nøgletal'!C25</f>
        <v>916327.65327474591</v>
      </c>
      <c r="H8" s="14" t="s">
        <v>3</v>
      </c>
      <c r="I8" s="1"/>
    </row>
    <row r="9" spans="1:9" x14ac:dyDescent="0.25">
      <c r="A9" s="1"/>
      <c r="B9" s="40"/>
      <c r="C9" s="34"/>
      <c r="D9" s="34"/>
      <c r="E9" s="34"/>
      <c r="F9" s="34"/>
      <c r="G9" s="34"/>
      <c r="H9" s="22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97" t="s">
        <v>95</v>
      </c>
      <c r="C11" s="98"/>
      <c r="D11" s="98"/>
      <c r="E11" s="98"/>
      <c r="F11" s="98"/>
      <c r="G11" s="98"/>
      <c r="H11" s="99"/>
      <c r="I11" s="1"/>
    </row>
    <row r="12" spans="1:9" x14ac:dyDescent="0.25">
      <c r="A12" s="1"/>
      <c r="B12" s="103" t="s">
        <v>85</v>
      </c>
      <c r="C12" s="104"/>
      <c r="D12" s="104"/>
      <c r="E12" s="104"/>
      <c r="F12" s="105"/>
      <c r="G12" s="26">
        <f>(G6-G8)*(1+'Fane 15. Nøgletal'!C10)</f>
        <v>45685805.973145649</v>
      </c>
      <c r="H12" s="14" t="s">
        <v>3</v>
      </c>
      <c r="I12" s="1"/>
    </row>
    <row r="13" spans="1:9" x14ac:dyDescent="0.25">
      <c r="A13" s="1"/>
      <c r="B13" s="103" t="s">
        <v>244</v>
      </c>
      <c r="C13" s="104"/>
      <c r="D13" s="104"/>
      <c r="E13" s="104"/>
      <c r="F13" s="105"/>
      <c r="G13" s="26">
        <v>0</v>
      </c>
      <c r="H13" s="14" t="s">
        <v>3</v>
      </c>
      <c r="I13" s="1"/>
    </row>
    <row r="14" spans="1:9" ht="15" customHeight="1" x14ac:dyDescent="0.25">
      <c r="A14" s="1"/>
      <c r="B14" s="84" t="s">
        <v>237</v>
      </c>
      <c r="C14" s="85"/>
      <c r="D14" s="85"/>
      <c r="E14" s="85"/>
      <c r="F14" s="86"/>
      <c r="G14" s="26">
        <v>0</v>
      </c>
      <c r="H14" s="14" t="s">
        <v>3</v>
      </c>
      <c r="I14" s="1"/>
    </row>
    <row r="15" spans="1:9" x14ac:dyDescent="0.25">
      <c r="A15" s="1"/>
      <c r="B15" s="106" t="s">
        <v>86</v>
      </c>
      <c r="C15" s="107"/>
      <c r="D15" s="107"/>
      <c r="E15" s="107"/>
      <c r="F15" s="108"/>
      <c r="G15" s="26">
        <v>0</v>
      </c>
      <c r="H15" s="14" t="s">
        <v>3</v>
      </c>
      <c r="I15" s="1"/>
    </row>
    <row r="16" spans="1:9" x14ac:dyDescent="0.25">
      <c r="A16" s="1"/>
      <c r="B16" s="103" t="s">
        <v>87</v>
      </c>
      <c r="C16" s="104"/>
      <c r="D16" s="104"/>
      <c r="E16" s="104"/>
      <c r="F16" s="105"/>
      <c r="G16" s="26">
        <f>SUM(G12:G15)*'Fane 15. Nøgletal'!C25</f>
        <v>913716.11946291302</v>
      </c>
      <c r="H16" s="14" t="s">
        <v>3</v>
      </c>
      <c r="I16" s="1"/>
    </row>
    <row r="17" spans="1:9" x14ac:dyDescent="0.25">
      <c r="A17" s="1"/>
      <c r="B17" s="40"/>
      <c r="C17" s="34"/>
      <c r="D17" s="34"/>
      <c r="E17" s="34"/>
      <c r="F17" s="34"/>
      <c r="G17" s="34"/>
      <c r="H17" s="22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97" t="s">
        <v>96</v>
      </c>
      <c r="C19" s="98"/>
      <c r="D19" s="98"/>
      <c r="E19" s="98"/>
      <c r="F19" s="98"/>
      <c r="G19" s="98"/>
      <c r="H19" s="99"/>
      <c r="I19" s="1"/>
    </row>
    <row r="20" spans="1:9" x14ac:dyDescent="0.25">
      <c r="A20" s="1"/>
      <c r="B20" s="103" t="s">
        <v>88</v>
      </c>
      <c r="C20" s="104"/>
      <c r="D20" s="104"/>
      <c r="E20" s="104"/>
      <c r="F20" s="105"/>
      <c r="G20" s="26">
        <f>(SUM(G12:G13,G15)-(G16))*(1+'Fane 15. Nøgletal'!C10)</f>
        <v>45555601.426122189</v>
      </c>
      <c r="H20" s="14" t="s">
        <v>3</v>
      </c>
      <c r="I20" s="1"/>
    </row>
    <row r="21" spans="1:9" x14ac:dyDescent="0.25">
      <c r="A21" s="1"/>
      <c r="B21" s="106" t="s">
        <v>89</v>
      </c>
      <c r="C21" s="107"/>
      <c r="D21" s="107"/>
      <c r="E21" s="107"/>
      <c r="F21" s="108"/>
      <c r="G21" s="26">
        <f>7669400.36921161-7312905*1.0169^2</f>
        <v>107230.54141456168</v>
      </c>
      <c r="H21" s="14" t="s">
        <v>3</v>
      </c>
      <c r="I21" s="1"/>
    </row>
    <row r="22" spans="1:9" x14ac:dyDescent="0.25">
      <c r="A22" s="1"/>
      <c r="B22" s="103" t="s">
        <v>90</v>
      </c>
      <c r="C22" s="104"/>
      <c r="D22" s="104"/>
      <c r="E22" s="104"/>
      <c r="F22" s="105"/>
      <c r="G22" s="26">
        <f>SUM(G20:G21)*'Fane 15. Nøgletal'!C25</f>
        <v>913256.639350735</v>
      </c>
      <c r="H22" s="14" t="s">
        <v>3</v>
      </c>
      <c r="I22" s="1"/>
    </row>
    <row r="23" spans="1:9" x14ac:dyDescent="0.25">
      <c r="A23" s="1"/>
      <c r="B23" s="40"/>
      <c r="C23" s="34"/>
      <c r="D23" s="34"/>
      <c r="E23" s="34"/>
      <c r="F23" s="34"/>
      <c r="G23" s="34"/>
      <c r="H23" s="22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97" t="s">
        <v>97</v>
      </c>
      <c r="C25" s="98"/>
      <c r="D25" s="98"/>
      <c r="E25" s="98"/>
      <c r="F25" s="98"/>
      <c r="G25" s="98"/>
      <c r="H25" s="99"/>
      <c r="I25" s="1"/>
    </row>
    <row r="26" spans="1:9" x14ac:dyDescent="0.25">
      <c r="A26" s="1"/>
      <c r="B26" s="103" t="s">
        <v>91</v>
      </c>
      <c r="C26" s="104"/>
      <c r="D26" s="104"/>
      <c r="E26" s="104"/>
      <c r="F26" s="105"/>
      <c r="G26" s="26">
        <f>(G20+G21-G22)*(1+'Fane 15. Nøgletal'!C12)</f>
        <v>45631141.962151282</v>
      </c>
      <c r="H26" s="14" t="s">
        <v>3</v>
      </c>
      <c r="I26" s="1"/>
    </row>
    <row r="27" spans="1:9" x14ac:dyDescent="0.25">
      <c r="A27" s="1"/>
      <c r="B27" s="106" t="s">
        <v>92</v>
      </c>
      <c r="C27" s="107"/>
      <c r="D27" s="107"/>
      <c r="E27" s="107"/>
      <c r="F27" s="108"/>
      <c r="G27" s="26">
        <f>('Fane 2.1. Økonomisk ramme 2020'!C10+'Fane 2.1. Økonomisk ramme 2020'!C12+'Fane 2.1. Økonomisk ramme 2020'!C14)*(1+'Fane 15. Nøgletal'!C12)</f>
        <v>76871.533493700001</v>
      </c>
      <c r="H27" s="14" t="s">
        <v>3</v>
      </c>
      <c r="I27" s="1"/>
    </row>
    <row r="28" spans="1:9" x14ac:dyDescent="0.25">
      <c r="A28" s="1"/>
      <c r="B28" s="103" t="s">
        <v>93</v>
      </c>
      <c r="C28" s="104"/>
      <c r="D28" s="104"/>
      <c r="E28" s="104"/>
      <c r="F28" s="105"/>
      <c r="G28" s="26">
        <f>(G26+G27)*'Fane 15. Nøgletal'!C25</f>
        <v>914160.26991289959</v>
      </c>
      <c r="H28" s="14" t="s">
        <v>3</v>
      </c>
      <c r="I28" s="1"/>
    </row>
    <row r="29" spans="1:9" x14ac:dyDescent="0.25">
      <c r="A29" s="1"/>
      <c r="B29" s="40"/>
      <c r="C29" s="34"/>
      <c r="D29" s="34"/>
      <c r="E29" s="34"/>
      <c r="F29" s="34"/>
      <c r="G29" s="3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97" t="s">
        <v>100</v>
      </c>
      <c r="C31" s="98"/>
      <c r="D31" s="98"/>
      <c r="E31" s="98"/>
      <c r="F31" s="98"/>
      <c r="G31" s="98"/>
      <c r="H31" s="99"/>
      <c r="I31" s="1"/>
    </row>
    <row r="32" spans="1:9" x14ac:dyDescent="0.25">
      <c r="A32" s="1"/>
      <c r="B32" s="103" t="s">
        <v>101</v>
      </c>
      <c r="C32" s="104"/>
      <c r="D32" s="104"/>
      <c r="E32" s="104"/>
      <c r="F32" s="105"/>
      <c r="G32" s="26">
        <f>(G26+G27-G28)*(1+'Fane 15. Nøgletal'!C12)</f>
        <v>45676292.134279005</v>
      </c>
      <c r="H32" s="14" t="s">
        <v>3</v>
      </c>
      <c r="I32" s="1"/>
    </row>
    <row r="33" spans="1:9" x14ac:dyDescent="0.25">
      <c r="A33" s="1"/>
      <c r="B33" s="103" t="s">
        <v>149</v>
      </c>
      <c r="C33" s="104"/>
      <c r="D33" s="104"/>
      <c r="E33" s="104"/>
      <c r="F33" s="105"/>
      <c r="G33" s="26">
        <f>-'Fane 13. Bortfald'!C18*(1+'Fane 15. Nøgletal'!C12)</f>
        <v>0</v>
      </c>
      <c r="H33" s="14" t="s">
        <v>3</v>
      </c>
      <c r="I33" s="1"/>
    </row>
    <row r="34" spans="1:9" x14ac:dyDescent="0.25">
      <c r="A34" s="1"/>
      <c r="B34" s="103" t="s">
        <v>102</v>
      </c>
      <c r="C34" s="104"/>
      <c r="D34" s="104"/>
      <c r="E34" s="104"/>
      <c r="F34" s="105"/>
      <c r="G34" s="26">
        <f>(G32+G33)*'Fane 15. Nøgletal'!C25</f>
        <v>913525.84268558014</v>
      </c>
      <c r="H34" s="14" t="s">
        <v>3</v>
      </c>
      <c r="I34" s="1"/>
    </row>
    <row r="35" spans="1:9" x14ac:dyDescent="0.25">
      <c r="A35" s="1"/>
      <c r="B35" s="40"/>
      <c r="C35" s="34"/>
      <c r="D35" s="34"/>
      <c r="E35" s="34"/>
      <c r="F35" s="34"/>
      <c r="G35" s="3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97" t="s">
        <v>127</v>
      </c>
      <c r="C37" s="98"/>
      <c r="D37" s="98"/>
      <c r="E37" s="98"/>
      <c r="F37" s="98"/>
      <c r="G37" s="98"/>
      <c r="H37" s="99"/>
      <c r="I37" s="1"/>
    </row>
    <row r="38" spans="1:9" x14ac:dyDescent="0.25">
      <c r="A38" s="1"/>
      <c r="B38" s="103" t="s">
        <v>126</v>
      </c>
      <c r="C38" s="104"/>
      <c r="D38" s="104"/>
      <c r="E38" s="104"/>
      <c r="F38" s="105"/>
      <c r="G38" s="26">
        <f>(G32-G34)*(1+'Fane 15. Nøgletal'!C12)</f>
        <v>45644592.787537821</v>
      </c>
      <c r="H38" s="14" t="s">
        <v>3</v>
      </c>
      <c r="I38" s="1"/>
    </row>
    <row r="39" spans="1:9" x14ac:dyDescent="0.25">
      <c r="A39" s="1"/>
      <c r="B39" s="103" t="s">
        <v>150</v>
      </c>
      <c r="C39" s="104"/>
      <c r="D39" s="104"/>
      <c r="E39" s="104"/>
      <c r="F39" s="105"/>
      <c r="G39" s="26">
        <f>-'Fane 13. Bortfald'!C24*(1+'Fane 15. Nøgletal'!C12)</f>
        <v>0</v>
      </c>
      <c r="H39" s="14" t="s">
        <v>3</v>
      </c>
      <c r="I39" s="1"/>
    </row>
    <row r="40" spans="1:9" x14ac:dyDescent="0.25">
      <c r="A40" s="1"/>
      <c r="B40" s="103" t="s">
        <v>103</v>
      </c>
      <c r="C40" s="104"/>
      <c r="D40" s="104"/>
      <c r="E40" s="104"/>
      <c r="F40" s="105"/>
      <c r="G40" s="26">
        <f>(G38+G39)*'Fane 15. Nøgletal'!C25</f>
        <v>912891.85575075645</v>
      </c>
      <c r="H40" s="14" t="s">
        <v>3</v>
      </c>
      <c r="I40" s="1"/>
    </row>
    <row r="41" spans="1:9" x14ac:dyDescent="0.25">
      <c r="A41" s="1"/>
      <c r="B41" s="40"/>
      <c r="C41" s="34"/>
      <c r="D41" s="34"/>
      <c r="E41" s="34"/>
      <c r="F41" s="34"/>
      <c r="G41" s="3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97" t="s">
        <v>128</v>
      </c>
      <c r="C43" s="98"/>
      <c r="D43" s="98"/>
      <c r="E43" s="98"/>
      <c r="F43" s="98"/>
      <c r="G43" s="98"/>
      <c r="H43" s="99"/>
      <c r="I43" s="1"/>
    </row>
    <row r="44" spans="1:9" x14ac:dyDescent="0.25">
      <c r="A44" s="1"/>
      <c r="B44" s="103" t="s">
        <v>125</v>
      </c>
      <c r="C44" s="104"/>
      <c r="D44" s="104"/>
      <c r="E44" s="104"/>
      <c r="F44" s="105"/>
      <c r="G44" s="26">
        <f>(G38-G40)*(1+'Fane 15. Nøgletal'!C12)</f>
        <v>45612915.440143272</v>
      </c>
      <c r="H44" s="14" t="s">
        <v>3</v>
      </c>
      <c r="I44" s="1"/>
    </row>
    <row r="45" spans="1:9" x14ac:dyDescent="0.25">
      <c r="A45" s="1"/>
      <c r="B45" s="103" t="s">
        <v>151</v>
      </c>
      <c r="C45" s="104"/>
      <c r="D45" s="104"/>
      <c r="E45" s="104"/>
      <c r="F45" s="105"/>
      <c r="G45" s="26">
        <f>-'Fane 13. Bortfald'!C30*(1+'Fane 15. Nøgletal'!C12)</f>
        <v>0</v>
      </c>
      <c r="H45" s="14" t="s">
        <v>3</v>
      </c>
      <c r="I45" s="1"/>
    </row>
    <row r="46" spans="1:9" x14ac:dyDescent="0.25">
      <c r="A46" s="1"/>
      <c r="B46" s="103" t="s">
        <v>104</v>
      </c>
      <c r="C46" s="104"/>
      <c r="D46" s="104"/>
      <c r="E46" s="104"/>
      <c r="F46" s="105"/>
      <c r="G46" s="26">
        <f>(G44+G45)*'Fane 15. Nøgletal'!C25</f>
        <v>912258.30880286545</v>
      </c>
      <c r="H46" s="14" t="s">
        <v>3</v>
      </c>
      <c r="I46" s="1"/>
    </row>
    <row r="47" spans="1:9" x14ac:dyDescent="0.25">
      <c r="A47" s="1"/>
      <c r="B47" s="40"/>
      <c r="C47" s="34"/>
      <c r="D47" s="34"/>
      <c r="E47" s="34"/>
      <c r="F47" s="34"/>
      <c r="G47" s="3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4aCt26C++OsBumWTdx5GIb7GG+4e1pKQo0LihOecBLHazgxiK0OHf8MFD32bxNsgtoXswLyhgo4kUc44vy5iiA==" saltValue="4m09T9wJJLeYpHhLEz/OAg==" spinCount="100000" sheet="1" objects="1" scenarios="1"/>
  <mergeCells count="31">
    <mergeCell ref="B13:F13"/>
    <mergeCell ref="B14:F14"/>
    <mergeCell ref="B31:H31"/>
    <mergeCell ref="B32:F32"/>
    <mergeCell ref="B37:H37"/>
    <mergeCell ref="B19:H19"/>
    <mergeCell ref="B15:F15"/>
    <mergeCell ref="B16:F16"/>
    <mergeCell ref="B20:F20"/>
    <mergeCell ref="B21:F21"/>
    <mergeCell ref="B22:F22"/>
    <mergeCell ref="B26:F26"/>
    <mergeCell ref="B27:F27"/>
    <mergeCell ref="B28:F28"/>
    <mergeCell ref="B38:F38"/>
    <mergeCell ref="B33:F33"/>
    <mergeCell ref="B34:F34"/>
    <mergeCell ref="B25:H25"/>
    <mergeCell ref="B43:H43"/>
    <mergeCell ref="B44:F44"/>
    <mergeCell ref="B46:F46"/>
    <mergeCell ref="B39:F39"/>
    <mergeCell ref="B45:F45"/>
    <mergeCell ref="B40:F40"/>
    <mergeCell ref="B2:H4"/>
    <mergeCell ref="B5:H5"/>
    <mergeCell ref="B6:F6"/>
    <mergeCell ref="B8:F8"/>
    <mergeCell ref="B12:F12"/>
    <mergeCell ref="B11:H11"/>
    <mergeCell ref="B7:F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09" t="s">
        <v>219</v>
      </c>
      <c r="C2" s="109"/>
      <c r="D2" s="109"/>
      <c r="E2" s="109"/>
      <c r="F2" s="109"/>
      <c r="G2" s="109"/>
      <c r="H2" s="109"/>
      <c r="I2" s="1"/>
    </row>
    <row r="3" spans="1:9" ht="18.75" x14ac:dyDescent="0.3">
      <c r="A3" s="1"/>
      <c r="B3" s="59"/>
      <c r="C3" s="59"/>
      <c r="D3" s="59"/>
      <c r="E3" s="59"/>
      <c r="F3" s="59"/>
      <c r="G3" s="59"/>
      <c r="H3" s="59"/>
      <c r="I3" s="1"/>
    </row>
    <row r="4" spans="1:9" x14ac:dyDescent="0.25">
      <c r="A4" s="1"/>
      <c r="B4" s="97" t="s">
        <v>98</v>
      </c>
      <c r="C4" s="98"/>
      <c r="D4" s="98"/>
      <c r="E4" s="98"/>
      <c r="F4" s="98"/>
      <c r="G4" s="98"/>
      <c r="H4" s="99"/>
      <c r="I4" s="1"/>
    </row>
    <row r="5" spans="1:9" x14ac:dyDescent="0.25">
      <c r="A5" s="1"/>
      <c r="B5" s="103" t="s">
        <v>105</v>
      </c>
      <c r="C5" s="104"/>
      <c r="D5" s="104"/>
      <c r="E5" s="104"/>
      <c r="F5" s="105"/>
      <c r="G5" s="26">
        <v>116607776.06762949</v>
      </c>
      <c r="H5" s="14" t="s">
        <v>3</v>
      </c>
      <c r="I5" s="1"/>
    </row>
    <row r="6" spans="1:9" x14ac:dyDescent="0.25">
      <c r="A6" s="1"/>
      <c r="B6" s="103" t="s">
        <v>99</v>
      </c>
      <c r="C6" s="104"/>
      <c r="D6" s="104"/>
      <c r="E6" s="104"/>
      <c r="F6" s="105"/>
      <c r="G6" s="26">
        <f>G5*'Fane 15. Nøgletal'!C17</f>
        <v>1061130.7622154283</v>
      </c>
      <c r="H6" s="14" t="s">
        <v>3</v>
      </c>
      <c r="I6" s="1"/>
    </row>
    <row r="7" spans="1:9" x14ac:dyDescent="0.25">
      <c r="A7" s="1"/>
      <c r="B7" s="40"/>
      <c r="C7" s="34"/>
      <c r="D7" s="34"/>
      <c r="E7" s="34"/>
      <c r="F7" s="34"/>
      <c r="G7" s="3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97" t="s">
        <v>106</v>
      </c>
      <c r="C9" s="98"/>
      <c r="D9" s="98"/>
      <c r="E9" s="98"/>
      <c r="F9" s="98"/>
      <c r="G9" s="98"/>
      <c r="H9" s="99"/>
      <c r="I9" s="1"/>
    </row>
    <row r="10" spans="1:9" x14ac:dyDescent="0.25">
      <c r="A10" s="1"/>
      <c r="B10" s="103" t="s">
        <v>107</v>
      </c>
      <c r="C10" s="104"/>
      <c r="D10" s="104"/>
      <c r="E10" s="104"/>
      <c r="F10" s="105"/>
      <c r="G10" s="26">
        <f>(G5-G6)*(1+'Fane 15. Nøgletal'!C10)</f>
        <v>117568711.59825881</v>
      </c>
      <c r="H10" s="14" t="s">
        <v>3</v>
      </c>
      <c r="I10" s="1"/>
    </row>
    <row r="11" spans="1:9" x14ac:dyDescent="0.25">
      <c r="A11" s="1"/>
      <c r="B11" s="103" t="s">
        <v>245</v>
      </c>
      <c r="C11" s="104"/>
      <c r="D11" s="104"/>
      <c r="E11" s="104"/>
      <c r="F11" s="105"/>
      <c r="G11" s="26">
        <v>-165378.52922006062</v>
      </c>
      <c r="H11" s="14" t="s">
        <v>3</v>
      </c>
      <c r="I11" s="1"/>
    </row>
    <row r="12" spans="1:9" x14ac:dyDescent="0.25">
      <c r="A12" s="1"/>
      <c r="B12" s="106" t="s">
        <v>108</v>
      </c>
      <c r="C12" s="107"/>
      <c r="D12" s="107"/>
      <c r="E12" s="107"/>
      <c r="F12" s="108"/>
      <c r="G12" s="26">
        <v>0</v>
      </c>
      <c r="H12" s="14" t="s">
        <v>3</v>
      </c>
      <c r="I12" s="1"/>
    </row>
    <row r="13" spans="1:9" x14ac:dyDescent="0.25">
      <c r="A13" s="1"/>
      <c r="B13" s="103" t="s">
        <v>109</v>
      </c>
      <c r="C13" s="104"/>
      <c r="D13" s="104"/>
      <c r="E13" s="104"/>
      <c r="F13" s="105"/>
      <c r="G13" s="26">
        <f>SUM(G10:G12)*'Fane 15. Nøgletal'!C18</f>
        <v>2078038.9953219858</v>
      </c>
      <c r="H13" s="14" t="s">
        <v>3</v>
      </c>
      <c r="I13" s="1"/>
    </row>
    <row r="14" spans="1:9" x14ac:dyDescent="0.25">
      <c r="A14" s="1"/>
      <c r="B14" s="40"/>
      <c r="C14" s="34"/>
      <c r="D14" s="34"/>
      <c r="E14" s="34"/>
      <c r="F14" s="34"/>
      <c r="G14" s="3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97" t="s">
        <v>110</v>
      </c>
      <c r="C16" s="98"/>
      <c r="D16" s="98"/>
      <c r="E16" s="98"/>
      <c r="F16" s="98"/>
      <c r="G16" s="98"/>
      <c r="H16" s="99"/>
      <c r="I16" s="1"/>
    </row>
    <row r="17" spans="1:9" x14ac:dyDescent="0.25">
      <c r="A17" s="1"/>
      <c r="B17" s="103" t="s">
        <v>111</v>
      </c>
      <c r="C17" s="104"/>
      <c r="D17" s="104"/>
      <c r="E17" s="104"/>
      <c r="F17" s="105"/>
      <c r="G17" s="26">
        <f>(SUM(G10:G12)-G13)*(1+'Fane 15. Nøgletal'!C10)</f>
        <v>117343486.72000681</v>
      </c>
      <c r="H17" s="14" t="s">
        <v>3</v>
      </c>
      <c r="I17" s="1"/>
    </row>
    <row r="18" spans="1:9" x14ac:dyDescent="0.25">
      <c r="A18" s="1"/>
      <c r="B18" s="106" t="s">
        <v>112</v>
      </c>
      <c r="C18" s="107"/>
      <c r="D18" s="107"/>
      <c r="E18" s="107"/>
      <c r="F18" s="108"/>
      <c r="G18" s="26">
        <v>1441061.3767572097</v>
      </c>
      <c r="H18" s="14" t="s">
        <v>3</v>
      </c>
      <c r="I18" s="1"/>
    </row>
    <row r="19" spans="1:9" x14ac:dyDescent="0.25">
      <c r="A19" s="1"/>
      <c r="B19" s="103" t="s">
        <v>113</v>
      </c>
      <c r="C19" s="104"/>
      <c r="D19" s="104"/>
      <c r="E19" s="104"/>
      <c r="F19" s="105"/>
      <c r="G19" s="26">
        <f>G17*'Fane 15. Nøgletal'!C18+G18*'Fane 15. Nøgletal'!C19</f>
        <v>2089516.9489219082</v>
      </c>
      <c r="H19" s="14" t="s">
        <v>3</v>
      </c>
      <c r="I19" s="1"/>
    </row>
    <row r="20" spans="1:9" x14ac:dyDescent="0.25">
      <c r="A20" s="1"/>
      <c r="B20" s="40"/>
      <c r="C20" s="34"/>
      <c r="D20" s="34"/>
      <c r="E20" s="34"/>
      <c r="F20" s="34"/>
      <c r="G20" s="3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97" t="s">
        <v>114</v>
      </c>
      <c r="C22" s="98"/>
      <c r="D22" s="98"/>
      <c r="E22" s="98"/>
      <c r="F22" s="98"/>
      <c r="G22" s="98"/>
      <c r="H22" s="99"/>
      <c r="I22" s="1"/>
    </row>
    <row r="23" spans="1:9" x14ac:dyDescent="0.25">
      <c r="A23" s="1"/>
      <c r="B23" s="103" t="s">
        <v>115</v>
      </c>
      <c r="C23" s="104"/>
      <c r="D23" s="104"/>
      <c r="E23" s="104"/>
      <c r="F23" s="105"/>
      <c r="G23" s="26">
        <f>(G17+G18-G19)*(1+'Fane 15. Nøgletal'!C12)</f>
        <v>118993923.26145461</v>
      </c>
      <c r="H23" s="14" t="s">
        <v>3</v>
      </c>
      <c r="I23" s="1"/>
    </row>
    <row r="24" spans="1:9" x14ac:dyDescent="0.25">
      <c r="A24" s="1"/>
      <c r="B24" s="106" t="s">
        <v>116</v>
      </c>
      <c r="C24" s="107"/>
      <c r="D24" s="107"/>
      <c r="E24" s="107"/>
      <c r="F24" s="108"/>
      <c r="G24" s="26">
        <f>('Fane 2.1. Økonomisk ramme 2020'!C11+'Fane 2.1. Økonomisk ramme 2020'!C13+'Fane 2.1. Økonomisk ramme 2020'!C15)*(1+'Fane 15. Nøgletal'!C12)</f>
        <v>982441.45464309899</v>
      </c>
      <c r="H24" s="14" t="s">
        <v>3</v>
      </c>
      <c r="I24" s="1"/>
    </row>
    <row r="25" spans="1:9" x14ac:dyDescent="0.25">
      <c r="A25" s="1"/>
      <c r="B25" s="103" t="s">
        <v>117</v>
      </c>
      <c r="C25" s="104"/>
      <c r="D25" s="104"/>
      <c r="E25" s="104"/>
      <c r="F25" s="105"/>
      <c r="G25" s="26">
        <f>(G23+G24)*'Fane 15. Nøgletal'!C20</f>
        <v>3407328.7579371752</v>
      </c>
      <c r="H25" s="14" t="s">
        <v>3</v>
      </c>
      <c r="I25" s="1"/>
    </row>
    <row r="26" spans="1:9" x14ac:dyDescent="0.25">
      <c r="A26" s="1"/>
      <c r="B26" s="40"/>
      <c r="C26" s="34"/>
      <c r="D26" s="34"/>
      <c r="E26" s="34"/>
      <c r="F26" s="34"/>
      <c r="G26" s="34"/>
      <c r="H26" s="22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97" t="s">
        <v>118</v>
      </c>
      <c r="C28" s="98"/>
      <c r="D28" s="98"/>
      <c r="E28" s="98"/>
      <c r="F28" s="98"/>
      <c r="G28" s="98"/>
      <c r="H28" s="99"/>
      <c r="I28" s="1"/>
    </row>
    <row r="29" spans="1:9" x14ac:dyDescent="0.25">
      <c r="A29" s="1"/>
      <c r="B29" s="103" t="s">
        <v>119</v>
      </c>
      <c r="C29" s="104"/>
      <c r="D29" s="104"/>
      <c r="E29" s="104"/>
      <c r="F29" s="105"/>
      <c r="G29" s="26">
        <f>(G23+G24-G25)*(1+'Fane 15. Nøgletal'!C12)</f>
        <v>118865445.9665363</v>
      </c>
      <c r="H29" s="14" t="s">
        <v>3</v>
      </c>
      <c r="I29" s="1"/>
    </row>
    <row r="30" spans="1:9" x14ac:dyDescent="0.25">
      <c r="A30" s="1"/>
      <c r="B30" s="103" t="s">
        <v>155</v>
      </c>
      <c r="C30" s="104"/>
      <c r="D30" s="104"/>
      <c r="E30" s="104"/>
      <c r="F30" s="105"/>
      <c r="G30" s="26">
        <f>-'Fane 13. Bortfald'!E18*(1+'Fane 15. Nøgletal'!C12)</f>
        <v>0</v>
      </c>
      <c r="H30" s="14" t="s">
        <v>3</v>
      </c>
      <c r="I30" s="1"/>
    </row>
    <row r="31" spans="1:9" x14ac:dyDescent="0.25">
      <c r="A31" s="1"/>
      <c r="B31" s="103" t="s">
        <v>120</v>
      </c>
      <c r="C31" s="104"/>
      <c r="D31" s="104"/>
      <c r="E31" s="104"/>
      <c r="F31" s="105"/>
      <c r="G31" s="26">
        <f>(G29+G30)*'Fane 15. Nøgletal'!C20</f>
        <v>3375778.6654496309</v>
      </c>
      <c r="H31" s="14" t="s">
        <v>3</v>
      </c>
      <c r="I31" s="1"/>
    </row>
    <row r="32" spans="1:9" x14ac:dyDescent="0.25">
      <c r="A32" s="1"/>
      <c r="B32" s="40"/>
      <c r="C32" s="34"/>
      <c r="D32" s="34"/>
      <c r="E32" s="34"/>
      <c r="F32" s="34"/>
      <c r="G32" s="34"/>
      <c r="H32" s="22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97" t="s">
        <v>129</v>
      </c>
      <c r="C34" s="98"/>
      <c r="D34" s="98"/>
      <c r="E34" s="98"/>
      <c r="F34" s="98"/>
      <c r="G34" s="98"/>
      <c r="H34" s="99"/>
      <c r="I34" s="1"/>
    </row>
    <row r="35" spans="1:9" x14ac:dyDescent="0.25">
      <c r="A35" s="1"/>
      <c r="B35" s="103" t="s">
        <v>124</v>
      </c>
      <c r="C35" s="104"/>
      <c r="D35" s="104"/>
      <c r="E35" s="104"/>
      <c r="F35" s="105"/>
      <c r="G35" s="26">
        <f>(G29+G30-G31)*(1+'Fane 15. Nøgletal'!C12)</f>
        <v>117764813.74691808</v>
      </c>
      <c r="H35" s="14" t="s">
        <v>3</v>
      </c>
      <c r="I35" s="1"/>
    </row>
    <row r="36" spans="1:9" x14ac:dyDescent="0.25">
      <c r="A36" s="1"/>
      <c r="B36" s="103" t="s">
        <v>156</v>
      </c>
      <c r="C36" s="104"/>
      <c r="D36" s="104"/>
      <c r="E36" s="104"/>
      <c r="F36" s="105"/>
      <c r="G36" s="26">
        <f>-'Fane 13. Bortfald'!E24*(1+'Fane 15. Nøgletal'!C12)</f>
        <v>0</v>
      </c>
      <c r="H36" s="14" t="s">
        <v>3</v>
      </c>
      <c r="I36" s="1"/>
    </row>
    <row r="37" spans="1:9" x14ac:dyDescent="0.25">
      <c r="A37" s="1"/>
      <c r="B37" s="103" t="s">
        <v>121</v>
      </c>
      <c r="C37" s="104"/>
      <c r="D37" s="104"/>
      <c r="E37" s="104"/>
      <c r="F37" s="105"/>
      <c r="G37" s="26">
        <f>(G35+G36)*'Fane 15. Nøgletal'!C20</f>
        <v>3344520.7104124739</v>
      </c>
      <c r="H37" s="14" t="s">
        <v>3</v>
      </c>
      <c r="I37" s="1"/>
    </row>
    <row r="38" spans="1:9" x14ac:dyDescent="0.25">
      <c r="A38" s="1"/>
      <c r="B38" s="40"/>
      <c r="C38" s="34"/>
      <c r="D38" s="34"/>
      <c r="E38" s="34"/>
      <c r="F38" s="34"/>
      <c r="G38" s="34"/>
      <c r="H38" s="22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97" t="s">
        <v>130</v>
      </c>
      <c r="C40" s="98"/>
      <c r="D40" s="98"/>
      <c r="E40" s="98"/>
      <c r="F40" s="98"/>
      <c r="G40" s="98"/>
      <c r="H40" s="99"/>
      <c r="I40" s="1"/>
    </row>
    <row r="41" spans="1:9" x14ac:dyDescent="0.25">
      <c r="A41" s="1"/>
      <c r="B41" s="103" t="s">
        <v>123</v>
      </c>
      <c r="C41" s="104"/>
      <c r="D41" s="104"/>
      <c r="E41" s="104"/>
      <c r="F41" s="105"/>
      <c r="G41" s="26">
        <f>(G35+G36-G37)*(1+'Fane 15. Nøgletal'!C12)</f>
        <v>116674372.80932477</v>
      </c>
      <c r="H41" s="14" t="s">
        <v>3</v>
      </c>
      <c r="I41" s="1"/>
    </row>
    <row r="42" spans="1:9" x14ac:dyDescent="0.25">
      <c r="A42" s="1"/>
      <c r="B42" s="103" t="s">
        <v>157</v>
      </c>
      <c r="C42" s="104"/>
      <c r="D42" s="104"/>
      <c r="E42" s="104"/>
      <c r="F42" s="105"/>
      <c r="G42" s="26">
        <f>-'Fane 13. Bortfald'!E30*(1+'Fane 15. Nøgletal'!C12)</f>
        <v>0</v>
      </c>
      <c r="H42" s="14" t="s">
        <v>3</v>
      </c>
      <c r="I42" s="1"/>
    </row>
    <row r="43" spans="1:9" x14ac:dyDescent="0.25">
      <c r="A43" s="1"/>
      <c r="B43" s="103" t="s">
        <v>122</v>
      </c>
      <c r="C43" s="104"/>
      <c r="D43" s="104"/>
      <c r="E43" s="104"/>
      <c r="F43" s="105"/>
      <c r="G43" s="26">
        <f>(G41+G42)*'Fane 15. Nøgletal'!C20</f>
        <v>3313552.1877848236</v>
      </c>
      <c r="H43" s="14" t="s">
        <v>3</v>
      </c>
      <c r="I43" s="1"/>
    </row>
    <row r="44" spans="1:9" x14ac:dyDescent="0.25">
      <c r="A44" s="1"/>
      <c r="B44" s="40"/>
      <c r="C44" s="34"/>
      <c r="D44" s="34"/>
      <c r="E44" s="34"/>
      <c r="F44" s="34"/>
      <c r="G44" s="34"/>
      <c r="H44" s="22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m0trOe08H8Y0xnt5ip6IZhxnPBtMLk9vJ0Z6HM8hlWcPkQPcqEF/FWiP/aY44imuVg19liLG0PUzIMUsEfQTAA==" saltValue="GaBhnM5tCkQI31XptynRPQ==" spinCount="100000" sheet="1" objects="1" scenarios="1"/>
  <mergeCells count="29">
    <mergeCell ref="B11:F11"/>
    <mergeCell ref="B42:F42"/>
    <mergeCell ref="B23:F23"/>
    <mergeCell ref="B24:F24"/>
    <mergeCell ref="B25:F25"/>
    <mergeCell ref="B37:F37"/>
    <mergeCell ref="B40:H40"/>
    <mergeCell ref="B41:F41"/>
    <mergeCell ref="B28:H28"/>
    <mergeCell ref="B29:F29"/>
    <mergeCell ref="B31:F31"/>
    <mergeCell ref="B34:H34"/>
    <mergeCell ref="B36:F36"/>
    <mergeCell ref="B2:H2"/>
    <mergeCell ref="B35:F35"/>
    <mergeCell ref="B43:F43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0:F30"/>
    <mergeCell ref="B22:H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2" t="s">
        <v>148</v>
      </c>
      <c r="C3" s="82"/>
      <c r="D3" s="82"/>
      <c r="E3" s="82"/>
      <c r="F3" s="82"/>
      <c r="G3" s="82"/>
      <c r="H3" s="82"/>
      <c r="I3" s="1"/>
    </row>
    <row r="4" spans="1:9" ht="15" customHeight="1" x14ac:dyDescent="0.25">
      <c r="A4" s="1"/>
      <c r="B4" s="82"/>
      <c r="C4" s="82"/>
      <c r="D4" s="82"/>
      <c r="E4" s="82"/>
      <c r="F4" s="82"/>
      <c r="G4" s="82"/>
      <c r="H4" s="82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7" t="s">
        <v>10</v>
      </c>
      <c r="C8" s="98"/>
      <c r="D8" s="98"/>
      <c r="E8" s="98"/>
      <c r="F8" s="98"/>
      <c r="G8" s="98"/>
      <c r="H8" s="99"/>
      <c r="I8" s="1"/>
    </row>
    <row r="9" spans="1:9" x14ac:dyDescent="0.25">
      <c r="A9" s="1"/>
      <c r="B9" s="103" t="s">
        <v>131</v>
      </c>
      <c r="C9" s="104"/>
      <c r="D9" s="104"/>
      <c r="E9" s="104"/>
      <c r="F9" s="105"/>
      <c r="G9" s="25">
        <v>5.8241296015265516E-3</v>
      </c>
      <c r="H9" s="14"/>
      <c r="I9" s="1"/>
    </row>
    <row r="10" spans="1:9" x14ac:dyDescent="0.25">
      <c r="A10" s="1"/>
      <c r="B10" s="103" t="s">
        <v>132</v>
      </c>
      <c r="C10" s="104"/>
      <c r="D10" s="104"/>
      <c r="E10" s="104"/>
      <c r="F10" s="105"/>
      <c r="G10" s="25">
        <v>0</v>
      </c>
      <c r="H10" s="14"/>
      <c r="I10" s="1"/>
    </row>
    <row r="11" spans="1:9" x14ac:dyDescent="0.25">
      <c r="A11" s="1"/>
      <c r="B11" s="103" t="s">
        <v>133</v>
      </c>
      <c r="C11" s="104"/>
      <c r="D11" s="104"/>
      <c r="E11" s="104"/>
      <c r="F11" s="105"/>
      <c r="G11" s="43">
        <v>5.3068198737882006E-3</v>
      </c>
      <c r="H11" s="14"/>
      <c r="I11" s="1"/>
    </row>
    <row r="12" spans="1:9" x14ac:dyDescent="0.25">
      <c r="A12" s="1"/>
      <c r="B12" s="40"/>
      <c r="C12" s="34"/>
      <c r="D12" s="34"/>
      <c r="E12" s="34"/>
      <c r="F12" s="34"/>
      <c r="G12" s="34"/>
      <c r="H12" s="22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0.75" customHeight="1" x14ac:dyDescent="0.25">
      <c r="A14" s="20"/>
      <c r="B14" s="110" t="s">
        <v>78</v>
      </c>
      <c r="C14" s="110"/>
      <c r="D14" s="110"/>
      <c r="E14" s="110"/>
      <c r="F14" s="110"/>
      <c r="G14" s="110"/>
      <c r="H14" s="110"/>
      <c r="I14" s="20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455Fm8rDu9b1RBxM5Uz7eX25xE6H0/zuevR/E7PqfQVvtsv3752TNN3ILxYFysSX3IdfR8+9sKofQp2RP5vYOw==" saltValue="ylTnelBKjHsE2L05IXYkvQ==" spinCount="100000" sheet="1" objects="1" scenarios="1"/>
  <mergeCells count="6">
    <mergeCell ref="B3:H4"/>
    <mergeCell ref="B14:H14"/>
    <mergeCell ref="B9:F9"/>
    <mergeCell ref="B8:H8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2019-10-15T11:10:21Z</dcterms:modified>
</cp:coreProperties>
</file>