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BlueKolding Spildevand AS (S058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26" i="32" l="1"/>
  <c r="E19" i="40" l="1"/>
  <c r="E11" i="20" l="1"/>
  <c r="E16" i="40" l="1"/>
  <c r="E12" i="40"/>
  <c r="G8" i="30" l="1"/>
  <c r="E23" i="27" l="1"/>
  <c r="E24" i="27" s="1"/>
  <c r="E29" i="20" l="1"/>
  <c r="E23" i="20"/>
  <c r="E17" i="20"/>
  <c r="E21" i="32" l="1"/>
  <c r="E12" i="32"/>
  <c r="E28" i="32" l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l="1"/>
  <c r="E30" i="20"/>
  <c r="C20" i="23" s="1"/>
  <c r="E20" i="40" l="1"/>
  <c r="C34" i="2" s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s="1"/>
  <c r="E20" i="27" l="1"/>
  <c r="E31" i="27" s="1"/>
  <c r="C9" i="2" l="1"/>
  <c r="C26" i="15" l="1"/>
  <c r="F11" i="11" l="1"/>
  <c r="C10" i="37" s="1"/>
  <c r="C12" i="37" s="1"/>
  <c r="C13" i="37" s="1"/>
  <c r="C10" i="2" s="1"/>
  <c r="G11" i="11"/>
  <c r="E11" i="21" l="1"/>
  <c r="C11" i="21"/>
  <c r="E11" i="29"/>
  <c r="C11" i="29"/>
  <c r="C16" i="19"/>
  <c r="C17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11" i="11"/>
  <c r="E10" i="37" s="1"/>
  <c r="E12" i="37" s="1"/>
  <c r="E13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G29" i="36"/>
  <c r="G31" i="36" s="1"/>
  <c r="C9" i="15" l="1"/>
  <c r="C35" i="2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<sst xmlns="http://schemas.openxmlformats.org/spreadsheetml/2006/main" count="674" uniqueCount="271">
  <si>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</si>
  <si>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</si>
  <si>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</si>
  <si>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</si>
  <si>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</si>
  <si>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</si>
  <si>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</si>
  <si>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</si>
  <si>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</si>
  <si>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</si>
  <si>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</si>
  <si>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</si>
  <si>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</si>
  <si>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</si>
  <si>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</si>
  <si>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</si>
  <si>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</si>
  <si>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</si>
  <si>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</si>
  <si>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</si>
  <si>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</si>
  <si>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</si>
  <si>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</si>
  <si>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</si>
  <si>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</si>
  <si>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</si>
  <si>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</si>
  <si>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</si>
  <si>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</si>
  <si>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</si>
  <si>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</si>
  <si>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</si>
  <si>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</si>
  <si>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</si>
  <si>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</si>
  <si>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</si>
  <si>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</si>
  <si>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</si>
  <si>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</si>
  <si>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</si>
  <si>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</si>
  <si>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</si>
  <si>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</si>
  <si>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</si>
  <si>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</si>
  <si>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</si>
  <si>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</si>
  <si>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</si>
  <si>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</si>
  <si>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</si>
  <si>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</si>
  <si>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</si>
  <si>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</si>
  <si>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</si>
  <si>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</si>
  <si>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</si>
  <si>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</si>
  <si>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</si>
  <si>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</si>
  <si>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</si>
  <si>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</si>
  <si>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</si>
  <si>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</si>
  <si>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</si>
  <si>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</si>
  <si>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</si>
  <si>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</si>
  <si>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</si>
  <si>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</si>
  <si>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</si>
  <si>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</si>
  <si>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</si>
  <si>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</si>
  <si>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</si>
  <si>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</si>
  <si>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</si>
  <si>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</si>
  <si>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</si>
  <si>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</si>
  <si>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</si>
  <si>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</si>
  <si>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</si>
  <si>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</si>
  <si>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</si>
  <si>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</si>
  <si>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</si>
  <si>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</si>
  <si>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</si>
  <si>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</si>
  <si>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</si>
  <si>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</si>
  <si>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</si>
  <si>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</si>
  <si>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</si>
  <si>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</si>
  <si>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</si>
  <si>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</si>
  <si>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</si>
  <si>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</si>
  <si>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</si>
  <si>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</si>
  <si>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</si>
  <si>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</si>
  <si>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</si>
  <si>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</si>
  <si>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</si>
  <si>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</si>
  <si>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</si>
  <si>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</si>
  <si>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</si>
  <si>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</si>
  <si>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</si>
  <si>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</si>
  <si>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</si>
  <si>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</si>
  <si>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</si>
  <si>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</si>
  <si>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</si>
  <si>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</si>
  <si>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</si>
  <si>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</si>
  <si>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</si>
  <si>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</si>
  <si>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</si>
  <si>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</si>
  <si>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</si>
  <si>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</si>
  <si>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</si>
  <si>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</si>
  <si>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</si>
  <si>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</si>
  <si>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</si>
  <si>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</si>
  <si>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</si>
  <si>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</si>
  <si>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</si>
  <si>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</si>
  <si>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</si>
  <si>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</si>
  <si>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</si>
  <si>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</si>
  <si>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</si>
  <si>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</si>
  <si>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</si>
  <si>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</si>
  <si>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</si>
  <si>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</si>
  <si>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</si>
  <si>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</si>
  <si>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</si>
  <si>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</si>
  <si>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</si>
  <si>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</si>
  <si>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</si>
  <si>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</si>
  <si>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</si>
  <si>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</si>
  <si>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</si>
  <si>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</si>
  <si>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</si>
  <si>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</si>
  <si>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</si>
  <si>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</si>
  <si>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</si>
  <si>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</si>
  <si>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</si>
  <si>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</si>
  <si>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</si>
  <si>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</si>
  <si>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</si>
  <si>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</si>
  <si>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</si>
  <si>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</si>
  <si>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</si>
  <si>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</si>
  <si>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</si>
  <si>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</si>
  <si>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</si>
  <si>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</si>
  <si>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</si>
  <si>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</si>
  <si>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</si>
  <si>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</si>
  <si>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</si>
  <si>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</si>
  <si>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</si>
  <si>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</si>
  <si>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</si>
  <si>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</si>
  <si>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</si>
  <si>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</si>
  <si>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</si>
  <si>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</si>
  <si>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</si>
  <si>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</si>
  <si>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</si>
  <si>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</si>
  <si>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</si>
  <si>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</si>
  <si>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</si>
  <si>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</si>
  <si>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</si>
  <si>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</si>
  <si>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</si>
  <si>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</si>
  <si>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</si>
  <si>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</si>
  <si>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</si>
  <si>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</si>
  <si>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</si>
  <si>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</si>
  <si>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</si>
  <si>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</si>
  <si>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</si>
  <si>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</si>
  <si>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</si>
  <si>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</si>
  <si>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</si>
  <si>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</si>
  <si>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</si>
  <si>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</si>
  <si>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</si>
  <si>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</si>
  <si>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</si>
  <si>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</si>
  <si>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</si>
  <si>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</si>
  <si>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</si>
  <si>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</si>
  <si>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</si>
  <si>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</si>
  <si>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</si>
  <si>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</si>
  <si>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</si>
  <si>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</si>
  <si>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</si>
  <si>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</si>
  <si>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</si>
  <si>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</si>
  <si>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</si>
  <si>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</si>
  <si>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</si>
  <si>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</si>
  <si>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</si>
  <si>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</si>
  <si>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</si>
  <si>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</si>
  <si>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</si>
  <si>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</si>
  <si>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</si>
  <si>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</si>
  <si>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</si>
  <si>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</si>
  <si>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</si>
  <si>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</si>
  <si>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</si>
  <si>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</si>
  <si>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</si>
  <si>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</si>
  <si>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Flytning af ledninger ved Gl. Strandvej</t>
  </si>
  <si>
    <t>Ingen engangstillæg</t>
  </si>
  <si>
    <t>Ingen anlægsprojekter</t>
  </si>
  <si>
    <t>Anlægsprojekter igangsat senest 1. marts 2016</t>
  </si>
  <si>
    <t>Spildevandsafgift</t>
  </si>
  <si>
    <t>Afgift til Forsyningssekretariatet</t>
  </si>
  <si>
    <t>Køb af ydelser og produkter fra andre vandselskaber reguleret af vandsektorloven</t>
  </si>
  <si>
    <t>Ejendomsskatter</t>
  </si>
  <si>
    <t>Tjenestemandspensioner</t>
  </si>
  <si>
    <t>Erstatninger</t>
  </si>
  <si>
    <t xml:space="preserve">Note: Bemærk, at denne opgørelse afviger fra den, der fremgår af jeres økonomiske ramme for 2019, idet indtægtsrammen for 2017 er ændret. I kan ikke komme med høringssvar til denne opgørelse. </t>
  </si>
  <si>
    <t>Videreførte omkostninger fra den økonomiske ramme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</si>
</sst>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1" fontId="8" fillId="0" borderId="1" xfId="0" applyNumberFormat="1" applyFont="1" applyFill="1" applyBorder="1" applyProtection="1"/>
    <xf numFmtId="49" fontId="8" fillId="9" borderId="2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73" t="s">
        <v>4</v>
      </c>
      <c r="E6" s="73"/>
      <c r="F6" s="73"/>
      <c r="G6" s="73"/>
      <c r="H6" s="3"/>
      <c r="I6" s="1"/>
    </row>
    <row r="7" spans="1:9" ht="15" customHeight="1" x14ac:dyDescent="0.25">
      <c r="A7" s="1"/>
      <c r="B7" s="1"/>
      <c r="C7" s="3"/>
      <c r="D7" s="73"/>
      <c r="E7" s="73"/>
      <c r="F7" s="73"/>
      <c r="G7" s="73"/>
      <c r="H7" s="3"/>
      <c r="I7" s="1"/>
    </row>
    <row r="8" spans="1:9" ht="15.75" x14ac:dyDescent="0.25">
      <c r="A8" s="1"/>
      <c r="B8" s="1"/>
      <c r="C8" s="4"/>
      <c r="D8" s="78" t="s">
        <v>172</v>
      </c>
      <c r="E8" s="78"/>
      <c r="F8" s="78"/>
      <c r="G8" s="78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77" t="s">
        <v>5</v>
      </c>
      <c r="E11" s="77"/>
      <c r="F11" s="77"/>
      <c r="G11" s="77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70" t="s">
        <v>52</v>
      </c>
      <c r="E13" s="71"/>
      <c r="F13" s="71"/>
      <c r="G13" s="72"/>
      <c r="H13" s="1"/>
      <c r="I13" s="1"/>
    </row>
    <row r="14" spans="1:9" x14ac:dyDescent="0.25">
      <c r="A14" s="1"/>
      <c r="B14" s="1"/>
      <c r="C14" s="6" t="s">
        <v>23</v>
      </c>
      <c r="D14" s="70" t="s">
        <v>54</v>
      </c>
      <c r="E14" s="71"/>
      <c r="F14" s="71"/>
      <c r="G14" s="72"/>
      <c r="H14" s="1"/>
      <c r="I14" s="1"/>
    </row>
    <row r="15" spans="1:9" x14ac:dyDescent="0.25">
      <c r="A15" s="1"/>
      <c r="B15" s="1"/>
      <c r="C15" s="6" t="s">
        <v>51</v>
      </c>
      <c r="D15" s="70" t="s">
        <v>135</v>
      </c>
      <c r="E15" s="71"/>
      <c r="F15" s="71"/>
      <c r="G15" s="72"/>
      <c r="H15" s="1"/>
      <c r="I15" s="1"/>
    </row>
    <row r="16" spans="1:9" x14ac:dyDescent="0.25">
      <c r="A16" s="1"/>
      <c r="B16" s="1"/>
      <c r="C16" s="6" t="s">
        <v>53</v>
      </c>
      <c r="D16" s="70" t="s">
        <v>136</v>
      </c>
      <c r="E16" s="71"/>
      <c r="F16" s="71"/>
      <c r="G16" s="72"/>
      <c r="H16" s="1"/>
      <c r="I16" s="1"/>
    </row>
    <row r="17" spans="1:9" x14ac:dyDescent="0.25">
      <c r="A17" s="1"/>
      <c r="B17" s="1"/>
      <c r="C17" s="6" t="s">
        <v>241</v>
      </c>
      <c r="D17" s="70" t="s">
        <v>63</v>
      </c>
      <c r="E17" s="71"/>
      <c r="F17" s="71"/>
      <c r="G17" s="72"/>
      <c r="H17" s="1"/>
      <c r="I17" s="1"/>
    </row>
    <row r="18" spans="1:9" x14ac:dyDescent="0.25">
      <c r="A18" s="1"/>
      <c r="B18" s="1"/>
      <c r="C18" s="6" t="s">
        <v>212</v>
      </c>
      <c r="D18" s="64" t="s">
        <v>180</v>
      </c>
      <c r="E18" s="65"/>
      <c r="F18" s="65"/>
      <c r="G18" s="66"/>
      <c r="H18" s="1"/>
      <c r="I18" s="1"/>
    </row>
    <row r="19" spans="1:9" x14ac:dyDescent="0.25">
      <c r="A19" s="1"/>
      <c r="B19" s="1"/>
      <c r="C19" s="6" t="s">
        <v>213</v>
      </c>
      <c r="D19" s="64" t="s">
        <v>181</v>
      </c>
      <c r="E19" s="65"/>
      <c r="F19" s="65"/>
      <c r="G19" s="66"/>
      <c r="H19" s="1"/>
      <c r="I19" s="1"/>
    </row>
    <row r="20" spans="1:9" x14ac:dyDescent="0.25">
      <c r="A20" s="1"/>
      <c r="B20" s="1"/>
      <c r="C20" s="6" t="s">
        <v>7</v>
      </c>
      <c r="D20" s="64" t="s">
        <v>10</v>
      </c>
      <c r="E20" s="65"/>
      <c r="F20" s="65"/>
      <c r="G20" s="66"/>
      <c r="H20" s="1"/>
      <c r="I20" s="1"/>
    </row>
    <row r="21" spans="1:9" x14ac:dyDescent="0.25">
      <c r="A21" s="1"/>
      <c r="B21" s="1"/>
      <c r="C21" s="6" t="s">
        <v>214</v>
      </c>
      <c r="D21" s="74" t="s">
        <v>17</v>
      </c>
      <c r="E21" s="75"/>
      <c r="F21" s="75"/>
      <c r="G21" s="76"/>
      <c r="H21" s="1"/>
      <c r="I21" s="1"/>
    </row>
    <row r="22" spans="1:9" x14ac:dyDescent="0.25">
      <c r="A22" s="1"/>
      <c r="B22" s="1"/>
      <c r="C22" s="6" t="s">
        <v>142</v>
      </c>
      <c r="D22" s="58" t="s">
        <v>176</v>
      </c>
      <c r="E22" s="59"/>
      <c r="F22" s="59"/>
      <c r="G22" s="60"/>
      <c r="H22" s="1"/>
      <c r="I22" s="1"/>
    </row>
    <row r="23" spans="1:9" x14ac:dyDescent="0.25">
      <c r="A23" s="1"/>
      <c r="B23" s="1"/>
      <c r="C23" s="6" t="s">
        <v>8</v>
      </c>
      <c r="D23" s="58" t="s">
        <v>249</v>
      </c>
      <c r="E23" s="59"/>
      <c r="F23" s="59"/>
      <c r="G23" s="60"/>
      <c r="H23" s="1"/>
      <c r="I23" s="1"/>
    </row>
    <row r="24" spans="1:9" x14ac:dyDescent="0.25">
      <c r="A24" s="1"/>
      <c r="B24" s="1"/>
      <c r="C24" s="6" t="s">
        <v>9</v>
      </c>
      <c r="D24" s="58" t="s">
        <v>55</v>
      </c>
      <c r="E24" s="59"/>
      <c r="F24" s="59"/>
      <c r="G24" s="60"/>
      <c r="H24" s="1"/>
      <c r="I24" s="1"/>
    </row>
    <row r="25" spans="1:9" x14ac:dyDescent="0.25">
      <c r="A25" s="1"/>
      <c r="B25" s="1"/>
      <c r="C25" s="6" t="s">
        <v>215</v>
      </c>
      <c r="D25" s="58" t="s">
        <v>143</v>
      </c>
      <c r="E25" s="59"/>
      <c r="F25" s="59"/>
      <c r="G25" s="60"/>
      <c r="H25" s="1"/>
      <c r="I25" s="1"/>
    </row>
    <row r="26" spans="1:9" x14ac:dyDescent="0.25">
      <c r="A26" s="1"/>
      <c r="B26" s="1"/>
      <c r="C26" s="6" t="s">
        <v>216</v>
      </c>
      <c r="D26" s="58" t="s">
        <v>144</v>
      </c>
      <c r="E26" s="59"/>
      <c r="F26" s="59"/>
      <c r="G26" s="60"/>
      <c r="H26" s="1"/>
      <c r="I26" s="1"/>
    </row>
    <row r="27" spans="1:9" x14ac:dyDescent="0.25">
      <c r="A27" s="1"/>
      <c r="B27" s="1"/>
      <c r="C27" s="6" t="s">
        <v>217</v>
      </c>
      <c r="D27" s="58" t="s">
        <v>145</v>
      </c>
      <c r="E27" s="59"/>
      <c r="F27" s="59"/>
      <c r="G27" s="60"/>
      <c r="H27" s="1"/>
      <c r="I27" s="1"/>
    </row>
    <row r="28" spans="1:9" x14ac:dyDescent="0.25">
      <c r="A28" s="1"/>
      <c r="B28" s="1"/>
      <c r="C28" s="6" t="s">
        <v>22</v>
      </c>
      <c r="D28" s="58" t="s">
        <v>56</v>
      </c>
      <c r="E28" s="59"/>
      <c r="F28" s="59"/>
      <c r="G28" s="60"/>
      <c r="H28" s="1"/>
      <c r="I28" s="1"/>
    </row>
    <row r="29" spans="1:9" x14ac:dyDescent="0.25">
      <c r="A29" s="1"/>
      <c r="B29" s="1"/>
      <c r="C29" s="6" t="s">
        <v>58</v>
      </c>
      <c r="D29" s="58" t="s">
        <v>57</v>
      </c>
      <c r="E29" s="59"/>
      <c r="F29" s="59"/>
      <c r="G29" s="60"/>
      <c r="H29" s="1"/>
      <c r="I29" s="1"/>
    </row>
    <row r="30" spans="1:9" x14ac:dyDescent="0.25">
      <c r="A30" s="1"/>
      <c r="B30" s="1"/>
      <c r="C30" s="6" t="s">
        <v>59</v>
      </c>
      <c r="D30" s="67" t="s">
        <v>11</v>
      </c>
      <c r="E30" s="68"/>
      <c r="F30" s="68"/>
      <c r="G30" s="69"/>
      <c r="H30" s="1"/>
      <c r="I30" s="1"/>
    </row>
    <row r="31" spans="1:9" x14ac:dyDescent="0.25">
      <c r="A31" s="1"/>
      <c r="B31" s="1"/>
      <c r="C31" s="6" t="s">
        <v>175</v>
      </c>
      <c r="D31" s="61" t="s">
        <v>207</v>
      </c>
      <c r="E31" s="62"/>
      <c r="F31" s="62"/>
      <c r="G31" s="63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R7Akpe4mAK0pSG3FpEa8TBtzQ7rEB7iJxl8D1JqWAR98QRvtGcrAwG3+yBDksx+IJWbISl4qXbfgcmsPxiFfLw==" saltValue="JY1NEoL3oPn1YZO21VxO5w==" spinCount="100000" sheet="1" objects="1" scenarios="1"/>
  <mergeCells count="22"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52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9" t="s">
        <v>220</v>
      </c>
      <c r="C3" s="79"/>
      <c r="D3" s="79"/>
      <c r="E3" s="1"/>
      <c r="F3" s="1"/>
    </row>
    <row r="4" spans="1:6" ht="15" customHeight="1" x14ac:dyDescent="0.25">
      <c r="A4" s="1"/>
      <c r="B4" s="79"/>
      <c r="C4" s="79"/>
      <c r="D4" s="79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84" t="s">
        <v>66</v>
      </c>
      <c r="C8" s="85"/>
      <c r="D8" s="86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5" t="s">
        <v>263</v>
      </c>
      <c r="C10" s="9">
        <v>4922105</v>
      </c>
      <c r="D10" s="14" t="s">
        <v>3</v>
      </c>
      <c r="E10" s="1"/>
      <c r="F10" s="1"/>
    </row>
    <row r="11" spans="1:6" x14ac:dyDescent="0.25">
      <c r="A11" s="1"/>
      <c r="B11" s="55" t="s">
        <v>264</v>
      </c>
      <c r="C11" s="9">
        <v>77987</v>
      </c>
      <c r="D11" s="14" t="s">
        <v>3</v>
      </c>
      <c r="E11" s="1"/>
      <c r="F11" s="1"/>
    </row>
    <row r="12" spans="1:6" ht="26.25" x14ac:dyDescent="0.25">
      <c r="A12" s="1"/>
      <c r="B12" s="35" t="s">
        <v>265</v>
      </c>
      <c r="C12" s="9">
        <v>696365</v>
      </c>
      <c r="D12" s="14" t="s">
        <v>3</v>
      </c>
      <c r="E12" s="1"/>
      <c r="F12" s="1"/>
    </row>
    <row r="13" spans="1:6" x14ac:dyDescent="0.25">
      <c r="A13" s="1"/>
      <c r="B13" s="55" t="s">
        <v>266</v>
      </c>
      <c r="C13" s="9">
        <v>380176</v>
      </c>
      <c r="D13" s="14" t="s">
        <v>3</v>
      </c>
      <c r="E13" s="1"/>
      <c r="F13" s="1"/>
    </row>
    <row r="14" spans="1:6" x14ac:dyDescent="0.25">
      <c r="A14" s="1"/>
      <c r="B14" s="55" t="s">
        <v>267</v>
      </c>
      <c r="C14" s="9">
        <v>924816</v>
      </c>
      <c r="D14" s="14" t="s">
        <v>3</v>
      </c>
      <c r="E14" s="1"/>
      <c r="F14" s="1"/>
    </row>
    <row r="15" spans="1:6" x14ac:dyDescent="0.25">
      <c r="A15" s="1"/>
      <c r="B15" s="55" t="s">
        <v>268</v>
      </c>
      <c r="C15" s="9">
        <v>689355</v>
      </c>
      <c r="D15" s="14" t="s">
        <v>3</v>
      </c>
      <c r="E15" s="1"/>
      <c r="F15" s="1"/>
    </row>
    <row r="16" spans="1:6" x14ac:dyDescent="0.25">
      <c r="A16" s="1"/>
      <c r="B16" s="40" t="s">
        <v>68</v>
      </c>
      <c r="C16" s="12">
        <f>SUM(C10:C15)</f>
        <v>7690804</v>
      </c>
      <c r="D16" s="13" t="s">
        <v>3</v>
      </c>
      <c r="E16" s="1"/>
      <c r="F16" s="1"/>
    </row>
    <row r="17" spans="1:6" x14ac:dyDescent="0.25">
      <c r="A17" s="1"/>
      <c r="B17" s="40" t="s">
        <v>69</v>
      </c>
      <c r="C17" s="12">
        <f>C16*(1+'Fane 15. Nøgletal'!C12)^2</f>
        <v>7996806.40172436</v>
      </c>
      <c r="D17" s="13" t="s">
        <v>3</v>
      </c>
      <c r="E17" s="1"/>
      <c r="F17" s="1"/>
    </row>
    <row r="18" spans="1:6" x14ac:dyDescent="0.25">
      <c r="A18" s="1"/>
      <c r="B18" s="16"/>
      <c r="C18" s="15"/>
      <c r="D18" s="15"/>
      <c r="E18" s="1"/>
      <c r="F18" s="1"/>
    </row>
    <row r="19" spans="1:6" x14ac:dyDescent="0.25">
      <c r="A19" s="1"/>
      <c r="B19" s="16"/>
      <c r="C19" s="15"/>
      <c r="D19" s="15"/>
      <c r="E19" s="1"/>
      <c r="F19" s="1"/>
    </row>
    <row r="20" spans="1:6" x14ac:dyDescent="0.25">
      <c r="A20" s="1"/>
      <c r="B20" s="84" t="s">
        <v>236</v>
      </c>
      <c r="C20" s="85"/>
      <c r="D20" s="86"/>
      <c r="E20" s="1"/>
      <c r="F20" s="1"/>
    </row>
    <row r="21" spans="1:6" x14ac:dyDescent="0.25">
      <c r="A21" s="1"/>
      <c r="B21" s="55" t="s">
        <v>197</v>
      </c>
      <c r="C21" s="9">
        <v>1886775</v>
      </c>
      <c r="D21" s="14" t="s">
        <v>3</v>
      </c>
      <c r="E21" s="1"/>
      <c r="F21" s="1"/>
    </row>
    <row r="22" spans="1:6" x14ac:dyDescent="0.25">
      <c r="A22" s="1"/>
      <c r="B22" s="55" t="s">
        <v>198</v>
      </c>
      <c r="C22" s="9">
        <v>1886775</v>
      </c>
      <c r="D22" s="14" t="s">
        <v>3</v>
      </c>
      <c r="E22" s="1"/>
      <c r="F22" s="1"/>
    </row>
    <row r="23" spans="1:6" x14ac:dyDescent="0.25">
      <c r="A23" s="1"/>
      <c r="B23" s="55" t="s">
        <v>199</v>
      </c>
      <c r="C23" s="9">
        <v>1886775</v>
      </c>
      <c r="D23" s="14" t="s">
        <v>3</v>
      </c>
      <c r="E23" s="1"/>
      <c r="F23" s="1"/>
    </row>
    <row r="24" spans="1:6" x14ac:dyDescent="0.25">
      <c r="A24" s="1"/>
      <c r="B24" s="55" t="s">
        <v>200</v>
      </c>
      <c r="C24" s="9">
        <v>1886775</v>
      </c>
      <c r="D24" s="14" t="s">
        <v>3</v>
      </c>
      <c r="E24" s="1"/>
      <c r="F24" s="1"/>
    </row>
    <row r="25" spans="1:6" x14ac:dyDescent="0.25">
      <c r="A25" s="1"/>
      <c r="B25" s="84"/>
      <c r="C25" s="85"/>
      <c r="D25" s="86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84" t="s">
        <v>196</v>
      </c>
      <c r="C28" s="85"/>
      <c r="D28" s="86"/>
      <c r="E28" s="1"/>
      <c r="F28" s="1"/>
    </row>
    <row r="29" spans="1:6" x14ac:dyDescent="0.25">
      <c r="A29" s="1"/>
      <c r="B29" s="55" t="s">
        <v>197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55" t="s">
        <v>198</v>
      </c>
      <c r="C30" s="9">
        <v>0</v>
      </c>
      <c r="D30" s="14" t="s">
        <v>3</v>
      </c>
      <c r="E30" s="1"/>
      <c r="F30" s="1"/>
    </row>
    <row r="31" spans="1:6" x14ac:dyDescent="0.25">
      <c r="A31" s="1"/>
      <c r="B31" s="55" t="s">
        <v>199</v>
      </c>
      <c r="C31" s="9">
        <v>0</v>
      </c>
      <c r="D31" s="14" t="s">
        <v>3</v>
      </c>
      <c r="E31" s="1"/>
      <c r="F31" s="1"/>
    </row>
    <row r="32" spans="1:6" x14ac:dyDescent="0.25">
      <c r="A32" s="1"/>
      <c r="B32" s="55" t="s">
        <v>200</v>
      </c>
      <c r="C32" s="9">
        <v>0</v>
      </c>
      <c r="D32" s="14" t="s">
        <v>3</v>
      </c>
      <c r="E32" s="1"/>
      <c r="F32" s="1"/>
    </row>
    <row r="33" spans="1:6" x14ac:dyDescent="0.25">
      <c r="A33" s="1"/>
      <c r="B33" s="84"/>
      <c r="C33" s="85"/>
      <c r="D33" s="86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</sheetData>
  <sheetProtection algorithmName="SHA-512" hashValue="2sjYFaOn10KcSVpcVDr5WDx7k8SSZf0VAlTb4fSbzeZ6xDQwmzYNdaR7+WFTv6RANv3ZPTXnESodxJQKIfhNcQ==" saltValue="cYM1uJwybxMhOM1DTQwzRA==" spinCount="100000" sheet="1" objects="1" scenarios="1"/>
  <mergeCells count="6">
    <mergeCell ref="B33:D33"/>
    <mergeCell ref="B3:D4"/>
    <mergeCell ref="B8:D8"/>
    <mergeCell ref="B20:D20"/>
    <mergeCell ref="B28:D28"/>
    <mergeCell ref="B25:D25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3" t="s">
        <v>226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ht="15" customHeight="1" x14ac:dyDescent="0.25">
      <c r="A5" s="1"/>
      <c r="B5" s="48"/>
      <c r="C5" s="48"/>
      <c r="D5" s="48"/>
      <c r="E5" s="48"/>
      <c r="F5" s="48"/>
      <c r="G5" s="1"/>
    </row>
    <row r="6" spans="1:7" ht="15" customHeight="1" x14ac:dyDescent="0.25">
      <c r="A6" s="1"/>
      <c r="B6" s="48"/>
      <c r="C6" s="48"/>
      <c r="D6" s="48"/>
      <c r="E6" s="48"/>
      <c r="F6" s="48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183</v>
      </c>
      <c r="C8" s="85"/>
      <c r="D8" s="85"/>
      <c r="E8" s="85"/>
      <c r="F8" s="86"/>
      <c r="G8" s="1"/>
    </row>
    <row r="9" spans="1:7" x14ac:dyDescent="0.25">
      <c r="A9" s="1"/>
      <c r="B9" s="97" t="s">
        <v>184</v>
      </c>
      <c r="C9" s="98"/>
      <c r="D9" s="99"/>
      <c r="E9" s="9">
        <v>162306969.22862065</v>
      </c>
      <c r="F9" s="14" t="s">
        <v>3</v>
      </c>
      <c r="G9" s="1"/>
    </row>
    <row r="10" spans="1:7" x14ac:dyDescent="0.25">
      <c r="A10" s="1"/>
      <c r="B10" s="97" t="s">
        <v>185</v>
      </c>
      <c r="C10" s="98"/>
      <c r="D10" s="99"/>
      <c r="E10" s="9">
        <v>165258632</v>
      </c>
      <c r="F10" s="14" t="s">
        <v>3</v>
      </c>
      <c r="G10" s="1"/>
    </row>
    <row r="11" spans="1:7" x14ac:dyDescent="0.25">
      <c r="A11" s="1"/>
      <c r="B11" s="97" t="s">
        <v>50</v>
      </c>
      <c r="C11" s="98"/>
      <c r="D11" s="99"/>
      <c r="E11" s="9">
        <v>0</v>
      </c>
      <c r="F11" s="14" t="s">
        <v>3</v>
      </c>
      <c r="G11" s="1"/>
    </row>
    <row r="12" spans="1:7" x14ac:dyDescent="0.25">
      <c r="A12" s="1"/>
      <c r="B12" s="87" t="s">
        <v>186</v>
      </c>
      <c r="C12" s="88"/>
      <c r="D12" s="89"/>
      <c r="E12" s="10">
        <f>E9-(E10-E11)</f>
        <v>-2951662.7713793516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1" t="s">
        <v>269</v>
      </c>
      <c r="C14" s="82"/>
      <c r="D14" s="82"/>
      <c r="E14" s="82"/>
      <c r="F14" s="83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84" t="s">
        <v>73</v>
      </c>
      <c r="C17" s="85"/>
      <c r="D17" s="85"/>
      <c r="E17" s="85"/>
      <c r="F17" s="86"/>
      <c r="G17" s="1"/>
    </row>
    <row r="18" spans="1:7" x14ac:dyDescent="0.25">
      <c r="A18" s="1"/>
      <c r="B18" s="97" t="s">
        <v>74</v>
      </c>
      <c r="C18" s="98"/>
      <c r="D18" s="99"/>
      <c r="E18" s="9">
        <v>191490399.49820724</v>
      </c>
      <c r="F18" s="14" t="s">
        <v>3</v>
      </c>
      <c r="G18" s="1"/>
    </row>
    <row r="19" spans="1:7" x14ac:dyDescent="0.25">
      <c r="A19" s="1"/>
      <c r="B19" s="97" t="s">
        <v>75</v>
      </c>
      <c r="C19" s="98"/>
      <c r="D19" s="99"/>
      <c r="E19" s="9">
        <v>177991785</v>
      </c>
      <c r="F19" s="14" t="s">
        <v>3</v>
      </c>
      <c r="G19" s="1"/>
    </row>
    <row r="20" spans="1:7" x14ac:dyDescent="0.25">
      <c r="A20" s="1"/>
      <c r="B20" s="97" t="s">
        <v>50</v>
      </c>
      <c r="C20" s="98"/>
      <c r="D20" s="99"/>
      <c r="E20" s="9">
        <v>0</v>
      </c>
      <c r="F20" s="14" t="s">
        <v>3</v>
      </c>
      <c r="G20" s="1"/>
    </row>
    <row r="21" spans="1:7" x14ac:dyDescent="0.25">
      <c r="A21" s="1"/>
      <c r="B21" s="87" t="s">
        <v>76</v>
      </c>
      <c r="C21" s="88"/>
      <c r="D21" s="89"/>
      <c r="E21" s="10">
        <f>E18-(E19-E20)</f>
        <v>13498614.498207241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84" t="s">
        <v>179</v>
      </c>
      <c r="C25" s="85"/>
      <c r="D25" s="85"/>
      <c r="E25" s="85"/>
      <c r="F25" s="86"/>
      <c r="G25" s="1"/>
    </row>
    <row r="26" spans="1:7" x14ac:dyDescent="0.25">
      <c r="A26" s="1"/>
      <c r="B26" s="105" t="s">
        <v>174</v>
      </c>
      <c r="C26" s="106"/>
      <c r="D26" s="107"/>
      <c r="E26" s="9">
        <f>IF(AND(E12&lt;0,E21&gt;0),E12,IF(AND(E21&lt;0,E12+E21&lt;0),(E12+E21),IF(AND(E12&lt;0,E21&lt;0),(E12+E21),0)))</f>
        <v>-2951662.7713793516</v>
      </c>
      <c r="F26" s="14" t="s">
        <v>3</v>
      </c>
      <c r="G26" s="1"/>
    </row>
    <row r="27" spans="1:7" x14ac:dyDescent="0.25">
      <c r="A27" s="1"/>
      <c r="B27" s="105" t="s">
        <v>204</v>
      </c>
      <c r="C27" s="106"/>
      <c r="D27" s="107"/>
      <c r="E27" s="9">
        <v>2</v>
      </c>
      <c r="F27" s="14" t="s">
        <v>28</v>
      </c>
      <c r="G27" s="1"/>
    </row>
    <row r="28" spans="1:7" x14ac:dyDescent="0.25">
      <c r="A28" s="1"/>
      <c r="B28" s="87" t="s">
        <v>251</v>
      </c>
      <c r="C28" s="88"/>
      <c r="D28" s="89"/>
      <c r="E28" s="10">
        <f>E26/E27</f>
        <v>-1475831.3856896758</v>
      </c>
      <c r="F28" s="17" t="s">
        <v>3</v>
      </c>
      <c r="G28" s="1"/>
    </row>
    <row r="29" spans="1:7" x14ac:dyDescent="0.25">
      <c r="A29" s="1"/>
      <c r="B29" s="108"/>
      <c r="C29" s="109"/>
      <c r="D29" s="109"/>
      <c r="E29" s="109"/>
      <c r="F29" s="110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nGuyQS9MZ9v0RmE38audylemhd//w0FU5k8NwYX2YP9oO1nHXzu0YFelSQuxbNlj6rFKlSaxt7M94KV8N514oQ==" saltValue="4g8lAEKUnr3F1CMBHafUtA==" spinCount="100000" sheet="1" objects="1" scenarios="1"/>
  <mergeCells count="17"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  <mergeCell ref="B25:F25"/>
    <mergeCell ref="B26:D26"/>
    <mergeCell ref="B29:F29"/>
    <mergeCell ref="B27:D27"/>
    <mergeCell ref="B28:D28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3" t="s">
        <v>252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84" t="s">
        <v>177</v>
      </c>
      <c r="C9" s="85"/>
      <c r="D9" s="85"/>
      <c r="E9" s="85"/>
      <c r="F9" s="85"/>
      <c r="G9" s="1"/>
    </row>
    <row r="10" spans="1:7" x14ac:dyDescent="0.25">
      <c r="A10" s="1"/>
      <c r="B10" s="81" t="s">
        <v>201</v>
      </c>
      <c r="C10" s="82"/>
      <c r="D10" s="83"/>
      <c r="E10" s="7">
        <v>0</v>
      </c>
      <c r="F10" s="8" t="s">
        <v>3</v>
      </c>
      <c r="G10" s="1"/>
    </row>
    <row r="11" spans="1:7" x14ac:dyDescent="0.25">
      <c r="A11" s="1"/>
      <c r="B11" s="97" t="s">
        <v>202</v>
      </c>
      <c r="C11" s="98"/>
      <c r="D11" s="99"/>
      <c r="E11" s="7">
        <v>0</v>
      </c>
      <c r="F11" s="8" t="s">
        <v>3</v>
      </c>
      <c r="G11" s="1"/>
    </row>
    <row r="12" spans="1:7" x14ac:dyDescent="0.25">
      <c r="A12" s="1"/>
      <c r="B12" s="87" t="s">
        <v>203</v>
      </c>
      <c r="C12" s="88"/>
      <c r="D12" s="89"/>
      <c r="E12" s="10">
        <f>E11-E10</f>
        <v>0</v>
      </c>
      <c r="F12" s="11" t="s">
        <v>3</v>
      </c>
      <c r="G12" s="1"/>
    </row>
    <row r="13" spans="1:7" x14ac:dyDescent="0.25">
      <c r="A13" s="1"/>
      <c r="B13" s="84" t="s">
        <v>178</v>
      </c>
      <c r="C13" s="85"/>
      <c r="D13" s="85"/>
      <c r="E13" s="85"/>
      <c r="F13" s="85"/>
      <c r="G13" s="1"/>
    </row>
    <row r="14" spans="1:7" x14ac:dyDescent="0.25">
      <c r="A14" s="1"/>
      <c r="B14" s="97" t="s">
        <v>210</v>
      </c>
      <c r="C14" s="98"/>
      <c r="D14" s="99"/>
      <c r="E14" s="9">
        <v>0</v>
      </c>
      <c r="F14" s="8" t="s">
        <v>3</v>
      </c>
      <c r="G14" s="1"/>
    </row>
    <row r="15" spans="1:7" x14ac:dyDescent="0.25">
      <c r="A15" s="1"/>
      <c r="B15" s="81" t="s">
        <v>211</v>
      </c>
      <c r="C15" s="82"/>
      <c r="D15" s="83"/>
      <c r="E15" s="9">
        <v>0</v>
      </c>
      <c r="F15" s="8" t="s">
        <v>3</v>
      </c>
      <c r="G15" s="1"/>
    </row>
    <row r="16" spans="1:7" x14ac:dyDescent="0.25">
      <c r="A16" s="1"/>
      <c r="B16" s="87" t="s">
        <v>203</v>
      </c>
      <c r="C16" s="88"/>
      <c r="D16" s="89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84" t="s">
        <v>173</v>
      </c>
      <c r="C17" s="85"/>
      <c r="D17" s="85"/>
      <c r="E17" s="85"/>
      <c r="F17" s="85"/>
      <c r="G17" s="1"/>
    </row>
    <row r="18" spans="1:7" ht="28.15" customHeight="1" x14ac:dyDescent="0.25">
      <c r="A18" s="1"/>
      <c r="B18" s="81" t="s">
        <v>258</v>
      </c>
      <c r="C18" s="82"/>
      <c r="D18" s="83"/>
      <c r="E18" s="9">
        <v>-696081.17905309051</v>
      </c>
      <c r="F18" s="8" t="s">
        <v>3</v>
      </c>
      <c r="G18" s="1"/>
    </row>
    <row r="19" spans="1:7" ht="29.25" customHeight="1" x14ac:dyDescent="0.25">
      <c r="A19" s="1"/>
      <c r="B19" s="90" t="s">
        <v>182</v>
      </c>
      <c r="C19" s="91"/>
      <c r="D19" s="92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1710167.1152865589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1710167.1152865589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9vXmyR1yc43W2L6Nooc2ExBB4mfFcweQD4rG6MI42tf1LIPlTr3Jt9QBGE34DLtTAZstlPCR06z1jJXpW6K0Fw==" saltValue="XvFbPj4p9iwzhikBQfg0xg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253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4" t="s">
        <v>254</v>
      </c>
      <c r="C8" s="85"/>
      <c r="D8" s="85"/>
      <c r="E8" s="85"/>
      <c r="F8" s="85"/>
      <c r="G8" s="85"/>
      <c r="H8" s="86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x14ac:dyDescent="0.25">
      <c r="A10" s="1"/>
      <c r="B10" s="57" t="s">
        <v>261</v>
      </c>
      <c r="C10" s="45"/>
      <c r="D10" s="9"/>
      <c r="E10" s="9"/>
      <c r="F10" s="9"/>
      <c r="G10" s="9"/>
      <c r="H10" s="14" t="s">
        <v>3</v>
      </c>
      <c r="I10" s="1"/>
    </row>
    <row r="11" spans="1:9" x14ac:dyDescent="0.25">
      <c r="A11" s="1"/>
      <c r="B11" s="84" t="s">
        <v>255</v>
      </c>
      <c r="C11" s="85"/>
      <c r="D11" s="86"/>
      <c r="E11" s="12">
        <f>SUM(E10:E10)</f>
        <v>0</v>
      </c>
      <c r="F11" s="12">
        <f>SUM(F10:F10)</f>
        <v>0</v>
      </c>
      <c r="G11" s="12">
        <f>SUM(G10:G10)</f>
        <v>0</v>
      </c>
      <c r="H11" s="13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N0Cj1n1vl6qD7evDbcxqfQiA/KCA71SkZ4YQ3Wdo0UyKq6NdtNHP6EHZbJ9/7qjN6AStIc/L0Ni/Yj/p4BVViw==" saltValue="CLS2vEn9TjJ7Bqwiczhsgw==" spinCount="100000" sheet="1" objects="1" scenarios="1"/>
  <mergeCells count="3">
    <mergeCell ref="B3:H4"/>
    <mergeCell ref="B11:D11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225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262</v>
      </c>
      <c r="C10" s="24">
        <f>'Fane 9. Anlægsprojekter'!F11</f>
        <v>0</v>
      </c>
      <c r="D10" s="14" t="s">
        <v>3</v>
      </c>
      <c r="E10" s="9">
        <f>SUM('Fane 9. Anlægsprojekter'!E11,'Fane 9. Anlægsprojekter'!G11)</f>
        <v>0</v>
      </c>
      <c r="F10" s="14" t="s">
        <v>3</v>
      </c>
      <c r="G10" s="1"/>
    </row>
    <row r="11" spans="1:7" x14ac:dyDescent="0.25">
      <c r="A11" s="1"/>
      <c r="B11" s="46" t="s">
        <v>259</v>
      </c>
      <c r="C11" s="24">
        <v>0</v>
      </c>
      <c r="D11" s="14" t="s">
        <v>3</v>
      </c>
      <c r="E11" s="9">
        <v>18238</v>
      </c>
      <c r="F11" s="14" t="s">
        <v>3</v>
      </c>
      <c r="G11" s="1"/>
    </row>
    <row r="12" spans="1:7" x14ac:dyDescent="0.25">
      <c r="A12" s="1"/>
      <c r="B12" s="40" t="s">
        <v>60</v>
      </c>
      <c r="C12" s="12">
        <f>SUM(C10:C11)</f>
        <v>0</v>
      </c>
      <c r="D12" s="13" t="s">
        <v>3</v>
      </c>
      <c r="E12" s="12">
        <f>SUM(E10:E11)</f>
        <v>18238</v>
      </c>
      <c r="F12" s="13" t="s">
        <v>3</v>
      </c>
      <c r="G12" s="1"/>
    </row>
    <row r="13" spans="1:7" x14ac:dyDescent="0.25">
      <c r="A13" s="1"/>
      <c r="B13" s="40" t="s">
        <v>70</v>
      </c>
      <c r="C13" s="12">
        <f>C12*(1+'Fane 15. Nøgletal'!C12)</f>
        <v>0</v>
      </c>
      <c r="D13" s="13" t="s">
        <v>3</v>
      </c>
      <c r="E13" s="12">
        <f>E12*(1+'Fane 15. Nøgletal'!C12)</f>
        <v>18597.2886</v>
      </c>
      <c r="F13" s="13" t="s">
        <v>3</v>
      </c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LPuSz32ldLslOh3plIIt8wv1rdEB7P27j07wyyM1NIsfJfU6ExPyBJPirBnYP5obXu3K+wl3H6kMR/6fXQnvVA==" saltValue="415icaar7AB2EFOcvbSWVg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224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187</v>
      </c>
      <c r="C8" s="85"/>
      <c r="D8" s="85"/>
      <c r="E8" s="85"/>
      <c r="F8" s="86"/>
      <c r="G8" s="1"/>
    </row>
    <row r="9" spans="1:7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260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84" t="s">
        <v>188</v>
      </c>
      <c r="C16" s="85"/>
      <c r="D16" s="85"/>
      <c r="E16" s="85"/>
      <c r="F16" s="86"/>
      <c r="G16" s="1"/>
    </row>
    <row r="17" spans="1:7" x14ac:dyDescent="0.25">
      <c r="A17" s="1"/>
      <c r="B17" s="53" t="s">
        <v>25</v>
      </c>
      <c r="C17" s="53" t="s">
        <v>16</v>
      </c>
      <c r="D17" s="54"/>
      <c r="E17" s="53" t="s">
        <v>48</v>
      </c>
      <c r="F17" s="39"/>
      <c r="G17" s="1"/>
    </row>
    <row r="18" spans="1:7" x14ac:dyDescent="0.25">
      <c r="A18" s="1"/>
      <c r="B18" s="27" t="s">
        <v>260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84" t="s">
        <v>189</v>
      </c>
      <c r="C24" s="85"/>
      <c r="D24" s="85"/>
      <c r="E24" s="85"/>
      <c r="F24" s="86"/>
      <c r="G24" s="1"/>
    </row>
    <row r="25" spans="1:7" x14ac:dyDescent="0.25">
      <c r="A25" s="1"/>
      <c r="B25" s="53" t="s">
        <v>25</v>
      </c>
      <c r="C25" s="53" t="s">
        <v>16</v>
      </c>
      <c r="D25" s="54"/>
      <c r="E25" s="53" t="s">
        <v>48</v>
      </c>
      <c r="F25" s="39"/>
      <c r="G25" s="1"/>
    </row>
    <row r="26" spans="1:7" x14ac:dyDescent="0.25">
      <c r="A26" s="1"/>
      <c r="B26" s="27" t="s">
        <v>260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84" t="s">
        <v>190</v>
      </c>
      <c r="C32" s="85"/>
      <c r="D32" s="85"/>
      <c r="E32" s="85"/>
      <c r="F32" s="86"/>
      <c r="G32" s="1"/>
    </row>
    <row r="33" spans="1:7" x14ac:dyDescent="0.25">
      <c r="A33" s="1"/>
      <c r="B33" s="53" t="s">
        <v>25</v>
      </c>
      <c r="C33" s="53" t="s">
        <v>16</v>
      </c>
      <c r="D33" s="54"/>
      <c r="E33" s="53" t="s">
        <v>48</v>
      </c>
      <c r="F33" s="39"/>
      <c r="G33" s="1"/>
    </row>
    <row r="34" spans="1:7" x14ac:dyDescent="0.25">
      <c r="A34" s="1"/>
      <c r="B34" s="27" t="s">
        <v>260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IQafwe3XlgBebDkW1UDa9J7HSv9jTKFTe+uOesiDeY+p/1sdA5PlTVKLdctIfmWQP3QDWT/XNeoqyivmnzA+dw==" saltValue="Nb0m/hunCIrhHCrjczfXiQ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227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93"/>
      <c r="C5" s="93"/>
      <c r="D5" s="93"/>
      <c r="E5" s="93"/>
      <c r="F5" s="93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160</v>
      </c>
      <c r="C8" s="85"/>
      <c r="D8" s="85"/>
      <c r="E8" s="85"/>
      <c r="F8" s="86"/>
      <c r="G8" s="1"/>
    </row>
    <row r="9" spans="1:7" x14ac:dyDescent="0.25">
      <c r="A9" s="1"/>
      <c r="B9" s="111" t="s">
        <v>159</v>
      </c>
      <c r="C9" s="112"/>
      <c r="D9" s="113"/>
      <c r="E9" s="9">
        <v>9617.3442417483348</v>
      </c>
      <c r="F9" s="14" t="s">
        <v>3</v>
      </c>
      <c r="G9" s="1"/>
    </row>
    <row r="10" spans="1:7" x14ac:dyDescent="0.25">
      <c r="A10" s="1"/>
      <c r="B10" s="94" t="s">
        <v>10</v>
      </c>
      <c r="C10" s="95"/>
      <c r="D10" s="96"/>
      <c r="E10" s="9">
        <f>-E9*'Fane 5. Individuelt eff. krav'!G11</f>
        <v>-53.621265490686007</v>
      </c>
      <c r="F10" s="14" t="s">
        <v>3</v>
      </c>
      <c r="G10" s="1"/>
    </row>
    <row r="11" spans="1:7" x14ac:dyDescent="0.25">
      <c r="A11" s="1"/>
      <c r="B11" s="94" t="s">
        <v>39</v>
      </c>
      <c r="C11" s="95"/>
      <c r="D11" s="96"/>
      <c r="E11" s="9">
        <f>-E9*'Fane 15. Nøgletal'!C25</f>
        <v>-192.34688483496669</v>
      </c>
      <c r="F11" s="14" t="s">
        <v>3</v>
      </c>
      <c r="G11" s="1"/>
    </row>
    <row r="12" spans="1:7" x14ac:dyDescent="0.25">
      <c r="A12" s="1"/>
      <c r="B12" s="84" t="s">
        <v>164</v>
      </c>
      <c r="C12" s="85"/>
      <c r="D12" s="86"/>
      <c r="E12" s="12">
        <f>SUM(E9:E11)*(1+'Fane 15. Nøgletal'!C12)^2</f>
        <v>9744.2452467720541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4" t="s">
        <v>161</v>
      </c>
      <c r="C14" s="85"/>
      <c r="D14" s="85"/>
      <c r="E14" s="85"/>
      <c r="F14" s="86"/>
      <c r="G14" s="1"/>
    </row>
    <row r="15" spans="1:7" x14ac:dyDescent="0.25">
      <c r="A15" s="1"/>
      <c r="B15" s="111" t="s">
        <v>159</v>
      </c>
      <c r="C15" s="112"/>
      <c r="D15" s="113"/>
      <c r="E15" s="9">
        <v>9617.3442417483348</v>
      </c>
      <c r="F15" s="14" t="s">
        <v>3</v>
      </c>
      <c r="G15" s="1"/>
    </row>
    <row r="16" spans="1:7" x14ac:dyDescent="0.25">
      <c r="A16" s="1"/>
      <c r="B16" s="94" t="s">
        <v>10</v>
      </c>
      <c r="C16" s="95"/>
      <c r="D16" s="96"/>
      <c r="E16" s="9">
        <f>-E15*'Fane 5. Individuelt eff. krav'!G11</f>
        <v>-53.621265490686007</v>
      </c>
      <c r="F16" s="14" t="s">
        <v>3</v>
      </c>
      <c r="G16" s="1"/>
    </row>
    <row r="17" spans="1:7" x14ac:dyDescent="0.25">
      <c r="A17" s="1"/>
      <c r="B17" s="94" t="s">
        <v>39</v>
      </c>
      <c r="C17" s="95"/>
      <c r="D17" s="96"/>
      <c r="E17" s="9">
        <f>-E15*'Fane 15. Nøgletal'!C25</f>
        <v>-192.34688483496669</v>
      </c>
      <c r="F17" s="14" t="s">
        <v>3</v>
      </c>
      <c r="G17" s="1"/>
    </row>
    <row r="18" spans="1:7" x14ac:dyDescent="0.25">
      <c r="A18" s="1"/>
      <c r="B18" s="84" t="s">
        <v>165</v>
      </c>
      <c r="C18" s="85"/>
      <c r="D18" s="86"/>
      <c r="E18" s="12">
        <f>SUM(E15:E17)*(1+'Fane 15. Nøgletal'!C12)^3</f>
        <v>9936.2068781334638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84" t="s">
        <v>162</v>
      </c>
      <c r="C20" s="85"/>
      <c r="D20" s="85"/>
      <c r="E20" s="85"/>
      <c r="F20" s="86"/>
      <c r="G20" s="1"/>
    </row>
    <row r="21" spans="1:7" x14ac:dyDescent="0.25">
      <c r="A21" s="1"/>
      <c r="B21" s="111" t="s">
        <v>159</v>
      </c>
      <c r="C21" s="112"/>
      <c r="D21" s="113"/>
      <c r="E21" s="9">
        <v>9617.3442417483348</v>
      </c>
      <c r="F21" s="14" t="s">
        <v>3</v>
      </c>
      <c r="G21" s="1"/>
    </row>
    <row r="22" spans="1:7" x14ac:dyDescent="0.25">
      <c r="A22" s="1"/>
      <c r="B22" s="94" t="s">
        <v>10</v>
      </c>
      <c r="C22" s="95"/>
      <c r="D22" s="96"/>
      <c r="E22" s="9">
        <f>-E21*'Fane 5. Individuelt eff. krav'!G11</f>
        <v>-53.621265490686007</v>
      </c>
      <c r="F22" s="14" t="s">
        <v>3</v>
      </c>
      <c r="G22" s="1"/>
    </row>
    <row r="23" spans="1:7" x14ac:dyDescent="0.25">
      <c r="A23" s="1"/>
      <c r="B23" s="94" t="s">
        <v>39</v>
      </c>
      <c r="C23" s="95"/>
      <c r="D23" s="96"/>
      <c r="E23" s="9">
        <f>-E21*'Fane 15. Nøgletal'!C25</f>
        <v>-192.34688483496669</v>
      </c>
      <c r="F23" s="14" t="s">
        <v>3</v>
      </c>
      <c r="G23" s="1"/>
    </row>
    <row r="24" spans="1:7" x14ac:dyDescent="0.25">
      <c r="A24" s="1"/>
      <c r="B24" s="84" t="s">
        <v>166</v>
      </c>
      <c r="C24" s="85"/>
      <c r="D24" s="86"/>
      <c r="E24" s="12">
        <f>SUM(E21:E23)*(1+'Fane 15. Nøgletal'!C12)^4</f>
        <v>10131.950153632695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84" t="s">
        <v>163</v>
      </c>
      <c r="C26" s="85"/>
      <c r="D26" s="85"/>
      <c r="E26" s="85"/>
      <c r="F26" s="86"/>
      <c r="G26" s="1"/>
    </row>
    <row r="27" spans="1:7" x14ac:dyDescent="0.25">
      <c r="A27" s="1"/>
      <c r="B27" s="111" t="s">
        <v>159</v>
      </c>
      <c r="C27" s="112"/>
      <c r="D27" s="113"/>
      <c r="E27" s="9">
        <v>9617.3442417483348</v>
      </c>
      <c r="F27" s="14" t="s">
        <v>3</v>
      </c>
      <c r="G27" s="1"/>
    </row>
    <row r="28" spans="1:7" x14ac:dyDescent="0.25">
      <c r="A28" s="1"/>
      <c r="B28" s="94" t="s">
        <v>10</v>
      </c>
      <c r="C28" s="95"/>
      <c r="D28" s="96"/>
      <c r="E28" s="9">
        <f>-E27*'Fane 5. Individuelt eff. krav'!G11</f>
        <v>-53.621265490686007</v>
      </c>
      <c r="F28" s="14" t="s">
        <v>3</v>
      </c>
      <c r="G28" s="1"/>
    </row>
    <row r="29" spans="1:7" x14ac:dyDescent="0.25">
      <c r="A29" s="1"/>
      <c r="B29" s="94" t="s">
        <v>39</v>
      </c>
      <c r="C29" s="95"/>
      <c r="D29" s="96"/>
      <c r="E29" s="9">
        <f>-E27*'Fane 15. Nøgletal'!C25</f>
        <v>-192.34688483496669</v>
      </c>
      <c r="F29" s="14" t="s">
        <v>3</v>
      </c>
      <c r="G29" s="1"/>
    </row>
    <row r="30" spans="1:7" x14ac:dyDescent="0.25">
      <c r="A30" s="1"/>
      <c r="B30" s="84" t="s">
        <v>167</v>
      </c>
      <c r="C30" s="85"/>
      <c r="D30" s="86"/>
      <c r="E30" s="12">
        <f>SUM(E27:E29)*(1+'Fane 15. Nøgletal'!C12)^5</f>
        <v>10331.54957165926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O6WJPik3SSTmxc6JIPC2dryKXGkvRjVyAR9qr2k2fF/e12XOJiv2p+MbdKWPCNT2nJjX5OgpCOcLmCVO5mU8tA==" saltValue="1BY4AfLkMRhUhNur6px0mA==" spinCount="100000" sheet="1" objects="1" scenarios="1"/>
  <mergeCells count="21"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223</v>
      </c>
      <c r="C3" s="93"/>
      <c r="D3" s="93"/>
      <c r="E3" s="93"/>
      <c r="F3" s="93"/>
      <c r="G3" s="1"/>
    </row>
    <row r="4" spans="1:7" ht="25.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32</v>
      </c>
      <c r="C8" s="85"/>
      <c r="D8" s="85"/>
      <c r="E8" s="85"/>
      <c r="F8" s="86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UljGbxQOyewiO5cQ6evL7bnPfTgtLibnNGr8WBUvnT49G5NGvJre+iwCMnh0Pc1i4TcXNiPb7PfR6CpiZUII6g==" saltValue="KxbejFVMKG9GrgTNBDIw+A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222</v>
      </c>
      <c r="C3" s="93"/>
      <c r="D3" s="93"/>
      <c r="E3" s="93"/>
      <c r="F3" s="93"/>
      <c r="G3" s="1"/>
    </row>
    <row r="4" spans="1:7" ht="25.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4" t="s">
        <v>169</v>
      </c>
      <c r="C8" s="85"/>
      <c r="D8" s="85"/>
      <c r="E8" s="85"/>
      <c r="F8" s="86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4" t="s">
        <v>170</v>
      </c>
      <c r="C14" s="85"/>
      <c r="D14" s="85"/>
      <c r="E14" s="85"/>
      <c r="F14" s="86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84" t="s">
        <v>168</v>
      </c>
      <c r="C20" s="85"/>
      <c r="D20" s="85"/>
      <c r="E20" s="85"/>
      <c r="F20" s="86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84" t="s">
        <v>171</v>
      </c>
      <c r="C26" s="85"/>
      <c r="D26" s="85"/>
      <c r="E26" s="85"/>
      <c r="F26" s="86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sdX+nqPLZzPnnaT0RWteGPTR2xG96wHR2AdLfM7p+Fdudi1O62ONITq4y5eNhqb+rBWHl3E/a+8thzNgjA1zXA==" saltValue="lJcNG3MHGM7bKbhsIAqiNw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221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4" t="s">
        <v>18</v>
      </c>
      <c r="C8" s="85"/>
      <c r="D8" s="85"/>
      <c r="E8" s="85"/>
      <c r="F8" s="85"/>
      <c r="G8" s="85"/>
      <c r="H8" s="86"/>
      <c r="I8" s="1"/>
    </row>
    <row r="9" spans="1:9" x14ac:dyDescent="0.25">
      <c r="A9" s="1"/>
      <c r="B9" s="97" t="s">
        <v>12</v>
      </c>
      <c r="C9" s="98"/>
      <c r="D9" s="98"/>
      <c r="E9" s="98"/>
      <c r="F9" s="99"/>
      <c r="G9" s="9">
        <v>-10938002</v>
      </c>
      <c r="H9" s="14" t="s">
        <v>3</v>
      </c>
      <c r="I9" s="1"/>
    </row>
    <row r="10" spans="1:9" x14ac:dyDescent="0.25">
      <c r="A10" s="1"/>
      <c r="B10" s="97" t="s">
        <v>137</v>
      </c>
      <c r="C10" s="98"/>
      <c r="D10" s="98"/>
      <c r="E10" s="98"/>
      <c r="F10" s="99"/>
      <c r="G10" s="9">
        <v>0</v>
      </c>
      <c r="H10" s="14" t="s">
        <v>3</v>
      </c>
      <c r="I10" s="1"/>
    </row>
    <row r="11" spans="1:9" x14ac:dyDescent="0.25">
      <c r="A11" s="1"/>
      <c r="B11" s="97" t="s">
        <v>77</v>
      </c>
      <c r="C11" s="98"/>
      <c r="D11" s="98"/>
      <c r="E11" s="98"/>
      <c r="F11" s="99"/>
      <c r="G11" s="9">
        <v>8964168.7566137556</v>
      </c>
      <c r="H11" s="14" t="s">
        <v>3</v>
      </c>
      <c r="I11" s="1"/>
    </row>
    <row r="12" spans="1:9" x14ac:dyDescent="0.25">
      <c r="A12" s="1"/>
      <c r="B12" s="114" t="s">
        <v>15</v>
      </c>
      <c r="C12" s="115"/>
      <c r="D12" s="115"/>
      <c r="E12" s="115"/>
      <c r="F12" s="116"/>
      <c r="G12" s="19">
        <f>(G9+G10)+G11</f>
        <v>-1973833.2433862444</v>
      </c>
      <c r="H12" s="18" t="s">
        <v>3</v>
      </c>
      <c r="I12" s="1"/>
    </row>
    <row r="13" spans="1:9" x14ac:dyDescent="0.25">
      <c r="A13" s="1"/>
      <c r="B13" s="97" t="s">
        <v>13</v>
      </c>
      <c r="C13" s="98"/>
      <c r="D13" s="98"/>
      <c r="E13" s="98"/>
      <c r="F13" s="99"/>
      <c r="G13" s="9">
        <v>1</v>
      </c>
      <c r="H13" s="14" t="s">
        <v>28</v>
      </c>
      <c r="I13" s="1"/>
    </row>
    <row r="14" spans="1:9" x14ac:dyDescent="0.25">
      <c r="A14" s="1"/>
      <c r="B14" s="84" t="s">
        <v>138</v>
      </c>
      <c r="C14" s="85"/>
      <c r="D14" s="85"/>
      <c r="E14" s="85"/>
      <c r="F14" s="86"/>
      <c r="G14" s="12">
        <f>IF(G13 = 0,0,-G12/G13)</f>
        <v>1973833.2433862444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gGAIYEVemcQHifML2OcAvVejMMpu1VN9bShzQsdQZTsmY/aAF40tXn+Av13DlDBxjrTWcZNZog+Suj15LVFblA==" saltValue="gQkz/LdYtkL9PdbLqDnKzw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62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160553429.37979591</v>
      </c>
      <c r="D9" s="8" t="s">
        <v>3</v>
      </c>
      <c r="E9" s="1"/>
    </row>
    <row r="10" spans="1:5" ht="17.100000000000001" customHeight="1" x14ac:dyDescent="0.25">
      <c r="A10" s="1"/>
      <c r="B10" s="49" t="s">
        <v>64</v>
      </c>
      <c r="C10" s="7">
        <f>'Fane 10.1. Varige tillæg'!C13</f>
        <v>0</v>
      </c>
      <c r="D10" s="8" t="s">
        <v>3</v>
      </c>
      <c r="E10" s="1"/>
    </row>
    <row r="11" spans="1:5" ht="17.100000000000001" customHeight="1" x14ac:dyDescent="0.25">
      <c r="A11" s="1"/>
      <c r="B11" s="49" t="s">
        <v>65</v>
      </c>
      <c r="C11" s="9">
        <f>'Fane 10.1. Varige tillæg'!E13</f>
        <v>18597.2886</v>
      </c>
      <c r="D11" s="8" t="s">
        <v>3</v>
      </c>
      <c r="E11" s="1"/>
    </row>
    <row r="12" spans="1:5" ht="17.100000000000001" customHeight="1" x14ac:dyDescent="0.25">
      <c r="A12" s="1"/>
      <c r="B12" s="49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49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49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49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49" t="s">
        <v>27</v>
      </c>
      <c r="C16" s="9">
        <f>SUM(C9:C15)*'Fane 15. Nøgletal'!C12</f>
        <v>3163268.9253673991</v>
      </c>
      <c r="D16" s="8" t="s">
        <v>3</v>
      </c>
      <c r="E16" s="1"/>
    </row>
    <row r="17" spans="1:5" ht="17.100000000000001" customHeight="1" x14ac:dyDescent="0.25">
      <c r="A17" s="1"/>
      <c r="B17" s="49" t="s">
        <v>10</v>
      </c>
      <c r="C17" s="9">
        <f>-SUM(C9:C16)*'Fane 5. Individuelt eff. krav'!G11</f>
        <v>-912902.10005346278</v>
      </c>
      <c r="D17" s="8" t="s">
        <v>3</v>
      </c>
      <c r="E17" s="1"/>
    </row>
    <row r="18" spans="1:5" ht="17.100000000000001" customHeight="1" x14ac:dyDescent="0.25">
      <c r="A18" s="1"/>
      <c r="B18" s="49" t="s">
        <v>39</v>
      </c>
      <c r="C18" s="9">
        <f>-'Fane 4.1. Gen. krav - drift'!G28</f>
        <v>-1011673.2181771997</v>
      </c>
      <c r="D18" s="8" t="s">
        <v>3</v>
      </c>
      <c r="E18" s="1"/>
    </row>
    <row r="19" spans="1:5" ht="17.100000000000001" customHeight="1" x14ac:dyDescent="0.25">
      <c r="A19" s="1"/>
      <c r="B19" s="49" t="s">
        <v>40</v>
      </c>
      <c r="C19" s="9">
        <f>-'Fane 4.2. Gen. krav - anlæg'!G25</f>
        <v>-3249168.2808361179</v>
      </c>
      <c r="D19" s="8" t="s">
        <v>3</v>
      </c>
      <c r="E19" s="1"/>
    </row>
    <row r="20" spans="1:5" ht="17.100000000000001" customHeight="1" x14ac:dyDescent="0.25">
      <c r="A20" s="1"/>
      <c r="B20" s="50" t="s">
        <v>29</v>
      </c>
      <c r="C20" s="10">
        <f>SUM(C9:C19)</f>
        <v>158561551.99469653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omk.'!C17+'Fane 6. Ikke-påvirkelige omk.'!C21+'Fane 6. Ikke-påvirkelige omk.'!C29</f>
        <v>9883581.4017243609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50" t="s">
        <v>145</v>
      </c>
      <c r="C24" s="10">
        <f>'Fane 11. Periodevise driftsomk.'!E12</f>
        <v>9744.2452467720541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49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49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50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1973833.2433862444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-1475831.3856896758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1710167.1152865589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170663046.61465079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JciGlbSjpXgqGMAd80P+/qbYi1gtSto81PwUqzFeocDvYIggaJb/VsToop2OWuQ+IBGrQyYQnuOyMbYppYeB9Q==" saltValue="2TR6yspWcumdHzadfklOlw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93" t="s">
        <v>248</v>
      </c>
      <c r="C3" s="93"/>
      <c r="D3" s="1"/>
    </row>
    <row r="4" spans="1:4" ht="25.5" customHeight="1" x14ac:dyDescent="0.25">
      <c r="A4" s="1"/>
      <c r="B4" s="93"/>
      <c r="C4" s="93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5" t="s">
        <v>228</v>
      </c>
      <c r="C9" s="28">
        <v>1.2699999999999999E-2</v>
      </c>
      <c r="D9" s="1"/>
    </row>
    <row r="10" spans="1:4" x14ac:dyDescent="0.25">
      <c r="A10" s="1"/>
      <c r="B10" s="55" t="s">
        <v>229</v>
      </c>
      <c r="C10" s="28">
        <v>1.7500000000000002E-2</v>
      </c>
      <c r="D10" s="1"/>
    </row>
    <row r="11" spans="1:4" x14ac:dyDescent="0.25">
      <c r="A11" s="1"/>
      <c r="B11" s="55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5" t="s">
        <v>231</v>
      </c>
      <c r="C17" s="25">
        <v>9.1000000000000004E-3</v>
      </c>
      <c r="D17" s="1"/>
    </row>
    <row r="18" spans="1:4" x14ac:dyDescent="0.25">
      <c r="A18" s="1"/>
      <c r="B18" s="55" t="s">
        <v>232</v>
      </c>
      <c r="C18" s="25">
        <v>1.77E-2</v>
      </c>
      <c r="D18" s="1"/>
    </row>
    <row r="19" spans="1:4" x14ac:dyDescent="0.25">
      <c r="A19" s="1"/>
      <c r="B19" s="55" t="s">
        <v>233</v>
      </c>
      <c r="C19" s="25">
        <v>8.6999999999999994E-3</v>
      </c>
      <c r="D19" s="1"/>
    </row>
    <row r="20" spans="1:4" x14ac:dyDescent="0.25">
      <c r="A20" s="1"/>
      <c r="B20" s="55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5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TpCrbRXWzf5q+xudsLVBaXN1EIf9yfGZp7myt3PBh3EQqKUUgomHrLSBvef3ClQXAk14ChLT6WIbFUyIwxFvSw==" saltValue="geroy938yCmdSTKpW1JwPw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82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158561551.99469653</v>
      </c>
      <c r="D9" s="8" t="s">
        <v>3</v>
      </c>
      <c r="E9" s="1"/>
    </row>
    <row r="10" spans="1:5" ht="15" customHeight="1" x14ac:dyDescent="0.25">
      <c r="A10" s="1"/>
      <c r="B10" s="49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49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3123662.5742955212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-901471.92389012175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-1010971.1169637847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-3219082.6721230815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156553688.85601509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omk.'!C17*(1+'Fane 15. Nøgletal'!C12)+'Fane 6. Ikke-påvirkelige omk.'!C22+'Fane 6. Ikke-påvirkelige omk.'!C30</f>
        <v>10041118.487838332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driftsomk.'!E18</f>
        <v>9936.2068781334638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-1475831.3856896758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165128912.16504186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L4W4Jof6FoWEgv69ybZ6FD22MWF5MyEPAagRo4amdXLy2u8QguJMGww2RxMMIpA5qj5cYji9cO8/m6nyxscowA==" saltValue="BrX4nm4o/YRt9z65IUlT8Q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246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2.2. Økonomisk ramme 2021'!C16</f>
        <v>156553688.85601509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3084107.6704634968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-890056.59511864407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-1010269.503008612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-3189275.6405022121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154548194.78784913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omk.'!C17*(1+'Fane 15. Nøgletal'!C12)^2+'Fane 6. Ikke-påvirkelige omk.'!C23+'Fane 6. Ikke-påvirkelige omk.'!C31</f>
        <v>10201759.054548744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driftsomk.'!E24</f>
        <v>10131.950153632695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164760085.79255149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FhMjB3dspnV7fnfbj/yhy0CEeJsuYeltjSqJz3oHRJLl8byxnUsrg46D62cmBnVw6vB7Stnsel4B05mNt1QVbQ==" saltValue="P6zjzo/82wtc3vphcmdfCA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247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270</v>
      </c>
      <c r="C9" s="7">
        <f>'Fane 2.3. Økonomisk ramme 2022'!C16</f>
        <v>154548194.78784913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3044599.4373206277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-878654.73525263905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-1009568.3759735241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-3159744.6064944942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152544826.50744909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omk.'!C17*(1+'Fane 15. Nøgletal'!C12)^3+'Fane 6. Ikke-påvirkelige omk.'!C24+'Fane 6. Ikke-påvirkelige omk.'!C32</f>
        <v>10365564.240423355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driftsomk.'!E30</f>
        <v>10331.54957165926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162920722.29744411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yCFAcAqbPSQaon3AWBEaDXP7EJyt/3GcRH1x3oOu9zaoCFnmclhdqIo4xiuTAgHohqwyQyuA/Yc4pEHuE6n3Pw==" saltValue="3Fz0EETy3zNjS6xovcEA5Q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243</v>
      </c>
      <c r="C3" s="93"/>
      <c r="D3" s="93"/>
      <c r="E3" s="93"/>
      <c r="F3" s="93"/>
      <c r="G3" s="1"/>
    </row>
    <row r="4" spans="1:7" ht="29.2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1" t="s">
        <v>79</v>
      </c>
      <c r="C9" s="82"/>
      <c r="D9" s="83"/>
      <c r="E9" s="7">
        <v>160767479.87916753</v>
      </c>
      <c r="F9" s="8" t="s">
        <v>3</v>
      </c>
      <c r="G9" s="1"/>
    </row>
    <row r="10" spans="1:7" ht="15" customHeight="1" x14ac:dyDescent="0.25">
      <c r="A10" s="1"/>
      <c r="B10" s="94" t="s">
        <v>64</v>
      </c>
      <c r="C10" s="95"/>
      <c r="D10" s="96"/>
      <c r="E10" s="7">
        <v>0</v>
      </c>
      <c r="F10" s="8" t="s">
        <v>3</v>
      </c>
      <c r="G10" s="1"/>
    </row>
    <row r="11" spans="1:7" ht="15" customHeight="1" x14ac:dyDescent="0.25">
      <c r="A11" s="1"/>
      <c r="B11" s="94" t="s">
        <v>65</v>
      </c>
      <c r="C11" s="95"/>
      <c r="D11" s="96"/>
      <c r="E11" s="9">
        <v>349487.17509999999</v>
      </c>
      <c r="F11" s="8" t="s">
        <v>3</v>
      </c>
      <c r="G11" s="1"/>
    </row>
    <row r="12" spans="1:7" ht="15" customHeight="1" x14ac:dyDescent="0.25">
      <c r="A12" s="1"/>
      <c r="B12" s="94" t="s">
        <v>42</v>
      </c>
      <c r="C12" s="95"/>
      <c r="D12" s="96"/>
      <c r="E12" s="9">
        <v>0</v>
      </c>
      <c r="F12" s="8" t="s">
        <v>3</v>
      </c>
      <c r="G12" s="1"/>
    </row>
    <row r="13" spans="1:7" ht="15" customHeight="1" x14ac:dyDescent="0.25">
      <c r="A13" s="1"/>
      <c r="B13" s="81" t="s">
        <v>41</v>
      </c>
      <c r="C13" s="82"/>
      <c r="D13" s="83"/>
      <c r="E13" s="9">
        <v>0</v>
      </c>
      <c r="F13" s="8" t="s">
        <v>3</v>
      </c>
      <c r="G13" s="1"/>
    </row>
    <row r="14" spans="1:7" ht="15" customHeight="1" x14ac:dyDescent="0.25">
      <c r="A14" s="1"/>
      <c r="B14" s="81" t="s">
        <v>44</v>
      </c>
      <c r="C14" s="82"/>
      <c r="D14" s="83"/>
      <c r="E14" s="9">
        <v>0</v>
      </c>
      <c r="F14" s="8" t="s">
        <v>3</v>
      </c>
      <c r="G14" s="1"/>
    </row>
    <row r="15" spans="1:7" ht="15" customHeight="1" x14ac:dyDescent="0.25">
      <c r="A15" s="1"/>
      <c r="B15" s="81" t="s">
        <v>43</v>
      </c>
      <c r="C15" s="82"/>
      <c r="D15" s="83"/>
      <c r="E15" s="9">
        <v>0</v>
      </c>
      <c r="F15" s="8" t="s">
        <v>3</v>
      </c>
      <c r="G15" s="1"/>
    </row>
    <row r="16" spans="1:7" ht="15" customHeight="1" x14ac:dyDescent="0.25">
      <c r="A16" s="1"/>
      <c r="B16" s="81" t="s">
        <v>27</v>
      </c>
      <c r="C16" s="82"/>
      <c r="D16" s="83"/>
      <c r="E16" s="9">
        <f>E9*'Fane 15. Nøgletal'!C10+SUM(E10:E15)*'Fane 15. Nøgletal'!C11</f>
        <v>2819337.231144622</v>
      </c>
      <c r="F16" s="8" t="s">
        <v>3</v>
      </c>
      <c r="G16" s="1"/>
    </row>
    <row r="17" spans="1:7" ht="15" customHeight="1" x14ac:dyDescent="0.25">
      <c r="A17" s="1"/>
      <c r="B17" s="81" t="s">
        <v>10</v>
      </c>
      <c r="C17" s="82"/>
      <c r="D17" s="83"/>
      <c r="E17" s="9">
        <f>-SUM(E9:E16)*'Fane 5. Individuelt eff. krav'!G10</f>
        <v>-352418.97522761428</v>
      </c>
      <c r="F17" s="8" t="s">
        <v>3</v>
      </c>
      <c r="G17" s="1"/>
    </row>
    <row r="18" spans="1:7" ht="15" customHeight="1" x14ac:dyDescent="0.25">
      <c r="A18" s="1"/>
      <c r="B18" s="81" t="s">
        <v>39</v>
      </c>
      <c r="C18" s="82"/>
      <c r="D18" s="83"/>
      <c r="E18" s="9">
        <f>-'Fane 4.1. Gen. krav - drift'!G22</f>
        <v>-1012375.8069872488</v>
      </c>
      <c r="F18" s="8" t="s">
        <v>3</v>
      </c>
      <c r="G18" s="1"/>
    </row>
    <row r="19" spans="1:7" ht="15" customHeight="1" x14ac:dyDescent="0.25">
      <c r="A19" s="1"/>
      <c r="B19" s="81" t="s">
        <v>40</v>
      </c>
      <c r="C19" s="82"/>
      <c r="D19" s="83"/>
      <c r="E19" s="9">
        <f>-'Fane 4.2. Gen. krav - anlæg'!G19</f>
        <v>-2018080.1234013403</v>
      </c>
      <c r="F19" s="8" t="s">
        <v>3</v>
      </c>
      <c r="G19" s="1"/>
    </row>
    <row r="20" spans="1:7" ht="15" customHeight="1" x14ac:dyDescent="0.25">
      <c r="A20" s="1"/>
      <c r="B20" s="50" t="s">
        <v>29</v>
      </c>
      <c r="C20" s="51"/>
      <c r="D20" s="52"/>
      <c r="E20" s="10">
        <f>SUM(E9:E19)</f>
        <v>160553429.37979591</v>
      </c>
      <c r="F20" s="11" t="s">
        <v>3</v>
      </c>
      <c r="G20" s="1"/>
    </row>
    <row r="21" spans="1:7" ht="15" customHeight="1" x14ac:dyDescent="0.25">
      <c r="A21" s="1"/>
      <c r="B21" s="84" t="s">
        <v>145</v>
      </c>
      <c r="C21" s="85"/>
      <c r="D21" s="85"/>
      <c r="E21" s="85"/>
      <c r="F21" s="86"/>
      <c r="G21" s="1"/>
    </row>
    <row r="22" spans="1:7" ht="15" customHeight="1" x14ac:dyDescent="0.25">
      <c r="A22" s="1"/>
      <c r="B22" s="81" t="s">
        <v>239</v>
      </c>
      <c r="C22" s="82"/>
      <c r="D22" s="83"/>
      <c r="E22" s="44">
        <v>4018367.9800000004</v>
      </c>
      <c r="F22" s="8" t="s">
        <v>3</v>
      </c>
      <c r="G22" s="1"/>
    </row>
    <row r="23" spans="1:7" ht="15" customHeight="1" x14ac:dyDescent="0.25">
      <c r="A23" s="1"/>
      <c r="B23" s="81" t="s">
        <v>238</v>
      </c>
      <c r="C23" s="82"/>
      <c r="D23" s="83"/>
      <c r="E23" s="44">
        <f>-E22*('Fane 15. Nøgletal'!C25+'Fane 5. Individuelt eff. krav'!G10)</f>
        <v>-89005.770303303114</v>
      </c>
      <c r="F23" s="8" t="s">
        <v>3</v>
      </c>
      <c r="G23" s="1"/>
    </row>
    <row r="24" spans="1:7" ht="15" customHeight="1" x14ac:dyDescent="0.25">
      <c r="A24" s="1"/>
      <c r="B24" s="87" t="s">
        <v>240</v>
      </c>
      <c r="C24" s="88"/>
      <c r="D24" s="89"/>
      <c r="E24" s="10">
        <f>SUM(E22:E23)</f>
        <v>3929362.2096966975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87" t="s">
        <v>17</v>
      </c>
      <c r="C26" s="88"/>
      <c r="D26" s="89"/>
      <c r="E26" s="10">
        <v>13945058.060543368</v>
      </c>
      <c r="F26" s="11" t="s">
        <v>3</v>
      </c>
      <c r="G26" s="1"/>
    </row>
    <row r="27" spans="1:7" x14ac:dyDescent="0.25">
      <c r="A27" s="1"/>
      <c r="B27" s="40" t="s">
        <v>80</v>
      </c>
      <c r="C27" s="34"/>
      <c r="D27" s="34"/>
      <c r="E27" s="34"/>
      <c r="F27" s="22"/>
      <c r="G27" s="1"/>
    </row>
    <row r="28" spans="1:7" ht="27" customHeight="1" x14ac:dyDescent="0.25">
      <c r="A28" s="1"/>
      <c r="B28" s="90" t="s">
        <v>134</v>
      </c>
      <c r="C28" s="91"/>
      <c r="D28" s="92"/>
      <c r="E28" s="10">
        <v>-30765231.250443004</v>
      </c>
      <c r="F28" s="11" t="s">
        <v>3</v>
      </c>
      <c r="G28" s="1"/>
    </row>
    <row r="29" spans="1:7" x14ac:dyDescent="0.25">
      <c r="A29" s="1"/>
      <c r="B29" s="40" t="s">
        <v>11</v>
      </c>
      <c r="C29" s="34"/>
      <c r="D29" s="34"/>
      <c r="E29" s="34"/>
      <c r="F29" s="22"/>
      <c r="G29" s="1"/>
    </row>
    <row r="30" spans="1:7" ht="15" customHeight="1" x14ac:dyDescent="0.25">
      <c r="A30" s="1"/>
      <c r="B30" s="90" t="s">
        <v>19</v>
      </c>
      <c r="C30" s="91"/>
      <c r="D30" s="92"/>
      <c r="E30" s="10">
        <v>1973833</v>
      </c>
      <c r="F30" s="11" t="s">
        <v>3</v>
      </c>
      <c r="G30" s="1"/>
    </row>
    <row r="31" spans="1:7" x14ac:dyDescent="0.25">
      <c r="A31" s="1"/>
      <c r="B31" s="84" t="s">
        <v>24</v>
      </c>
      <c r="C31" s="85"/>
      <c r="D31" s="86"/>
      <c r="E31" s="12">
        <f>SUM(E30,E28,E26,E20,E24)</f>
        <v>149636451.399593</v>
      </c>
      <c r="F31" s="13" t="s">
        <v>3</v>
      </c>
      <c r="G31" s="1"/>
    </row>
    <row r="32" spans="1:7" ht="27" customHeight="1" x14ac:dyDescent="0.25">
      <c r="A32" s="1"/>
      <c r="B32" s="81" t="s">
        <v>208</v>
      </c>
      <c r="C32" s="82"/>
      <c r="D32" s="82"/>
      <c r="E32" s="82"/>
      <c r="F32" s="83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N25mkjVNDspZYaG5kMK6567FndQTWN80V+JyW+azMSTR+AdDM0fxKT/okDpLMOPCrxZmcxSxmcqFEC0+omrBRA==" saltValue="ZR0B8pyhUa/icJbBr8iPwg==" spinCount="100000" sheet="1" objects="1" scenarios="1"/>
  <mergeCells count="21">
    <mergeCell ref="B32:F32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28:D28"/>
    <mergeCell ref="B31:D31"/>
    <mergeCell ref="B22:D22"/>
    <mergeCell ref="B23:D23"/>
    <mergeCell ref="B21:F21"/>
    <mergeCell ref="B24:D24"/>
    <mergeCell ref="B30:D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79" t="s">
        <v>218</v>
      </c>
      <c r="C2" s="79"/>
      <c r="D2" s="79"/>
      <c r="E2" s="79"/>
      <c r="F2" s="79"/>
      <c r="G2" s="79"/>
      <c r="H2" s="79"/>
      <c r="I2" s="1"/>
    </row>
    <row r="3" spans="1:9" ht="15" customHeight="1" x14ac:dyDescent="0.25">
      <c r="A3" s="1"/>
      <c r="B3" s="79"/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84" t="s">
        <v>94</v>
      </c>
      <c r="C5" s="85"/>
      <c r="D5" s="85"/>
      <c r="E5" s="85"/>
      <c r="F5" s="85"/>
      <c r="G5" s="85"/>
      <c r="H5" s="86"/>
      <c r="I5" s="1"/>
    </row>
    <row r="6" spans="1:9" x14ac:dyDescent="0.25">
      <c r="A6" s="1"/>
      <c r="B6" s="97" t="s">
        <v>83</v>
      </c>
      <c r="C6" s="98"/>
      <c r="D6" s="98"/>
      <c r="E6" s="98"/>
      <c r="F6" s="99"/>
      <c r="G6" s="26">
        <v>51602080.977207959</v>
      </c>
      <c r="H6" s="14" t="s">
        <v>3</v>
      </c>
      <c r="I6" s="1"/>
    </row>
    <row r="7" spans="1:9" x14ac:dyDescent="0.25">
      <c r="A7" s="1"/>
      <c r="B7" s="81" t="s">
        <v>242</v>
      </c>
      <c r="C7" s="82"/>
      <c r="D7" s="82"/>
      <c r="E7" s="82"/>
      <c r="F7" s="83"/>
      <c r="G7" s="26">
        <v>4800901</v>
      </c>
      <c r="H7" s="14" t="s">
        <v>3</v>
      </c>
      <c r="I7" s="1"/>
    </row>
    <row r="8" spans="1:9" x14ac:dyDescent="0.25">
      <c r="A8" s="1"/>
      <c r="B8" s="97" t="s">
        <v>84</v>
      </c>
      <c r="C8" s="98"/>
      <c r="D8" s="98"/>
      <c r="E8" s="98"/>
      <c r="F8" s="99"/>
      <c r="G8" s="26">
        <f>SUM(G6:G7)*'Fane 15. Nøgletal'!C25</f>
        <v>1128059.6395441592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84" t="s">
        <v>95</v>
      </c>
      <c r="C11" s="85"/>
      <c r="D11" s="85"/>
      <c r="E11" s="85"/>
      <c r="F11" s="85"/>
      <c r="G11" s="85"/>
      <c r="H11" s="86"/>
      <c r="I11" s="1"/>
    </row>
    <row r="12" spans="1:9" x14ac:dyDescent="0.25">
      <c r="A12" s="1"/>
      <c r="B12" s="97" t="s">
        <v>85</v>
      </c>
      <c r="C12" s="98"/>
      <c r="D12" s="98"/>
      <c r="E12" s="98"/>
      <c r="F12" s="99"/>
      <c r="G12" s="26">
        <f>(G6-G8)*(1+'Fane 15. Nøgletal'!C10)</f>
        <v>51357316.711072922</v>
      </c>
      <c r="H12" s="14" t="s">
        <v>3</v>
      </c>
      <c r="I12" s="1"/>
    </row>
    <row r="13" spans="1:9" x14ac:dyDescent="0.25">
      <c r="A13" s="1"/>
      <c r="B13" s="97" t="s">
        <v>244</v>
      </c>
      <c r="C13" s="98"/>
      <c r="D13" s="98"/>
      <c r="E13" s="98"/>
      <c r="F13" s="99"/>
      <c r="G13" s="26">
        <v>-513253.43180909799</v>
      </c>
      <c r="H13" s="14" t="s">
        <v>3</v>
      </c>
      <c r="I13" s="1"/>
    </row>
    <row r="14" spans="1:9" ht="15" customHeight="1" x14ac:dyDescent="0.25">
      <c r="A14" s="1"/>
      <c r="B14" s="81" t="s">
        <v>237</v>
      </c>
      <c r="C14" s="82"/>
      <c r="D14" s="82"/>
      <c r="E14" s="82"/>
      <c r="F14" s="83"/>
      <c r="G14" s="26">
        <v>3949255.5064120484</v>
      </c>
      <c r="H14" s="14" t="s">
        <v>3</v>
      </c>
      <c r="I14" s="1"/>
    </row>
    <row r="15" spans="1:9" x14ac:dyDescent="0.25">
      <c r="A15" s="1"/>
      <c r="B15" s="100" t="s">
        <v>86</v>
      </c>
      <c r="C15" s="101"/>
      <c r="D15" s="101"/>
      <c r="E15" s="101"/>
      <c r="F15" s="102"/>
      <c r="G15" s="26">
        <v>0</v>
      </c>
      <c r="H15" s="14" t="s">
        <v>3</v>
      </c>
      <c r="I15" s="1"/>
    </row>
    <row r="16" spans="1:9" x14ac:dyDescent="0.25">
      <c r="A16" s="1"/>
      <c r="B16" s="97" t="s">
        <v>87</v>
      </c>
      <c r="C16" s="98"/>
      <c r="D16" s="98"/>
      <c r="E16" s="98"/>
      <c r="F16" s="99"/>
      <c r="G16" s="26">
        <f>SUM(G12:G15)*'Fane 15. Nøgletal'!C25</f>
        <v>1095866.3757135174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84" t="s">
        <v>96</v>
      </c>
      <c r="C19" s="85"/>
      <c r="D19" s="85"/>
      <c r="E19" s="85"/>
      <c r="F19" s="85"/>
      <c r="G19" s="85"/>
      <c r="H19" s="86"/>
      <c r="I19" s="1"/>
    </row>
    <row r="20" spans="1:9" x14ac:dyDescent="0.25">
      <c r="A20" s="1"/>
      <c r="B20" s="97" t="s">
        <v>88</v>
      </c>
      <c r="C20" s="98"/>
      <c r="D20" s="98"/>
      <c r="E20" s="98"/>
      <c r="F20" s="99"/>
      <c r="G20" s="26">
        <f>(SUM(G12:G13,G15)-(G16))*(1+'Fane 15. Nøgletal'!C10)</f>
        <v>50618790.34936244</v>
      </c>
      <c r="H20" s="14" t="s">
        <v>3</v>
      </c>
      <c r="I20" s="1"/>
    </row>
    <row r="21" spans="1:9" x14ac:dyDescent="0.25">
      <c r="A21" s="1"/>
      <c r="B21" s="100" t="s">
        <v>89</v>
      </c>
      <c r="C21" s="101"/>
      <c r="D21" s="101"/>
      <c r="E21" s="101"/>
      <c r="F21" s="102"/>
      <c r="G21" s="26">
        <v>0</v>
      </c>
      <c r="H21" s="14" t="s">
        <v>3</v>
      </c>
      <c r="I21" s="1"/>
    </row>
    <row r="22" spans="1:9" x14ac:dyDescent="0.25">
      <c r="A22" s="1"/>
      <c r="B22" s="97" t="s">
        <v>90</v>
      </c>
      <c r="C22" s="98"/>
      <c r="D22" s="98"/>
      <c r="E22" s="98"/>
      <c r="F22" s="99"/>
      <c r="G22" s="26">
        <f>SUM(G20:G21)*'Fane 15. Nøgletal'!C25</f>
        <v>1012375.8069872488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84" t="s">
        <v>97</v>
      </c>
      <c r="C25" s="85"/>
      <c r="D25" s="85"/>
      <c r="E25" s="85"/>
      <c r="F25" s="85"/>
      <c r="G25" s="85"/>
      <c r="H25" s="86"/>
      <c r="I25" s="1"/>
    </row>
    <row r="26" spans="1:9" x14ac:dyDescent="0.25">
      <c r="A26" s="1"/>
      <c r="B26" s="97" t="s">
        <v>91</v>
      </c>
      <c r="C26" s="98"/>
      <c r="D26" s="98"/>
      <c r="E26" s="98"/>
      <c r="F26" s="99"/>
      <c r="G26" s="26">
        <f>(G20+G21-G22)*(1+'Fane 15. Nøgletal'!C12)</f>
        <v>50583660.908859983</v>
      </c>
      <c r="H26" s="14" t="s">
        <v>3</v>
      </c>
      <c r="I26" s="1"/>
    </row>
    <row r="27" spans="1:9" x14ac:dyDescent="0.25">
      <c r="A27" s="1"/>
      <c r="B27" s="100" t="s">
        <v>92</v>
      </c>
      <c r="C27" s="101"/>
      <c r="D27" s="101"/>
      <c r="E27" s="101"/>
      <c r="F27" s="102"/>
      <c r="G27" s="26">
        <f>('Fane 2.1. Økonomisk ramme 2020'!C10+'Fane 2.1. Økonomisk ramme 2020'!C12+'Fane 2.1. Økonomisk ramme 2020'!C14)*(1+'Fane 15. Nøgletal'!C12)</f>
        <v>0</v>
      </c>
      <c r="H27" s="14" t="s">
        <v>3</v>
      </c>
      <c r="I27" s="1"/>
    </row>
    <row r="28" spans="1:9" x14ac:dyDescent="0.25">
      <c r="A28" s="1"/>
      <c r="B28" s="97" t="s">
        <v>93</v>
      </c>
      <c r="C28" s="98"/>
      <c r="D28" s="98"/>
      <c r="E28" s="98"/>
      <c r="F28" s="99"/>
      <c r="G28" s="26">
        <f>(G26+G27)*'Fane 15. Nøgletal'!C25</f>
        <v>1011673.2181771997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84" t="s">
        <v>100</v>
      </c>
      <c r="C31" s="85"/>
      <c r="D31" s="85"/>
      <c r="E31" s="85"/>
      <c r="F31" s="85"/>
      <c r="G31" s="85"/>
      <c r="H31" s="86"/>
      <c r="I31" s="1"/>
    </row>
    <row r="32" spans="1:9" x14ac:dyDescent="0.25">
      <c r="A32" s="1"/>
      <c r="B32" s="97" t="s">
        <v>101</v>
      </c>
      <c r="C32" s="98"/>
      <c r="D32" s="98"/>
      <c r="E32" s="98"/>
      <c r="F32" s="99"/>
      <c r="G32" s="26">
        <f>(G26+G27-G28)*(1+'Fane 15. Nøgletal'!C12)</f>
        <v>50548555.848189235</v>
      </c>
      <c r="H32" s="14" t="s">
        <v>3</v>
      </c>
      <c r="I32" s="1"/>
    </row>
    <row r="33" spans="1:9" x14ac:dyDescent="0.25">
      <c r="A33" s="1"/>
      <c r="B33" s="97" t="s">
        <v>149</v>
      </c>
      <c r="C33" s="98"/>
      <c r="D33" s="98"/>
      <c r="E33" s="98"/>
      <c r="F33" s="99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97" t="s">
        <v>102</v>
      </c>
      <c r="C34" s="98"/>
      <c r="D34" s="98"/>
      <c r="E34" s="98"/>
      <c r="F34" s="99"/>
      <c r="G34" s="26">
        <f>(G32+G33)*'Fane 15. Nøgletal'!C25</f>
        <v>1010971.1169637847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84" t="s">
        <v>127</v>
      </c>
      <c r="C37" s="85"/>
      <c r="D37" s="85"/>
      <c r="E37" s="85"/>
      <c r="F37" s="85"/>
      <c r="G37" s="85"/>
      <c r="H37" s="86"/>
      <c r="I37" s="1"/>
    </row>
    <row r="38" spans="1:9" x14ac:dyDescent="0.25">
      <c r="A38" s="1"/>
      <c r="B38" s="97" t="s">
        <v>126</v>
      </c>
      <c r="C38" s="98"/>
      <c r="D38" s="98"/>
      <c r="E38" s="98"/>
      <c r="F38" s="99"/>
      <c r="G38" s="26">
        <f>(G32-G34)*(1+'Fane 15. Nøgletal'!C12)</f>
        <v>50513475.150430597</v>
      </c>
      <c r="H38" s="14" t="s">
        <v>3</v>
      </c>
      <c r="I38" s="1"/>
    </row>
    <row r="39" spans="1:9" x14ac:dyDescent="0.25">
      <c r="A39" s="1"/>
      <c r="B39" s="97" t="s">
        <v>150</v>
      </c>
      <c r="C39" s="98"/>
      <c r="D39" s="98"/>
      <c r="E39" s="98"/>
      <c r="F39" s="99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97" t="s">
        <v>103</v>
      </c>
      <c r="C40" s="98"/>
      <c r="D40" s="98"/>
      <c r="E40" s="98"/>
      <c r="F40" s="99"/>
      <c r="G40" s="26">
        <f>(G38+G39)*'Fane 15. Nøgletal'!C25</f>
        <v>1010269.503008612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84" t="s">
        <v>128</v>
      </c>
      <c r="C43" s="85"/>
      <c r="D43" s="85"/>
      <c r="E43" s="85"/>
      <c r="F43" s="85"/>
      <c r="G43" s="85"/>
      <c r="H43" s="86"/>
      <c r="I43" s="1"/>
    </row>
    <row r="44" spans="1:9" x14ac:dyDescent="0.25">
      <c r="A44" s="1"/>
      <c r="B44" s="97" t="s">
        <v>125</v>
      </c>
      <c r="C44" s="98"/>
      <c r="D44" s="98"/>
      <c r="E44" s="98"/>
      <c r="F44" s="99"/>
      <c r="G44" s="26">
        <f>(G38-G40)*(1+'Fane 15. Nøgletal'!C12)</f>
        <v>50478418.7986762</v>
      </c>
      <c r="H44" s="14" t="s">
        <v>3</v>
      </c>
      <c r="I44" s="1"/>
    </row>
    <row r="45" spans="1:9" x14ac:dyDescent="0.25">
      <c r="A45" s="1"/>
      <c r="B45" s="97" t="s">
        <v>151</v>
      </c>
      <c r="C45" s="98"/>
      <c r="D45" s="98"/>
      <c r="E45" s="98"/>
      <c r="F45" s="99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97" t="s">
        <v>104</v>
      </c>
      <c r="C46" s="98"/>
      <c r="D46" s="98"/>
      <c r="E46" s="98"/>
      <c r="F46" s="99"/>
      <c r="G46" s="26">
        <f>(G44+G45)*'Fane 15. Nøgletal'!C25</f>
        <v>1009568.3759735241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aYrlbDc4Ww+uCJaY/DDCUH2Y5cyxyXK4G569wB/x7puRNiYLeS3Q8t332C2gJoUP/AfCX9YswLctExAr4WgyXg==" saltValue="GQREZ5KuUfeTQvdU4cd8BQ==" spinCount="100000" sheet="1" objects="1" scenarios="1"/>
  <mergeCells count="31">
    <mergeCell ref="B2:H4"/>
    <mergeCell ref="B5:H5"/>
    <mergeCell ref="B6:F6"/>
    <mergeCell ref="B8:F8"/>
    <mergeCell ref="B12:F12"/>
    <mergeCell ref="B11:H11"/>
    <mergeCell ref="B7:F7"/>
    <mergeCell ref="B44:F44"/>
    <mergeCell ref="B46:F46"/>
    <mergeCell ref="B39:F39"/>
    <mergeCell ref="B45:F45"/>
    <mergeCell ref="B40:F40"/>
    <mergeCell ref="B38:F38"/>
    <mergeCell ref="B33:F33"/>
    <mergeCell ref="B34:F34"/>
    <mergeCell ref="B25:H25"/>
    <mergeCell ref="B43:H43"/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3" t="s">
        <v>219</v>
      </c>
      <c r="C2" s="103"/>
      <c r="D2" s="103"/>
      <c r="E2" s="103"/>
      <c r="F2" s="103"/>
      <c r="G2" s="103"/>
      <c r="H2" s="103"/>
      <c r="I2" s="1"/>
    </row>
    <row r="3" spans="1:9" ht="18.75" x14ac:dyDescent="0.3">
      <c r="A3" s="1"/>
      <c r="B3" s="56"/>
      <c r="C3" s="56"/>
      <c r="D3" s="56"/>
      <c r="E3" s="56"/>
      <c r="F3" s="56"/>
      <c r="G3" s="56"/>
      <c r="H3" s="56"/>
      <c r="I3" s="1"/>
    </row>
    <row r="4" spans="1:9" x14ac:dyDescent="0.25">
      <c r="A4" s="1"/>
      <c r="B4" s="84" t="s">
        <v>98</v>
      </c>
      <c r="C4" s="85"/>
      <c r="D4" s="85"/>
      <c r="E4" s="85"/>
      <c r="F4" s="85"/>
      <c r="G4" s="85"/>
      <c r="H4" s="86"/>
      <c r="I4" s="1"/>
    </row>
    <row r="5" spans="1:9" x14ac:dyDescent="0.25">
      <c r="A5" s="1"/>
      <c r="B5" s="97" t="s">
        <v>105</v>
      </c>
      <c r="C5" s="98"/>
      <c r="D5" s="98"/>
      <c r="E5" s="98"/>
      <c r="F5" s="99"/>
      <c r="G5" s="26">
        <v>111781472</v>
      </c>
      <c r="H5" s="14" t="s">
        <v>3</v>
      </c>
      <c r="I5" s="1"/>
    </row>
    <row r="6" spans="1:9" x14ac:dyDescent="0.25">
      <c r="A6" s="1"/>
      <c r="B6" s="97" t="s">
        <v>99</v>
      </c>
      <c r="C6" s="98"/>
      <c r="D6" s="98"/>
      <c r="E6" s="98"/>
      <c r="F6" s="99"/>
      <c r="G6" s="26">
        <f>G5*'Fane 15. Nøgletal'!C17</f>
        <v>1017211.3952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84" t="s">
        <v>106</v>
      </c>
      <c r="C9" s="85"/>
      <c r="D9" s="85"/>
      <c r="E9" s="85"/>
      <c r="F9" s="85"/>
      <c r="G9" s="85"/>
      <c r="H9" s="86"/>
      <c r="I9" s="1"/>
    </row>
    <row r="10" spans="1:9" x14ac:dyDescent="0.25">
      <c r="A10" s="1"/>
      <c r="B10" s="97" t="s">
        <v>107</v>
      </c>
      <c r="C10" s="98"/>
      <c r="D10" s="98"/>
      <c r="E10" s="98"/>
      <c r="F10" s="99"/>
      <c r="G10" s="26">
        <f>(G5-G6)*(1+'Fane 15. Nøgletal'!C10)</f>
        <v>112702635.16538401</v>
      </c>
      <c r="H10" s="14" t="s">
        <v>3</v>
      </c>
      <c r="I10" s="1"/>
    </row>
    <row r="11" spans="1:9" x14ac:dyDescent="0.25">
      <c r="A11" s="1"/>
      <c r="B11" s="97" t="s">
        <v>245</v>
      </c>
      <c r="C11" s="98"/>
      <c r="D11" s="98"/>
      <c r="E11" s="98"/>
      <c r="F11" s="99"/>
      <c r="G11" s="26">
        <v>1196566.1885861347</v>
      </c>
      <c r="H11" s="14" t="s">
        <v>3</v>
      </c>
      <c r="I11" s="1"/>
    </row>
    <row r="12" spans="1:9" x14ac:dyDescent="0.25">
      <c r="A12" s="1"/>
      <c r="B12" s="100" t="s">
        <v>108</v>
      </c>
      <c r="C12" s="101"/>
      <c r="D12" s="101"/>
      <c r="E12" s="101"/>
      <c r="F12" s="102"/>
      <c r="G12" s="26">
        <v>0</v>
      </c>
      <c r="H12" s="14" t="s">
        <v>3</v>
      </c>
      <c r="I12" s="1"/>
    </row>
    <row r="13" spans="1:9" x14ac:dyDescent="0.25">
      <c r="A13" s="1"/>
      <c r="B13" s="97" t="s">
        <v>109</v>
      </c>
      <c r="C13" s="98"/>
      <c r="D13" s="98"/>
      <c r="E13" s="98"/>
      <c r="F13" s="99"/>
      <c r="G13" s="26">
        <f>SUM(G10:G12)*'Fane 15. Nøgletal'!C18</f>
        <v>2016015.8639652715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84" t="s">
        <v>110</v>
      </c>
      <c r="C16" s="85"/>
      <c r="D16" s="85"/>
      <c r="E16" s="85"/>
      <c r="F16" s="85"/>
      <c r="G16" s="85"/>
      <c r="H16" s="86"/>
      <c r="I16" s="1"/>
    </row>
    <row r="17" spans="1:9" x14ac:dyDescent="0.25">
      <c r="A17" s="1"/>
      <c r="B17" s="97" t="s">
        <v>111</v>
      </c>
      <c r="C17" s="98"/>
      <c r="D17" s="98"/>
      <c r="E17" s="98"/>
      <c r="F17" s="99"/>
      <c r="G17" s="26">
        <f>(SUM(G10:G12)-G13)*(1+'Fane 15. Nøgletal'!C10)</f>
        <v>113841141.23607996</v>
      </c>
      <c r="H17" s="14" t="s">
        <v>3</v>
      </c>
      <c r="I17" s="1"/>
    </row>
    <row r="18" spans="1:9" x14ac:dyDescent="0.25">
      <c r="A18" s="1"/>
      <c r="B18" s="100" t="s">
        <v>112</v>
      </c>
      <c r="C18" s="101"/>
      <c r="D18" s="101"/>
      <c r="E18" s="101"/>
      <c r="F18" s="102"/>
      <c r="G18" s="26">
        <v>355393.5083591899</v>
      </c>
      <c r="H18" s="14" t="s">
        <v>3</v>
      </c>
      <c r="I18" s="1"/>
    </row>
    <row r="19" spans="1:9" x14ac:dyDescent="0.25">
      <c r="A19" s="1"/>
      <c r="B19" s="97" t="s">
        <v>113</v>
      </c>
      <c r="C19" s="98"/>
      <c r="D19" s="98"/>
      <c r="E19" s="98"/>
      <c r="F19" s="99"/>
      <c r="G19" s="26">
        <f>G17*'Fane 15. Nøgletal'!C18+G18*'Fane 15. Nøgletal'!C19</f>
        <v>2018080.1234013403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84" t="s">
        <v>114</v>
      </c>
      <c r="C22" s="85"/>
      <c r="D22" s="85"/>
      <c r="E22" s="85"/>
      <c r="F22" s="85"/>
      <c r="G22" s="85"/>
      <c r="H22" s="86"/>
      <c r="I22" s="1"/>
    </row>
    <row r="23" spans="1:9" x14ac:dyDescent="0.25">
      <c r="A23" s="1"/>
      <c r="B23" s="97" t="s">
        <v>115</v>
      </c>
      <c r="C23" s="98"/>
      <c r="D23" s="98"/>
      <c r="E23" s="98"/>
      <c r="F23" s="99"/>
      <c r="G23" s="26">
        <f>(G17+G18-G19)*(1+'Fane 15. Nøgletal'!C12)</f>
        <v>114388370.17707226</v>
      </c>
      <c r="H23" s="14" t="s">
        <v>3</v>
      </c>
      <c r="I23" s="1"/>
    </row>
    <row r="24" spans="1:9" x14ac:dyDescent="0.25">
      <c r="A24" s="1"/>
      <c r="B24" s="100" t="s">
        <v>116</v>
      </c>
      <c r="C24" s="101"/>
      <c r="D24" s="101"/>
      <c r="E24" s="101"/>
      <c r="F24" s="102"/>
      <c r="G24" s="26">
        <f>('Fane 2.1. Økonomisk ramme 2020'!C11+'Fane 2.1. Økonomisk ramme 2020'!C13+'Fane 2.1. Økonomisk ramme 2020'!C15)*(1+'Fane 15. Nøgletal'!C12)</f>
        <v>18963.655185420001</v>
      </c>
      <c r="H24" s="14" t="s">
        <v>3</v>
      </c>
      <c r="I24" s="1"/>
    </row>
    <row r="25" spans="1:9" x14ac:dyDescent="0.25">
      <c r="A25" s="1"/>
      <c r="B25" s="97" t="s">
        <v>117</v>
      </c>
      <c r="C25" s="98"/>
      <c r="D25" s="98"/>
      <c r="E25" s="98"/>
      <c r="F25" s="99"/>
      <c r="G25" s="26">
        <f>(G23+G24)*'Fane 15. Nøgletal'!C20</f>
        <v>3249168.2808361179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84" t="s">
        <v>118</v>
      </c>
      <c r="C28" s="85"/>
      <c r="D28" s="85"/>
      <c r="E28" s="85"/>
      <c r="F28" s="85"/>
      <c r="G28" s="85"/>
      <c r="H28" s="86"/>
      <c r="I28" s="1"/>
    </row>
    <row r="29" spans="1:9" x14ac:dyDescent="0.25">
      <c r="A29" s="1"/>
      <c r="B29" s="97" t="s">
        <v>119</v>
      </c>
      <c r="C29" s="98"/>
      <c r="D29" s="98"/>
      <c r="E29" s="98"/>
      <c r="F29" s="99"/>
      <c r="G29" s="26">
        <f>(G23+G24-G25)*(1+'Fane 15. Nøgletal'!C12)</f>
        <v>113347981.41278456</v>
      </c>
      <c r="H29" s="14" t="s">
        <v>3</v>
      </c>
      <c r="I29" s="1"/>
    </row>
    <row r="30" spans="1:9" x14ac:dyDescent="0.25">
      <c r="A30" s="1"/>
      <c r="B30" s="97" t="s">
        <v>155</v>
      </c>
      <c r="C30" s="98"/>
      <c r="D30" s="98"/>
      <c r="E30" s="98"/>
      <c r="F30" s="99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97" t="s">
        <v>120</v>
      </c>
      <c r="C31" s="98"/>
      <c r="D31" s="98"/>
      <c r="E31" s="98"/>
      <c r="F31" s="99"/>
      <c r="G31" s="26">
        <f>(G29+G30)*'Fane 15. Nøgletal'!C20</f>
        <v>3219082.6721230815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84" t="s">
        <v>129</v>
      </c>
      <c r="C34" s="85"/>
      <c r="D34" s="85"/>
      <c r="E34" s="85"/>
      <c r="F34" s="85"/>
      <c r="G34" s="85"/>
      <c r="H34" s="86"/>
      <c r="I34" s="1"/>
    </row>
    <row r="35" spans="1:9" x14ac:dyDescent="0.25">
      <c r="A35" s="1"/>
      <c r="B35" s="97" t="s">
        <v>124</v>
      </c>
      <c r="C35" s="98"/>
      <c r="D35" s="98"/>
      <c r="E35" s="98"/>
      <c r="F35" s="99"/>
      <c r="G35" s="26">
        <f>(G29+G30-G31)*(1+'Fane 15. Nøgletal'!C12)</f>
        <v>112298438.04585253</v>
      </c>
      <c r="H35" s="14" t="s">
        <v>3</v>
      </c>
      <c r="I35" s="1"/>
    </row>
    <row r="36" spans="1:9" x14ac:dyDescent="0.25">
      <c r="A36" s="1"/>
      <c r="B36" s="97" t="s">
        <v>156</v>
      </c>
      <c r="C36" s="98"/>
      <c r="D36" s="98"/>
      <c r="E36" s="98"/>
      <c r="F36" s="99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97" t="s">
        <v>121</v>
      </c>
      <c r="C37" s="98"/>
      <c r="D37" s="98"/>
      <c r="E37" s="98"/>
      <c r="F37" s="99"/>
      <c r="G37" s="26">
        <f>(G35+G36)*'Fane 15. Nøgletal'!C20</f>
        <v>3189275.6405022121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84" t="s">
        <v>130</v>
      </c>
      <c r="C40" s="85"/>
      <c r="D40" s="85"/>
      <c r="E40" s="85"/>
      <c r="F40" s="85"/>
      <c r="G40" s="85"/>
      <c r="H40" s="86"/>
      <c r="I40" s="1"/>
    </row>
    <row r="41" spans="1:9" x14ac:dyDescent="0.25">
      <c r="A41" s="1"/>
      <c r="B41" s="97" t="s">
        <v>123</v>
      </c>
      <c r="C41" s="98"/>
      <c r="D41" s="98"/>
      <c r="E41" s="98"/>
      <c r="F41" s="99"/>
      <c r="G41" s="26">
        <f>(G35+G36-G37)*(1+'Fane 15. Nøgletal'!C12)</f>
        <v>111258612.90473571</v>
      </c>
      <c r="H41" s="14" t="s">
        <v>3</v>
      </c>
      <c r="I41" s="1"/>
    </row>
    <row r="42" spans="1:9" x14ac:dyDescent="0.25">
      <c r="A42" s="1"/>
      <c r="B42" s="97" t="s">
        <v>157</v>
      </c>
      <c r="C42" s="98"/>
      <c r="D42" s="98"/>
      <c r="E42" s="98"/>
      <c r="F42" s="99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97" t="s">
        <v>122</v>
      </c>
      <c r="C43" s="98"/>
      <c r="D43" s="98"/>
      <c r="E43" s="98"/>
      <c r="F43" s="99"/>
      <c r="G43" s="26">
        <f>(G41+G42)*'Fane 15. Nøgletal'!C20</f>
        <v>3159744.6064944942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CPwl8e+pugJZFeXmhz6bqTyk8sqm8LtPfhv1VMGOnEJkYrKZuy5TMUFdx3OaX7nNTvS5uY4x3Cek+69qSACbnQ==" saltValue="FnwbvoxblqfcsxXpqhQ3qg==" spinCount="100000" sheet="1" objects="1" scenarios="1"/>
  <mergeCells count="29"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148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4" t="s">
        <v>10</v>
      </c>
      <c r="C8" s="85"/>
      <c r="D8" s="85"/>
      <c r="E8" s="85"/>
      <c r="F8" s="85"/>
      <c r="G8" s="85"/>
      <c r="H8" s="86"/>
      <c r="I8" s="1"/>
    </row>
    <row r="9" spans="1:9" x14ac:dyDescent="0.25">
      <c r="A9" s="1"/>
      <c r="B9" s="97" t="s">
        <v>131</v>
      </c>
      <c r="C9" s="98"/>
      <c r="D9" s="98"/>
      <c r="E9" s="98"/>
      <c r="F9" s="99"/>
      <c r="G9" s="25">
        <v>3.5066698298321301E-3</v>
      </c>
      <c r="H9" s="14"/>
      <c r="I9" s="1"/>
    </row>
    <row r="10" spans="1:9" x14ac:dyDescent="0.25">
      <c r="A10" s="1"/>
      <c r="B10" s="97" t="s">
        <v>132</v>
      </c>
      <c r="C10" s="98"/>
      <c r="D10" s="98"/>
      <c r="E10" s="98"/>
      <c r="F10" s="99"/>
      <c r="G10" s="25">
        <v>2.1497311212655798E-3</v>
      </c>
      <c r="H10" s="14"/>
      <c r="I10" s="1"/>
    </row>
    <row r="11" spans="1:9" x14ac:dyDescent="0.25">
      <c r="A11" s="1"/>
      <c r="B11" s="97" t="s">
        <v>133</v>
      </c>
      <c r="C11" s="98"/>
      <c r="D11" s="98"/>
      <c r="E11" s="98"/>
      <c r="F11" s="99"/>
      <c r="G11" s="43">
        <v>5.5754753227943319E-3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4" t="s">
        <v>78</v>
      </c>
      <c r="C14" s="104"/>
      <c r="D14" s="104"/>
      <c r="E14" s="104"/>
      <c r="F14" s="104"/>
      <c r="G14" s="104"/>
      <c r="H14" s="104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pLDE39V9D6ne6Y8xHaMm2uKBj3i9CLR9uR9fKdTiJbmYK/jPagk/8dLaLXnLtCCAS3qrFLZuSjn2wZRgPRtMYg==" saltValue="ATu+rv8mISjw1N8aV8uGcQ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2019-10-15T11:09:49Z</dcterms:modified>
</cp:coreProperties>
</file>