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Bjøvlund Vandværk IS (V023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11" i="15" l="1"/>
  <c r="E9" i="23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1" i="37" s="1"/>
  <c r="C12" i="37" s="1"/>
  <c r="G11" i="11"/>
  <c r="E11" i="21" l="1"/>
  <c r="C11" i="21"/>
  <c r="E11" i="29"/>
  <c r="C11" i="29"/>
  <c r="C11" i="19"/>
  <c r="C12" i="19" s="1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1" i="37" s="1"/>
  <c r="E12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<sst xmlns="http://schemas.openxmlformats.org/spreadsheetml/2006/main" count="418" uniqueCount="161">
  <si>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</si>
  <si>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</si>
  <si>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</si>
  <si>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</si>
  <si>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</si>
  <si>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</si>
  <si>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</si>
  <si>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</si>
  <si>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</si>
  <si>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</si>
  <si>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</si>
  <si>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</si>
  <si>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</si>
  <si>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</si>
  <si>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</si>
  <si>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</si>
  <si>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</si>
  <si>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</si>
  <si>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</si>
  <si>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</si>
  <si>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</si>
  <si>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</si>
  <si>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</si>
  <si>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</si>
  <si>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</si>
  <si>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</si>
  <si>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</si>
  <si>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</si>
  <si>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</si>
  <si>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</si>
  <si>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</si>
  <si>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</si>
  <si>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</si>
  <si>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</si>
  <si>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</si>
  <si>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</si>
  <si>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</si>
  <si>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</si>
  <si>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</si>
  <si>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</si>
  <si>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</si>
  <si>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</si>
  <si>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</si>
  <si>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</si>
  <si>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</si>
  <si>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</si>
  <si>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</si>
  <si>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</si>
  <si>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</si>
  <si>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</si>
  <si>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</si>
  <si>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</si>
  <si>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</si>
  <si>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</si>
  <si>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</si>
  <si>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</si>
  <si>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</si>
  <si>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</si>
  <si>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</si>
  <si>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</si>
  <si>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</si>
  <si>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</si>
  <si>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</si>
  <si>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</si>
  <si>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</si>
  <si>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</si>
  <si>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</si>
  <si>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</si>
  <si>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</si>
  <si>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</si>
  <si>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</si>
  <si>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</si>
  <si>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</si>
  <si>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</si>
  <si>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</si>
  <si>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</si>
  <si>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</si>
  <si>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</si>
  <si>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</si>
  <si>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</si>
  <si>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</si>
  <si>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</si>
  <si>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</si>
  <si>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</si>
  <si>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</si>
  <si>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</si>
  <si>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</si>
  <si>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</si>
  <si>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</si>
  <si>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</si>
  <si>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</si>
  <si>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</si>
  <si>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</si>
  <si>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</si>
  <si>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</si>
  <si>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</si>
  <si>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</si>
  <si>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</si>
  <si>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</si>
  <si>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</si>
  <si>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</si>
  <si>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</si>
  <si>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</si>
  <si>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</si>
  <si>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</si>
  <si>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</si>
  <si>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</si>
  <si>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</si>
  <si>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</si>
  <si>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</si>
  <si>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</si>
  <si>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</si>
  <si>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</si>
  <si>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</si>
  <si>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</si>
  <si>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</si>
  <si>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</si>
  <si>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</si>
  <si>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</si>
  <si>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</si>
  <si>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</si>
  <si>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</si>
  <si>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</si>
  <si>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</si>
  <si>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</si>
  <si>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</si>
  <si>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</si>
  <si>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</si>
  <si>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</si>
  <si>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</si>
  <si>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</si>
  <si>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</si>
  <si>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</si>
  <si>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</si>
  <si>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</si>
  <si>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</si>
  <si>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</si>
  <si>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</si>
  <si>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</si>
  <si>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</si>
  <si>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</si>
  <si>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</si>
  <si>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</si>
  <si>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</si>
  <si>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</si>
  <si>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</si>
  <si>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</si>
  <si>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Afgift til Forsyningssekretariatet</t>
  </si>
  <si>
    <t>Ingen engangstillæg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</si>
  <si>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</si>
  <si>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</si>
  <si>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</si>
  <si>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</si>
  <si>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</si>
  <si>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</si>
  <si>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</si>
  <si>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</si>
  <si>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</si>
  <si>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Ingen anlægsprojekter</t>
  </si>
  <si>
    <t>Anlægsprojekter igangsat senest 1. marts 2016</t>
  </si>
  <si>
    <t>Korrektion af 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</si>
</sst>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51" t="s">
        <v>4</v>
      </c>
      <c r="E6" s="51"/>
      <c r="F6" s="51"/>
      <c r="G6" s="51"/>
      <c r="H6" s="3"/>
      <c r="I6" s="1"/>
    </row>
    <row r="7" spans="1:9" ht="15" customHeight="1" x14ac:dyDescent="0.25">
      <c r="A7" s="1"/>
      <c r="B7" s="1"/>
      <c r="C7" s="3"/>
      <c r="D7" s="51"/>
      <c r="E7" s="51"/>
      <c r="F7" s="51"/>
      <c r="G7" s="51"/>
      <c r="H7" s="3"/>
      <c r="I7" s="1"/>
    </row>
    <row r="8" spans="1:9" ht="15.75" x14ac:dyDescent="0.25">
      <c r="A8" s="1"/>
      <c r="B8" s="1"/>
      <c r="C8" s="4"/>
      <c r="D8" s="56" t="s">
        <v>116</v>
      </c>
      <c r="E8" s="56"/>
      <c r="F8" s="56"/>
      <c r="G8" s="56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55" t="s">
        <v>5</v>
      </c>
      <c r="E11" s="55"/>
      <c r="F11" s="55"/>
      <c r="G11" s="55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48" t="s">
        <v>49</v>
      </c>
      <c r="E13" s="49"/>
      <c r="F13" s="49"/>
      <c r="G13" s="50"/>
      <c r="H13" s="1"/>
      <c r="I13" s="1"/>
    </row>
    <row r="14" spans="1:9" x14ac:dyDescent="0.25">
      <c r="A14" s="1"/>
      <c r="B14" s="1"/>
      <c r="C14" s="6" t="s">
        <v>22</v>
      </c>
      <c r="D14" s="48" t="s">
        <v>117</v>
      </c>
      <c r="E14" s="49"/>
      <c r="F14" s="49"/>
      <c r="G14" s="50"/>
      <c r="H14" s="1"/>
      <c r="I14" s="1"/>
    </row>
    <row r="15" spans="1:9" x14ac:dyDescent="0.25">
      <c r="A15" s="1"/>
      <c r="B15" s="1"/>
      <c r="C15" s="6" t="s">
        <v>48</v>
      </c>
      <c r="D15" s="48" t="s">
        <v>75</v>
      </c>
      <c r="E15" s="49"/>
      <c r="F15" s="49"/>
      <c r="G15" s="50"/>
      <c r="H15" s="1"/>
      <c r="I15" s="1"/>
    </row>
    <row r="16" spans="1:9" x14ac:dyDescent="0.25">
      <c r="A16" s="1"/>
      <c r="B16" s="1"/>
      <c r="C16" s="6" t="s">
        <v>50</v>
      </c>
      <c r="D16" s="48" t="s">
        <v>76</v>
      </c>
      <c r="E16" s="49"/>
      <c r="F16" s="49"/>
      <c r="G16" s="50"/>
      <c r="H16" s="1"/>
      <c r="I16" s="1"/>
    </row>
    <row r="17" spans="1:9" x14ac:dyDescent="0.25">
      <c r="A17" s="1"/>
      <c r="B17" s="1"/>
      <c r="C17" s="6" t="s">
        <v>139</v>
      </c>
      <c r="D17" s="48" t="s">
        <v>57</v>
      </c>
      <c r="E17" s="49"/>
      <c r="F17" s="49"/>
      <c r="G17" s="50"/>
      <c r="H17" s="1"/>
      <c r="I17" s="1"/>
    </row>
    <row r="18" spans="1:9" x14ac:dyDescent="0.25">
      <c r="A18" s="1"/>
      <c r="B18" s="1"/>
      <c r="C18" s="6" t="s">
        <v>7</v>
      </c>
      <c r="D18" s="60" t="s">
        <v>16</v>
      </c>
      <c r="E18" s="61"/>
      <c r="F18" s="61"/>
      <c r="G18" s="62"/>
      <c r="H18" s="1"/>
      <c r="I18" s="1"/>
    </row>
    <row r="19" spans="1:9" x14ac:dyDescent="0.25">
      <c r="A19" s="1"/>
      <c r="B19" s="1"/>
      <c r="C19" s="6" t="s">
        <v>8</v>
      </c>
      <c r="D19" s="52" t="s">
        <v>97</v>
      </c>
      <c r="E19" s="53"/>
      <c r="F19" s="53"/>
      <c r="G19" s="54"/>
      <c r="H19" s="1"/>
      <c r="I19" s="1"/>
    </row>
    <row r="20" spans="1:9" x14ac:dyDescent="0.25">
      <c r="A20" s="1"/>
      <c r="B20" s="1"/>
      <c r="C20" s="6" t="s">
        <v>123</v>
      </c>
      <c r="D20" s="52" t="s">
        <v>149</v>
      </c>
      <c r="E20" s="53"/>
      <c r="F20" s="53"/>
      <c r="G20" s="54"/>
      <c r="H20" s="1"/>
      <c r="I20" s="1"/>
    </row>
    <row r="21" spans="1:9" x14ac:dyDescent="0.25">
      <c r="A21" s="1"/>
      <c r="B21" s="1"/>
      <c r="C21" s="6" t="s">
        <v>82</v>
      </c>
      <c r="D21" s="52" t="s">
        <v>51</v>
      </c>
      <c r="E21" s="53"/>
      <c r="F21" s="53"/>
      <c r="G21" s="54"/>
      <c r="H21" s="1"/>
      <c r="I21" s="1"/>
    </row>
    <row r="22" spans="1:9" x14ac:dyDescent="0.25">
      <c r="A22" s="1"/>
      <c r="B22" s="1"/>
      <c r="C22" s="6" t="s">
        <v>124</v>
      </c>
      <c r="D22" s="52" t="s">
        <v>83</v>
      </c>
      <c r="E22" s="53"/>
      <c r="F22" s="53"/>
      <c r="G22" s="54"/>
      <c r="H22" s="1"/>
      <c r="I22" s="1"/>
    </row>
    <row r="23" spans="1:9" x14ac:dyDescent="0.25">
      <c r="A23" s="1"/>
      <c r="B23" s="1"/>
      <c r="C23" s="6" t="s">
        <v>125</v>
      </c>
      <c r="D23" s="52" t="s">
        <v>84</v>
      </c>
      <c r="E23" s="53"/>
      <c r="F23" s="53"/>
      <c r="G23" s="54"/>
      <c r="H23" s="1"/>
      <c r="I23" s="1"/>
    </row>
    <row r="24" spans="1:9" x14ac:dyDescent="0.25">
      <c r="A24" s="1"/>
      <c r="B24" s="1"/>
      <c r="C24" s="6" t="s">
        <v>9</v>
      </c>
      <c r="D24" s="52" t="s">
        <v>52</v>
      </c>
      <c r="E24" s="53"/>
      <c r="F24" s="53"/>
      <c r="G24" s="54"/>
      <c r="H24" s="1"/>
      <c r="I24" s="1"/>
    </row>
    <row r="25" spans="1:9" x14ac:dyDescent="0.25">
      <c r="A25" s="1"/>
      <c r="B25" s="1"/>
      <c r="C25" s="6" t="s">
        <v>96</v>
      </c>
      <c r="D25" s="52" t="s">
        <v>53</v>
      </c>
      <c r="E25" s="53"/>
      <c r="F25" s="53"/>
      <c r="G25" s="54"/>
      <c r="H25" s="1"/>
      <c r="I25" s="1"/>
    </row>
    <row r="26" spans="1:9" x14ac:dyDescent="0.25">
      <c r="A26" s="1"/>
      <c r="B26" s="1"/>
      <c r="C26" s="6" t="s">
        <v>126</v>
      </c>
      <c r="D26" s="63" t="s">
        <v>10</v>
      </c>
      <c r="E26" s="64"/>
      <c r="F26" s="64"/>
      <c r="G26" s="65"/>
      <c r="H26" s="1"/>
      <c r="I26" s="1"/>
    </row>
    <row r="27" spans="1:9" x14ac:dyDescent="0.25">
      <c r="A27" s="1"/>
      <c r="B27" s="1"/>
      <c r="C27" s="6" t="s">
        <v>21</v>
      </c>
      <c r="D27" s="57" t="s">
        <v>127</v>
      </c>
      <c r="E27" s="58"/>
      <c r="F27" s="58"/>
      <c r="G27" s="59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brYWlqnO4j3KFSyNkMOcNiSfOv8r5irdi+ztl2RmfhkIfYKGlzEwZpCpd7NVwuX/zjqzU0yTFPksS9/RulIDvg==" saltValue="Foml0YZUBO25yPrSEsI1gg==" spinCount="100000" sheet="1" objects="1" scenarios="1"/>
  <mergeCells count="18"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  <mergeCell ref="D14:G14"/>
    <mergeCell ref="D6:G7"/>
    <mergeCell ref="D19:G19"/>
    <mergeCell ref="D11:G11"/>
    <mergeCell ref="D8:G8"/>
    <mergeCell ref="D15:G15"/>
    <mergeCell ref="D16:G16"/>
    <mergeCell ref="D13:G13"/>
    <mergeCell ref="D17:G17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153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154</v>
      </c>
      <c r="C8" s="78"/>
      <c r="D8" s="78"/>
      <c r="E8" s="78"/>
      <c r="F8" s="78"/>
      <c r="G8" s="78"/>
      <c r="H8" s="79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6" t="s">
        <v>2</v>
      </c>
      <c r="F9" s="36" t="s">
        <v>15</v>
      </c>
      <c r="G9" s="36" t="s">
        <v>41</v>
      </c>
      <c r="H9" s="45"/>
      <c r="I9" s="1"/>
    </row>
    <row r="10" spans="1:9" x14ac:dyDescent="0.25">
      <c r="A10" s="1"/>
      <c r="B10" s="34" t="s">
        <v>158</v>
      </c>
      <c r="C10" s="35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7" t="s">
        <v>155</v>
      </c>
      <c r="C11" s="78"/>
      <c r="D11" s="79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T/muL/yvbyj+jEOJw3HaxVWW89Wo6NLPKgp+8gPVcVhgbCQOy9nztS5SRWCgTmQEiaiWaTZeweW9PoSt6fz3Hw==" saltValue="7+tOubtqrbCPEVkvq3UXZg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120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6" t="s">
        <v>79</v>
      </c>
      <c r="C8" s="24"/>
      <c r="D8" s="24"/>
      <c r="E8" s="24"/>
      <c r="F8" s="47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5"/>
      <c r="G9" s="1"/>
    </row>
    <row r="10" spans="1:7" x14ac:dyDescent="0.25">
      <c r="A10" s="1"/>
      <c r="B10" s="22" t="s">
        <v>159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x14ac:dyDescent="0.25">
      <c r="A11" s="1"/>
      <c r="B11" s="46" t="s">
        <v>54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6" t="s">
        <v>63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GYtgUIPR/w4DzqVi7qsgkm7AQnPYIvYkl0ZLcfNVoPM8zFfDDWZhNljz2qbzkz00aPNPorLJVjWQ32DvGxmAAg==" saltValue="DnQa6Ob0RABALBxmEVU0C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121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102</v>
      </c>
      <c r="C8" s="78"/>
      <c r="D8" s="78"/>
      <c r="E8" s="78"/>
      <c r="F8" s="79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5"/>
      <c r="G9" s="1"/>
    </row>
    <row r="10" spans="1:7" x14ac:dyDescent="0.25">
      <c r="A10" s="1"/>
      <c r="B10" s="22" t="s">
        <v>148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6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6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7" t="s">
        <v>103</v>
      </c>
      <c r="C15" s="78"/>
      <c r="D15" s="78"/>
      <c r="E15" s="78"/>
      <c r="F15" s="79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5"/>
      <c r="G16" s="1"/>
    </row>
    <row r="17" spans="1:7" x14ac:dyDescent="0.25">
      <c r="A17" s="1"/>
      <c r="B17" s="22" t="s">
        <v>148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6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6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7" t="s">
        <v>104</v>
      </c>
      <c r="C22" s="78"/>
      <c r="D22" s="78"/>
      <c r="E22" s="78"/>
      <c r="F22" s="79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5"/>
      <c r="G23" s="1"/>
    </row>
    <row r="24" spans="1:7" x14ac:dyDescent="0.25">
      <c r="A24" s="1"/>
      <c r="B24" s="22" t="s">
        <v>148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6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6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7" t="s">
        <v>105</v>
      </c>
      <c r="C29" s="78"/>
      <c r="D29" s="78"/>
      <c r="E29" s="78"/>
      <c r="F29" s="79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5"/>
      <c r="G30" s="1"/>
    </row>
    <row r="31" spans="1:7" x14ac:dyDescent="0.25">
      <c r="A31" s="1"/>
      <c r="B31" s="22" t="s">
        <v>148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6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6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1VKCOutHUL08lkOmpTjQj/bHB1TjX1kBKvnWnnj3ZglyfyYtOdsQ+hBNZui8ze5WikbcsU/IcQTqg2XYekBKTA==" saltValue="Jp6ztErTtbo4SuxzW8InWg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134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32</v>
      </c>
      <c r="C8" s="78"/>
      <c r="D8" s="78"/>
      <c r="E8" s="78"/>
      <c r="F8" s="79"/>
      <c r="G8" s="1"/>
    </row>
    <row r="9" spans="1:7" ht="15" customHeight="1" x14ac:dyDescent="0.25">
      <c r="A9" s="1"/>
      <c r="B9" s="44" t="s">
        <v>33</v>
      </c>
      <c r="C9" s="89" t="s">
        <v>15</v>
      </c>
      <c r="D9" s="90"/>
      <c r="E9" s="89" t="s">
        <v>42</v>
      </c>
      <c r="F9" s="90"/>
      <c r="G9" s="1"/>
    </row>
    <row r="10" spans="1:7" x14ac:dyDescent="0.25">
      <c r="A10" s="1"/>
      <c r="B10" s="22" t="s">
        <v>156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+MMZuA9qSYs2HIrFgUrYssXciQFmWYGCwQeCmHhgKSivRkcpWtc/orRiDjaT/pb5Snh9tj5XPTWwVpGzF2sQ2g==" saltValue="12Q1T0atyY7tPLlF5ZCwaA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135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91</v>
      </c>
      <c r="C8" s="78"/>
      <c r="D8" s="78"/>
      <c r="E8" s="78"/>
      <c r="F8" s="79"/>
      <c r="G8" s="1"/>
    </row>
    <row r="9" spans="1:7" ht="15" customHeight="1" x14ac:dyDescent="0.25">
      <c r="A9" s="1"/>
      <c r="B9" s="44" t="s">
        <v>25</v>
      </c>
      <c r="C9" s="44" t="s">
        <v>15</v>
      </c>
      <c r="D9" s="45"/>
      <c r="E9" s="44" t="s">
        <v>42</v>
      </c>
      <c r="F9" s="45"/>
      <c r="G9" s="1"/>
    </row>
    <row r="10" spans="1:7" x14ac:dyDescent="0.25">
      <c r="A10" s="1"/>
      <c r="B10" s="22" t="s">
        <v>157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6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6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92</v>
      </c>
      <c r="C14" s="78"/>
      <c r="D14" s="78"/>
      <c r="E14" s="78"/>
      <c r="F14" s="79"/>
      <c r="G14" s="1"/>
    </row>
    <row r="15" spans="1:7" ht="26.25" x14ac:dyDescent="0.25">
      <c r="A15" s="1"/>
      <c r="B15" s="44" t="s">
        <v>25</v>
      </c>
      <c r="C15" s="44" t="s">
        <v>15</v>
      </c>
      <c r="D15" s="45"/>
      <c r="E15" s="44" t="s">
        <v>42</v>
      </c>
      <c r="F15" s="45"/>
      <c r="G15" s="1"/>
    </row>
    <row r="16" spans="1:7" x14ac:dyDescent="0.25">
      <c r="A16" s="1"/>
      <c r="B16" s="22" t="s">
        <v>157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6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6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90</v>
      </c>
      <c r="C20" s="78"/>
      <c r="D20" s="78"/>
      <c r="E20" s="78"/>
      <c r="F20" s="79"/>
      <c r="G20" s="1"/>
    </row>
    <row r="21" spans="1:7" ht="26.25" x14ac:dyDescent="0.25">
      <c r="A21" s="1"/>
      <c r="B21" s="44" t="s">
        <v>25</v>
      </c>
      <c r="C21" s="44" t="s">
        <v>15</v>
      </c>
      <c r="D21" s="45"/>
      <c r="E21" s="44" t="s">
        <v>42</v>
      </c>
      <c r="F21" s="45"/>
      <c r="G21" s="1"/>
    </row>
    <row r="22" spans="1:7" x14ac:dyDescent="0.25">
      <c r="A22" s="1"/>
      <c r="B22" s="22" t="s">
        <v>157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6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6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93</v>
      </c>
      <c r="C26" s="78"/>
      <c r="D26" s="78"/>
      <c r="E26" s="78"/>
      <c r="F26" s="79"/>
      <c r="G26" s="1"/>
    </row>
    <row r="27" spans="1:7" ht="26.25" x14ac:dyDescent="0.25">
      <c r="A27" s="1"/>
      <c r="B27" s="44" t="s">
        <v>25</v>
      </c>
      <c r="C27" s="44" t="s">
        <v>15</v>
      </c>
      <c r="D27" s="45"/>
      <c r="E27" s="44" t="s">
        <v>42</v>
      </c>
      <c r="F27" s="45"/>
      <c r="G27" s="1"/>
    </row>
    <row r="28" spans="1:7" x14ac:dyDescent="0.25">
      <c r="A28" s="1"/>
      <c r="B28" s="22" t="s">
        <v>157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6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6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pKx6v9pCGBt4+JWwUJ0+GsFpedyr8TsRrqcz79pKzRnykLHCjxEERQI7uwbuvTc2eY6cx7oCoNedFyryG78J3w==" saltValue="gs+0P37FzokmicCqg9CSz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136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17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91" t="s">
        <v>11</v>
      </c>
      <c r="C9" s="92"/>
      <c r="D9" s="92"/>
      <c r="E9" s="92"/>
      <c r="F9" s="93"/>
      <c r="G9" s="8">
        <v>2547190</v>
      </c>
      <c r="H9" s="12" t="s">
        <v>3</v>
      </c>
      <c r="I9" s="1"/>
    </row>
    <row r="10" spans="1:9" x14ac:dyDescent="0.25">
      <c r="A10" s="1"/>
      <c r="B10" s="91" t="s">
        <v>77</v>
      </c>
      <c r="C10" s="92"/>
      <c r="D10" s="92"/>
      <c r="E10" s="92"/>
      <c r="F10" s="93"/>
      <c r="G10" s="8">
        <v>0</v>
      </c>
      <c r="H10" s="12" t="s">
        <v>3</v>
      </c>
      <c r="I10" s="1"/>
    </row>
    <row r="11" spans="1:9" x14ac:dyDescent="0.25">
      <c r="A11" s="1"/>
      <c r="B11" s="91" t="s">
        <v>69</v>
      </c>
      <c r="C11" s="92"/>
      <c r="D11" s="92"/>
      <c r="E11" s="92"/>
      <c r="F11" s="93"/>
      <c r="G11" s="8">
        <v>-2290332.6216931217</v>
      </c>
      <c r="H11" s="12" t="s">
        <v>3</v>
      </c>
      <c r="I11" s="1"/>
    </row>
    <row r="12" spans="1:9" x14ac:dyDescent="0.25">
      <c r="A12" s="1"/>
      <c r="B12" s="94" t="s">
        <v>14</v>
      </c>
      <c r="C12" s="95"/>
      <c r="D12" s="95"/>
      <c r="E12" s="95"/>
      <c r="F12" s="96"/>
      <c r="G12" s="17">
        <f>(G9+G10)+G11</f>
        <v>256857.37830687826</v>
      </c>
      <c r="H12" s="16" t="s">
        <v>3</v>
      </c>
      <c r="I12" s="1"/>
    </row>
    <row r="13" spans="1:9" x14ac:dyDescent="0.25">
      <c r="A13" s="1"/>
      <c r="B13" s="91" t="s">
        <v>12</v>
      </c>
      <c r="C13" s="92"/>
      <c r="D13" s="92"/>
      <c r="E13" s="92"/>
      <c r="F13" s="93"/>
      <c r="G13" s="8">
        <v>1</v>
      </c>
      <c r="H13" s="12" t="s">
        <v>27</v>
      </c>
      <c r="I13" s="1"/>
    </row>
    <row r="14" spans="1:9" x14ac:dyDescent="0.25">
      <c r="A14" s="1"/>
      <c r="B14" s="77" t="s">
        <v>78</v>
      </c>
      <c r="C14" s="78"/>
      <c r="D14" s="78"/>
      <c r="E14" s="78"/>
      <c r="F14" s="79"/>
      <c r="G14" s="10">
        <f>IF(G13 = 0,0,-G12/G13)</f>
        <v>-256857.37830687826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JtUYfJOB2nJF3jrvfEVDLXLBwESyw36XOOgUYsRmfDYMuvimiiIh+nQQV9x3GXxj9Xmb8R63lzr0qRUwfmsGAw==" saltValue="qfD9nGn/K3R0KpxjvRZ00A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1" t="s">
        <v>137</v>
      </c>
      <c r="C3" s="71"/>
      <c r="D3" s="1"/>
    </row>
    <row r="4" spans="1:4" ht="25.5" customHeight="1" x14ac:dyDescent="0.25">
      <c r="A4" s="1"/>
      <c r="B4" s="71"/>
      <c r="C4" s="7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6" t="s">
        <v>20</v>
      </c>
      <c r="C8" s="47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6"/>
      <c r="C13" s="47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6" t="s">
        <v>115</v>
      </c>
      <c r="C16" s="47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7"/>
      <c r="C18" s="98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LC6f26Qb1NuENRr+mdfFZpF1Q/zFr3WGDCRruxabOdtHBRqPgbZkzoKryOzH7Q1maC4lgbCfW2YViXppaRh6Hg==" saltValue="oEE70bSUJ0nqQJxgrPBfzw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56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19</v>
      </c>
      <c r="C8" s="42"/>
      <c r="D8" s="42"/>
      <c r="E8" s="42"/>
      <c r="F8" s="42"/>
      <c r="G8" s="1"/>
    </row>
    <row r="9" spans="1:7" x14ac:dyDescent="0.25">
      <c r="A9" s="1"/>
      <c r="B9" s="38" t="s">
        <v>35</v>
      </c>
      <c r="C9" s="38"/>
      <c r="D9" s="38"/>
      <c r="E9" s="7">
        <f>'Fane 3. Omkostninger i ØR2019'!E15</f>
        <v>1703656.1225172218</v>
      </c>
      <c r="F9" s="38" t="s">
        <v>3</v>
      </c>
      <c r="G9" s="1"/>
    </row>
    <row r="10" spans="1:7" x14ac:dyDescent="0.25">
      <c r="A10" s="1"/>
      <c r="B10" s="40" t="s">
        <v>140</v>
      </c>
      <c r="C10" s="38"/>
      <c r="D10" s="38"/>
      <c r="E10" s="7">
        <f>'Fane 3. Omkostninger i ØR2019'!E10*(1-'Fane 12. Nøgletal'!C17)*(1+'Fane 12. Nøgletal'!C10)</f>
        <v>0</v>
      </c>
      <c r="F10" s="38" t="s">
        <v>3</v>
      </c>
      <c r="G10" s="1"/>
    </row>
    <row r="11" spans="1:7" x14ac:dyDescent="0.25">
      <c r="A11" s="1"/>
      <c r="B11" s="40" t="s">
        <v>143</v>
      </c>
      <c r="C11" s="38"/>
      <c r="D11" s="38"/>
      <c r="E11" s="7">
        <f>('Fane 3. Omkostninger i ØR2019'!E11+'Fane 3. Omkostninger i ØR2019'!E12)*(1-'Fane 12. Nøgletal'!C17)*(1+'Fane 12. Nøgletal'!C11)</f>
        <v>0</v>
      </c>
      <c r="F11" s="38" t="s">
        <v>3</v>
      </c>
      <c r="G11" s="1"/>
    </row>
    <row r="12" spans="1:7" ht="17.100000000000001" customHeight="1" x14ac:dyDescent="0.25">
      <c r="A12" s="1"/>
      <c r="B12" s="31" t="s">
        <v>141</v>
      </c>
      <c r="C12" s="38"/>
      <c r="D12" s="38"/>
      <c r="E12" s="7">
        <f>'Fane 8.1. Varige tillæg'!C12+'Fane 8.1. Varige tillæg'!E12</f>
        <v>0</v>
      </c>
      <c r="F12" s="38" t="s">
        <v>3</v>
      </c>
      <c r="G12" s="1"/>
    </row>
    <row r="13" spans="1:7" ht="17.100000000000001" customHeight="1" x14ac:dyDescent="0.25">
      <c r="A13" s="1"/>
      <c r="B13" s="31" t="s">
        <v>144</v>
      </c>
      <c r="C13" s="38"/>
      <c r="D13" s="38"/>
      <c r="E13" s="8">
        <f>-('Fane 10. Bortfald'!C12+'Fane 10. Bortfald'!E12)</f>
        <v>0</v>
      </c>
      <c r="F13" s="38" t="s">
        <v>3</v>
      </c>
      <c r="G13" s="1"/>
    </row>
    <row r="14" spans="1:7" ht="17.100000000000001" customHeight="1" x14ac:dyDescent="0.25">
      <c r="A14" s="1"/>
      <c r="B14" s="31" t="s">
        <v>111</v>
      </c>
      <c r="C14" s="38"/>
      <c r="D14" s="38"/>
      <c r="E14" s="8">
        <f>'Fane 9. Tilknyttet aktivitet'!C12+'Fane 9. Tilknyttet aktivitet'!E12</f>
        <v>0</v>
      </c>
      <c r="F14" s="38" t="s">
        <v>3</v>
      </c>
      <c r="G14" s="1"/>
    </row>
    <row r="15" spans="1:7" ht="17.100000000000001" customHeight="1" x14ac:dyDescent="0.25">
      <c r="A15" s="1"/>
      <c r="B15" s="31" t="s">
        <v>26</v>
      </c>
      <c r="C15" s="38"/>
      <c r="D15" s="38"/>
      <c r="E15" s="8">
        <f>(E9-SUM(E10:E11))*'Fane 12. Nøgletal'!C9+E10*'Fane 12. Nøgletal'!C10+E11*'Fane 12. Nøgletal'!C11+SUM(E12:E14)*'Fane 12. Nøgletal'!C12</f>
        <v>21636.432755968715</v>
      </c>
      <c r="F15" s="38" t="s">
        <v>3</v>
      </c>
      <c r="G15" s="1"/>
    </row>
    <row r="16" spans="1:7" ht="17.100000000000001" customHeight="1" x14ac:dyDescent="0.25">
      <c r="A16" s="1"/>
      <c r="B16" s="31" t="s">
        <v>115</v>
      </c>
      <c r="C16" s="38"/>
      <c r="D16" s="38"/>
      <c r="E16" s="8">
        <f>-SUM(E9,E12:E15)*'Fane 12. Nøgletal'!C17</f>
        <v>-29329.973439644244</v>
      </c>
      <c r="F16" s="38" t="s">
        <v>3</v>
      </c>
      <c r="G16" s="1"/>
    </row>
    <row r="17" spans="1:7" ht="17.100000000000001" customHeight="1" x14ac:dyDescent="0.25">
      <c r="A17" s="1"/>
      <c r="B17" s="43" t="s">
        <v>28</v>
      </c>
      <c r="C17" s="41"/>
      <c r="D17" s="41"/>
      <c r="E17" s="9">
        <f>SUM(E9,E12:E16)</f>
        <v>1695962.5818335463</v>
      </c>
      <c r="F17" s="36" t="s">
        <v>3</v>
      </c>
      <c r="G17" s="1"/>
    </row>
    <row r="18" spans="1:7" ht="15" customHeight="1" x14ac:dyDescent="0.25">
      <c r="A18" s="1"/>
      <c r="B18" s="42" t="s">
        <v>16</v>
      </c>
      <c r="C18" s="42"/>
      <c r="D18" s="42"/>
      <c r="E18" s="42"/>
      <c r="F18" s="42"/>
      <c r="G18" s="1"/>
    </row>
    <row r="19" spans="1:7" ht="15" customHeight="1" x14ac:dyDescent="0.25">
      <c r="A19" s="1"/>
      <c r="B19" s="36" t="s">
        <v>16</v>
      </c>
      <c r="C19" s="36"/>
      <c r="D19" s="36"/>
      <c r="E19" s="9">
        <f>'Fane 4. Ikke-påvirkelige omk.'!C12</f>
        <v>4924.4363942400005</v>
      </c>
      <c r="F19" s="36" t="s">
        <v>3</v>
      </c>
      <c r="G19" s="1"/>
    </row>
    <row r="20" spans="1:7" ht="15" customHeight="1" x14ac:dyDescent="0.25">
      <c r="A20" s="1"/>
      <c r="B20" s="42" t="s">
        <v>84</v>
      </c>
      <c r="C20" s="42"/>
      <c r="D20" s="42"/>
      <c r="E20" s="42"/>
      <c r="F20" s="42"/>
      <c r="G20" s="1"/>
    </row>
    <row r="21" spans="1:7" ht="15" customHeight="1" x14ac:dyDescent="0.25">
      <c r="A21" s="1"/>
      <c r="B21" s="31" t="s">
        <v>80</v>
      </c>
      <c r="C21" s="38"/>
      <c r="D21" s="38"/>
      <c r="E21" s="8">
        <f>'Fane 8.2. Engangstillæg'!C13</f>
        <v>0</v>
      </c>
      <c r="F21" s="38" t="s">
        <v>3</v>
      </c>
      <c r="G21" s="1"/>
    </row>
    <row r="22" spans="1:7" ht="15" customHeight="1" x14ac:dyDescent="0.25">
      <c r="A22" s="1"/>
      <c r="B22" s="31" t="s">
        <v>81</v>
      </c>
      <c r="C22" s="38"/>
      <c r="D22" s="38"/>
      <c r="E22" s="8">
        <f>'Fane 8.2. Engangstillæg'!E13</f>
        <v>0</v>
      </c>
      <c r="F22" s="38" t="s">
        <v>3</v>
      </c>
      <c r="G22" s="1"/>
    </row>
    <row r="23" spans="1:7" x14ac:dyDescent="0.25">
      <c r="A23" s="1"/>
      <c r="B23" s="43" t="s">
        <v>85</v>
      </c>
      <c r="C23" s="41"/>
      <c r="D23" s="41"/>
      <c r="E23" s="9">
        <f>SUM(E21:E22)</f>
        <v>0</v>
      </c>
      <c r="F23" s="36" t="s">
        <v>3</v>
      </c>
      <c r="G23" s="1"/>
    </row>
    <row r="24" spans="1:7" x14ac:dyDescent="0.25">
      <c r="A24" s="1"/>
      <c r="B24" s="42" t="s">
        <v>10</v>
      </c>
      <c r="C24" s="42"/>
      <c r="D24" s="42"/>
      <c r="E24" s="42"/>
      <c r="F24" s="42"/>
      <c r="G24" s="1"/>
    </row>
    <row r="25" spans="1:7" ht="15" customHeight="1" x14ac:dyDescent="0.25">
      <c r="A25" s="1"/>
      <c r="B25" s="36" t="s">
        <v>18</v>
      </c>
      <c r="C25" s="36"/>
      <c r="D25" s="36"/>
      <c r="E25" s="9">
        <f>'Fane 11. Hist. over-underdæk.'!G14</f>
        <v>-256857.37830687826</v>
      </c>
      <c r="F25" s="36" t="s">
        <v>3</v>
      </c>
      <c r="G25" s="1"/>
    </row>
    <row r="26" spans="1:7" ht="15" customHeight="1" x14ac:dyDescent="0.25">
      <c r="A26" s="1"/>
      <c r="B26" s="42" t="s">
        <v>149</v>
      </c>
      <c r="C26" s="42"/>
      <c r="D26" s="42"/>
      <c r="E26" s="42"/>
      <c r="F26" s="42"/>
      <c r="G26" s="1"/>
    </row>
    <row r="27" spans="1:7" x14ac:dyDescent="0.25">
      <c r="A27" s="1"/>
      <c r="B27" s="36" t="s">
        <v>150</v>
      </c>
      <c r="C27" s="36"/>
      <c r="D27" s="36"/>
      <c r="E27" s="9">
        <f>'Fane 6. Korrektioner'!E10</f>
        <v>0</v>
      </c>
      <c r="F27" s="36" t="s">
        <v>3</v>
      </c>
      <c r="G27" s="1"/>
    </row>
    <row r="28" spans="1:7" x14ac:dyDescent="0.25">
      <c r="A28" s="1"/>
      <c r="B28" s="42" t="s">
        <v>36</v>
      </c>
      <c r="C28" s="42"/>
      <c r="D28" s="42"/>
      <c r="E28" s="10">
        <f>SUM(E17,E19,E23,E25,E27)</f>
        <v>1444029.639920908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2FECYya61VI8k9YOe78K+WHJPBXm7eb/ua9Q1gFJXndnjauOtpuCnNz/Cvl6WxnWsfqXjjxXPZe+cDbu0NkzBw==" saltValue="X0DKu0SXOoe8/sXHo3LFh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73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19</v>
      </c>
      <c r="C8" s="42"/>
      <c r="D8" s="42"/>
      <c r="E8" s="42"/>
      <c r="F8" s="42"/>
      <c r="G8" s="1"/>
    </row>
    <row r="9" spans="1:7" ht="15" customHeight="1" x14ac:dyDescent="0.25">
      <c r="A9" s="1"/>
      <c r="B9" s="38" t="s">
        <v>37</v>
      </c>
      <c r="C9" s="38"/>
      <c r="D9" s="38"/>
      <c r="E9" s="7">
        <f>'Fane 2.1. Økonomisk ramme 2020'!E17</f>
        <v>1695962.5818335463</v>
      </c>
      <c r="F9" s="38" t="s">
        <v>3</v>
      </c>
      <c r="G9" s="1"/>
    </row>
    <row r="10" spans="1:7" ht="15" customHeight="1" x14ac:dyDescent="0.25">
      <c r="A10" s="1"/>
      <c r="B10" s="38" t="s">
        <v>160</v>
      </c>
      <c r="C10" s="38"/>
      <c r="D10" s="38"/>
      <c r="E10" s="7">
        <v>12040.297391925775</v>
      </c>
      <c r="F10" s="38" t="s">
        <v>3</v>
      </c>
      <c r="G10" s="1"/>
    </row>
    <row r="11" spans="1:7" ht="15" customHeight="1" x14ac:dyDescent="0.25">
      <c r="A11" s="1"/>
      <c r="B11" s="31" t="s">
        <v>144</v>
      </c>
      <c r="C11" s="38"/>
      <c r="D11" s="38"/>
      <c r="E11" s="7">
        <f>-('Fane 10. Bortfald'!C18+'Fane 10. Bortfald'!E18)</f>
        <v>0</v>
      </c>
      <c r="F11" s="38" t="s">
        <v>3</v>
      </c>
      <c r="G11" s="1"/>
    </row>
    <row r="12" spans="1:7" ht="15" customHeight="1" x14ac:dyDescent="0.25">
      <c r="A12" s="1"/>
      <c r="B12" s="39" t="s">
        <v>26</v>
      </c>
      <c r="C12" s="38"/>
      <c r="D12" s="38"/>
      <c r="E12" s="8">
        <f>SUM(E9:E11)*'Fane 12. Nøgletal'!C12</f>
        <v>33647.656720741797</v>
      </c>
      <c r="F12" s="38" t="s">
        <v>3</v>
      </c>
      <c r="G12" s="1"/>
    </row>
    <row r="13" spans="1:7" ht="15" customHeight="1" x14ac:dyDescent="0.25">
      <c r="A13" s="1"/>
      <c r="B13" s="39" t="s">
        <v>115</v>
      </c>
      <c r="C13" s="38"/>
      <c r="D13" s="38"/>
      <c r="E13" s="8">
        <f>-SUM(E9:E12)*'Fane 12. Nøgletal'!C17</f>
        <v>-29608.059111085637</v>
      </c>
      <c r="F13" s="38" t="s">
        <v>3</v>
      </c>
      <c r="G13" s="1"/>
    </row>
    <row r="14" spans="1:7" ht="15" customHeight="1" x14ac:dyDescent="0.25">
      <c r="A14" s="1"/>
      <c r="B14" s="41" t="s">
        <v>28</v>
      </c>
      <c r="C14" s="41"/>
      <c r="D14" s="41"/>
      <c r="E14" s="9">
        <f>SUM(E9:E13)</f>
        <v>1712042.4768351282</v>
      </c>
      <c r="F14" s="36" t="s">
        <v>3</v>
      </c>
      <c r="G14" s="1"/>
    </row>
    <row r="15" spans="1:7" x14ac:dyDescent="0.25">
      <c r="A15" s="1"/>
      <c r="B15" s="42" t="s">
        <v>16</v>
      </c>
      <c r="C15" s="42"/>
      <c r="D15" s="42"/>
      <c r="E15" s="42"/>
      <c r="F15" s="42"/>
      <c r="G15" s="1"/>
    </row>
    <row r="16" spans="1:7" ht="15" customHeight="1" x14ac:dyDescent="0.25">
      <c r="A16" s="1"/>
      <c r="B16" s="36" t="s">
        <v>16</v>
      </c>
      <c r="C16" s="36"/>
      <c r="D16" s="36"/>
      <c r="E16" s="9">
        <f>'Fane 4. Ikke-påvirkelige omk.'!C12*(1+'Fane 12. Nøgletal'!C12)</f>
        <v>5021.4477912065286</v>
      </c>
      <c r="F16" s="36" t="s">
        <v>3</v>
      </c>
      <c r="G16" s="1"/>
    </row>
    <row r="17" spans="1:7" ht="15" customHeight="1" x14ac:dyDescent="0.25">
      <c r="A17" s="1"/>
      <c r="B17" s="42" t="s">
        <v>84</v>
      </c>
      <c r="C17" s="42"/>
      <c r="D17" s="42"/>
      <c r="E17" s="42"/>
      <c r="F17" s="42"/>
      <c r="G17" s="1"/>
    </row>
    <row r="18" spans="1:7" ht="15" customHeight="1" x14ac:dyDescent="0.25">
      <c r="A18" s="1"/>
      <c r="B18" s="31" t="s">
        <v>80</v>
      </c>
      <c r="C18" s="38"/>
      <c r="D18" s="38"/>
      <c r="E18" s="8">
        <f>'Fane 8.2. Engangstillæg'!C20</f>
        <v>0</v>
      </c>
      <c r="F18" s="38" t="s">
        <v>3</v>
      </c>
      <c r="G18" s="1"/>
    </row>
    <row r="19" spans="1:7" ht="15" customHeight="1" x14ac:dyDescent="0.25">
      <c r="A19" s="1"/>
      <c r="B19" s="31" t="s">
        <v>81</v>
      </c>
      <c r="C19" s="38"/>
      <c r="D19" s="38"/>
      <c r="E19" s="8">
        <f>'Fane 8.2. Engangstillæg'!E20</f>
        <v>0</v>
      </c>
      <c r="F19" s="38" t="s">
        <v>3</v>
      </c>
      <c r="G19" s="1"/>
    </row>
    <row r="20" spans="1:7" ht="15" customHeight="1" x14ac:dyDescent="0.25">
      <c r="A20" s="1"/>
      <c r="B20" s="43" t="s">
        <v>85</v>
      </c>
      <c r="C20" s="41"/>
      <c r="D20" s="41"/>
      <c r="E20" s="9">
        <f>SUM(E18:E19)</f>
        <v>0</v>
      </c>
      <c r="F20" s="36" t="s">
        <v>3</v>
      </c>
      <c r="G20" s="1"/>
    </row>
    <row r="21" spans="1:7" x14ac:dyDescent="0.25">
      <c r="A21" s="1"/>
      <c r="B21" s="42" t="s">
        <v>95</v>
      </c>
      <c r="C21" s="42"/>
      <c r="D21" s="42"/>
      <c r="E21" s="42"/>
      <c r="F21" s="42"/>
      <c r="G21" s="1"/>
    </row>
    <row r="22" spans="1:7" ht="15" customHeight="1" x14ac:dyDescent="0.25">
      <c r="A22" s="1"/>
      <c r="B22" s="36" t="s">
        <v>131</v>
      </c>
      <c r="C22" s="36"/>
      <c r="D22" s="36"/>
      <c r="E22" s="9">
        <f>'Fane 5. Kontrol af ØR2018'!E35</f>
        <v>-99351.777924818452</v>
      </c>
      <c r="F22" s="36" t="s">
        <v>3</v>
      </c>
      <c r="G22" s="1"/>
    </row>
    <row r="23" spans="1:7" x14ac:dyDescent="0.25">
      <c r="A23" s="1"/>
      <c r="B23" s="42" t="s">
        <v>39</v>
      </c>
      <c r="C23" s="42"/>
      <c r="D23" s="42"/>
      <c r="E23" s="10">
        <f>SUM(E14,E16,E20,E22)</f>
        <v>1617712.1467015161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AvMOZ+YPwBN4TBD72eAhUDRSAHz3FQ8i52qZ4S+KFr4O9DCOg26qp8o5wjjgoZ8R5IloUzIxe//wSbKhpCAIiw==" saltValue="4ktguXVNIb6VSrwQ0S3OL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2" t="s">
        <v>19</v>
      </c>
      <c r="C7" s="42"/>
      <c r="D7" s="42"/>
      <c r="E7" s="42"/>
      <c r="F7" s="42"/>
      <c r="G7" s="1"/>
    </row>
    <row r="8" spans="1:7" ht="15" customHeight="1" x14ac:dyDescent="0.25">
      <c r="A8" s="1"/>
      <c r="B8" s="38" t="s">
        <v>37</v>
      </c>
      <c r="C8" s="38"/>
      <c r="D8" s="38"/>
      <c r="E8" s="7">
        <f>'Fane 2.2. Økonomisk ramme 2021'!E14</f>
        <v>1712042.4768351282</v>
      </c>
      <c r="F8" s="38" t="s">
        <v>3</v>
      </c>
      <c r="G8" s="1"/>
    </row>
    <row r="9" spans="1:7" ht="15" customHeight="1" x14ac:dyDescent="0.25">
      <c r="A9" s="1"/>
      <c r="B9" s="38" t="s">
        <v>144</v>
      </c>
      <c r="C9" s="38"/>
      <c r="D9" s="38"/>
      <c r="E9" s="7">
        <f>-('Fane 10. Bortfald'!C24+'Fane 10. Bortfald'!E24)</f>
        <v>0</v>
      </c>
      <c r="F9" s="38" t="s">
        <v>3</v>
      </c>
      <c r="G9" s="1"/>
    </row>
    <row r="10" spans="1:7" ht="15" customHeight="1" x14ac:dyDescent="0.25">
      <c r="A10" s="1"/>
      <c r="B10" s="39" t="s">
        <v>26</v>
      </c>
      <c r="C10" s="38"/>
      <c r="D10" s="38"/>
      <c r="E10" s="8">
        <f>SUM(E8:E9)*'Fane 12. Nøgletal'!C12</f>
        <v>33727.236793652024</v>
      </c>
      <c r="F10" s="38" t="s">
        <v>3</v>
      </c>
      <c r="G10" s="1"/>
    </row>
    <row r="11" spans="1:7" ht="15" customHeight="1" x14ac:dyDescent="0.25">
      <c r="A11" s="1"/>
      <c r="B11" s="39" t="s">
        <v>115</v>
      </c>
      <c r="C11" s="38"/>
      <c r="D11" s="38"/>
      <c r="E11" s="8">
        <f>-SUM(E8:E10)*'Fane 12. Nøgletal'!C17</f>
        <v>-29678.085131689262</v>
      </c>
      <c r="F11" s="38" t="s">
        <v>3</v>
      </c>
      <c r="G11" s="1"/>
    </row>
    <row r="12" spans="1:7" x14ac:dyDescent="0.25">
      <c r="A12" s="1"/>
      <c r="B12" s="41" t="s">
        <v>28</v>
      </c>
      <c r="C12" s="41"/>
      <c r="D12" s="41"/>
      <c r="E12" s="9">
        <f>SUM(E8:E11)</f>
        <v>1716091.6284970909</v>
      </c>
      <c r="F12" s="36" t="s">
        <v>3</v>
      </c>
      <c r="G12" s="1"/>
    </row>
    <row r="13" spans="1:7" x14ac:dyDescent="0.25">
      <c r="A13" s="1"/>
      <c r="B13" s="42" t="s">
        <v>16</v>
      </c>
      <c r="C13" s="42"/>
      <c r="D13" s="42"/>
      <c r="E13" s="42"/>
      <c r="F13" s="42"/>
      <c r="G13" s="1"/>
    </row>
    <row r="14" spans="1:7" ht="15" customHeight="1" x14ac:dyDescent="0.25">
      <c r="A14" s="1"/>
      <c r="B14" s="36" t="s">
        <v>16</v>
      </c>
      <c r="C14" s="36"/>
      <c r="D14" s="36"/>
      <c r="E14" s="9">
        <f>'Fane 4. Ikke-påvirkelige omk.'!C12*(1+'Fane 12. Nøgletal'!C12)^2</f>
        <v>5120.3703126932978</v>
      </c>
      <c r="F14" s="36" t="s">
        <v>3</v>
      </c>
      <c r="G14" s="1"/>
    </row>
    <row r="15" spans="1:7" ht="15" customHeight="1" x14ac:dyDescent="0.25">
      <c r="A15" s="1"/>
      <c r="B15" s="42" t="s">
        <v>84</v>
      </c>
      <c r="C15" s="42"/>
      <c r="D15" s="42"/>
      <c r="E15" s="42"/>
      <c r="F15" s="42"/>
      <c r="G15" s="1"/>
    </row>
    <row r="16" spans="1:7" ht="15" customHeight="1" x14ac:dyDescent="0.25">
      <c r="A16" s="1"/>
      <c r="B16" s="31" t="s">
        <v>80</v>
      </c>
      <c r="C16" s="38"/>
      <c r="D16" s="38"/>
      <c r="E16" s="8">
        <f>'Fane 8.2. Engangstillæg'!C27</f>
        <v>0</v>
      </c>
      <c r="F16" s="38" t="s">
        <v>3</v>
      </c>
      <c r="G16" s="1"/>
    </row>
    <row r="17" spans="1:7" ht="15" customHeight="1" x14ac:dyDescent="0.25">
      <c r="A17" s="1"/>
      <c r="B17" s="31" t="s">
        <v>81</v>
      </c>
      <c r="C17" s="38"/>
      <c r="D17" s="38"/>
      <c r="E17" s="8">
        <f>'Fane 8.2. Engangstillæg'!E27</f>
        <v>0</v>
      </c>
      <c r="F17" s="38" t="s">
        <v>3</v>
      </c>
      <c r="G17" s="1"/>
    </row>
    <row r="18" spans="1:7" ht="15" customHeight="1" x14ac:dyDescent="0.25">
      <c r="A18" s="1"/>
      <c r="B18" s="43" t="s">
        <v>85</v>
      </c>
      <c r="C18" s="41"/>
      <c r="D18" s="41"/>
      <c r="E18" s="9">
        <f>SUM(E16:E17)</f>
        <v>0</v>
      </c>
      <c r="F18" s="36" t="s">
        <v>3</v>
      </c>
      <c r="G18" s="1"/>
    </row>
    <row r="19" spans="1:7" ht="15" customHeight="1" x14ac:dyDescent="0.25">
      <c r="A19" s="1"/>
      <c r="B19" s="42" t="s">
        <v>95</v>
      </c>
      <c r="C19" s="42"/>
      <c r="D19" s="42"/>
      <c r="E19" s="42"/>
      <c r="F19" s="42"/>
      <c r="G19" s="1"/>
    </row>
    <row r="20" spans="1:7" ht="15" customHeight="1" x14ac:dyDescent="0.25">
      <c r="A20" s="1"/>
      <c r="B20" s="36" t="s">
        <v>131</v>
      </c>
      <c r="C20" s="36"/>
      <c r="D20" s="36"/>
      <c r="E20" s="9">
        <f>'Fane 2.2. Økonomisk ramme 2021'!E22</f>
        <v>-99351.777924818452</v>
      </c>
      <c r="F20" s="36" t="s">
        <v>3</v>
      </c>
      <c r="G20" s="1"/>
    </row>
    <row r="21" spans="1:7" x14ac:dyDescent="0.25">
      <c r="A21" s="1"/>
      <c r="B21" s="42" t="s">
        <v>40</v>
      </c>
      <c r="C21" s="42"/>
      <c r="D21" s="42"/>
      <c r="E21" s="10">
        <f>SUM(E12,E14,E18,E20)</f>
        <v>1621860.2208849657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Sak62mKLb7lEToE270kYwm1HcOfUDgIPSV3wgPvB7X0OgUo6vgVjbEf/qX+JPwpbuFcaABKuVbUn5HcvH1vsOw==" saltValue="2HGbLI6jPKd9dfM5oOBXi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145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2" t="s">
        <v>19</v>
      </c>
      <c r="C7" s="42"/>
      <c r="D7" s="42"/>
      <c r="E7" s="42"/>
      <c r="F7" s="42"/>
      <c r="G7" s="1"/>
    </row>
    <row r="8" spans="1:7" ht="15" customHeight="1" x14ac:dyDescent="0.25">
      <c r="A8" s="1"/>
      <c r="B8" s="38" t="s">
        <v>38</v>
      </c>
      <c r="C8" s="38"/>
      <c r="D8" s="38"/>
      <c r="E8" s="7">
        <f>'Fane 2.3. Økonomisk ramme 2022'!E12</f>
        <v>1716091.6284970909</v>
      </c>
      <c r="F8" s="38" t="s">
        <v>3</v>
      </c>
      <c r="G8" s="1"/>
    </row>
    <row r="9" spans="1:7" ht="15" customHeight="1" x14ac:dyDescent="0.25">
      <c r="A9" s="1"/>
      <c r="B9" s="38" t="s">
        <v>144</v>
      </c>
      <c r="C9" s="38"/>
      <c r="D9" s="38"/>
      <c r="E9" s="7">
        <f>-('Fane 10. Bortfald'!C30+'Fane 10. Bortfald'!E30)</f>
        <v>0</v>
      </c>
      <c r="F9" s="38" t="s">
        <v>3</v>
      </c>
      <c r="G9" s="1"/>
    </row>
    <row r="10" spans="1:7" ht="15" customHeight="1" x14ac:dyDescent="0.25">
      <c r="A10" s="1"/>
      <c r="B10" s="39" t="s">
        <v>26</v>
      </c>
      <c r="C10" s="38"/>
      <c r="D10" s="38"/>
      <c r="E10" s="8">
        <f>E8*'Fane 12. Nøgletal'!C12</f>
        <v>33807.005081392686</v>
      </c>
      <c r="F10" s="38" t="s">
        <v>3</v>
      </c>
      <c r="G10" s="1"/>
    </row>
    <row r="11" spans="1:7" ht="15" customHeight="1" x14ac:dyDescent="0.25">
      <c r="A11" s="1"/>
      <c r="B11" s="39" t="s">
        <v>115</v>
      </c>
      <c r="C11" s="38"/>
      <c r="D11" s="38"/>
      <c r="E11" s="8">
        <f>-SUM(E8:E10)*'Fane 12. Nøgletal'!C17</f>
        <v>-29748.276770834222</v>
      </c>
      <c r="F11" s="38" t="s">
        <v>3</v>
      </c>
      <c r="G11" s="1"/>
    </row>
    <row r="12" spans="1:7" x14ac:dyDescent="0.25">
      <c r="A12" s="1"/>
      <c r="B12" s="41" t="s">
        <v>28</v>
      </c>
      <c r="C12" s="41"/>
      <c r="D12" s="41"/>
      <c r="E12" s="9">
        <f>SUM(E8:E11)</f>
        <v>1720150.3568076494</v>
      </c>
      <c r="F12" s="36" t="s">
        <v>3</v>
      </c>
      <c r="G12" s="1"/>
    </row>
    <row r="13" spans="1:7" x14ac:dyDescent="0.25">
      <c r="A13" s="1"/>
      <c r="B13" s="42" t="s">
        <v>16</v>
      </c>
      <c r="C13" s="42"/>
      <c r="D13" s="42"/>
      <c r="E13" s="42"/>
      <c r="F13" s="42"/>
      <c r="G13" s="1"/>
    </row>
    <row r="14" spans="1:7" ht="15" customHeight="1" x14ac:dyDescent="0.25">
      <c r="A14" s="1"/>
      <c r="B14" s="36" t="s">
        <v>16</v>
      </c>
      <c r="C14" s="36"/>
      <c r="D14" s="36"/>
      <c r="E14" s="9">
        <f>'Fane 4. Ikke-påvirkelige omk.'!C12*(1+'Fane 12. Nøgletal'!C12)^3</f>
        <v>5221.2416078533552</v>
      </c>
      <c r="F14" s="36" t="s">
        <v>3</v>
      </c>
      <c r="G14" s="1"/>
    </row>
    <row r="15" spans="1:7" ht="15" customHeight="1" x14ac:dyDescent="0.25">
      <c r="A15" s="1"/>
      <c r="B15" s="42" t="s">
        <v>84</v>
      </c>
      <c r="C15" s="42"/>
      <c r="D15" s="42"/>
      <c r="E15" s="42"/>
      <c r="F15" s="42"/>
      <c r="G15" s="1"/>
    </row>
    <row r="16" spans="1:7" ht="15" customHeight="1" x14ac:dyDescent="0.25">
      <c r="A16" s="1"/>
      <c r="B16" s="31" t="s">
        <v>80</v>
      </c>
      <c r="C16" s="38"/>
      <c r="D16" s="38"/>
      <c r="E16" s="8">
        <f>'Fane 8.2. Engangstillæg'!C34</f>
        <v>0</v>
      </c>
      <c r="F16" s="38" t="s">
        <v>3</v>
      </c>
      <c r="G16" s="1"/>
    </row>
    <row r="17" spans="1:7" ht="15" customHeight="1" x14ac:dyDescent="0.25">
      <c r="A17" s="1"/>
      <c r="B17" s="31" t="s">
        <v>81</v>
      </c>
      <c r="C17" s="38"/>
      <c r="D17" s="38"/>
      <c r="E17" s="8">
        <f>'Fane 8.2. Engangstillæg'!E34</f>
        <v>0</v>
      </c>
      <c r="F17" s="38" t="s">
        <v>3</v>
      </c>
      <c r="G17" s="1"/>
    </row>
    <row r="18" spans="1:7" ht="15" customHeight="1" x14ac:dyDescent="0.25">
      <c r="A18" s="1"/>
      <c r="B18" s="43" t="s">
        <v>85</v>
      </c>
      <c r="C18" s="41"/>
      <c r="D18" s="41"/>
      <c r="E18" s="9">
        <f>SUM(E16:E17)</f>
        <v>0</v>
      </c>
      <c r="F18" s="36" t="s">
        <v>3</v>
      </c>
      <c r="G18" s="1"/>
    </row>
    <row r="19" spans="1:7" ht="15" customHeight="1" x14ac:dyDescent="0.25">
      <c r="A19" s="1"/>
      <c r="B19" s="42" t="s">
        <v>95</v>
      </c>
      <c r="C19" s="42"/>
      <c r="D19" s="42"/>
      <c r="E19" s="42"/>
      <c r="F19" s="42"/>
      <c r="G19" s="1"/>
    </row>
    <row r="20" spans="1:7" ht="15" customHeight="1" x14ac:dyDescent="0.25">
      <c r="A20" s="1"/>
      <c r="B20" s="36" t="s">
        <v>131</v>
      </c>
      <c r="C20" s="36"/>
      <c r="D20" s="36"/>
      <c r="E20" s="9">
        <f>'Fane 2.3. Økonomisk ramme 2022'!E20</f>
        <v>-99351.777924818452</v>
      </c>
      <c r="F20" s="36" t="s">
        <v>3</v>
      </c>
      <c r="G20" s="1"/>
    </row>
    <row r="21" spans="1:7" x14ac:dyDescent="0.25">
      <c r="A21" s="1"/>
      <c r="B21" s="42" t="s">
        <v>89</v>
      </c>
      <c r="C21" s="42"/>
      <c r="D21" s="42"/>
      <c r="E21" s="10">
        <f>SUM(E12,E14,E18,E20)</f>
        <v>1626019.8204906844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nrCncHoXav25FHp0MhnmZDLdpZG6UwFsCv8U8GLG565Oc9ogceJg0P2xKlDTN0bbJBHeAs3s9Exj2uPjmY1iJw==" saltValue="4owJx27M7yI4bTcvbNHJq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138</v>
      </c>
      <c r="C3" s="71"/>
      <c r="D3" s="71"/>
      <c r="E3" s="71"/>
      <c r="F3" s="71"/>
      <c r="G3" s="1"/>
    </row>
    <row r="4" spans="1:7" ht="29.2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72</v>
      </c>
      <c r="C8" s="42"/>
      <c r="D8" s="42"/>
      <c r="E8" s="42"/>
      <c r="F8" s="42"/>
      <c r="G8" s="1"/>
    </row>
    <row r="9" spans="1:7" x14ac:dyDescent="0.25">
      <c r="A9" s="1"/>
      <c r="B9" s="72" t="s">
        <v>70</v>
      </c>
      <c r="C9" s="72"/>
      <c r="D9" s="72"/>
      <c r="E9" s="7">
        <v>1711384.564070106</v>
      </c>
      <c r="F9" s="38" t="s">
        <v>3</v>
      </c>
      <c r="G9" s="1"/>
    </row>
    <row r="10" spans="1:7" x14ac:dyDescent="0.25">
      <c r="A10" s="1"/>
      <c r="B10" s="74" t="s">
        <v>140</v>
      </c>
      <c r="C10" s="74"/>
      <c r="D10" s="74"/>
      <c r="E10" s="7">
        <v>0</v>
      </c>
      <c r="F10" s="38" t="s">
        <v>3</v>
      </c>
      <c r="G10" s="1"/>
    </row>
    <row r="11" spans="1:7" x14ac:dyDescent="0.25">
      <c r="A11" s="1"/>
      <c r="B11" s="73" t="s">
        <v>141</v>
      </c>
      <c r="C11" s="73"/>
      <c r="D11" s="73"/>
      <c r="E11" s="7">
        <v>0</v>
      </c>
      <c r="F11" s="38" t="s">
        <v>3</v>
      </c>
      <c r="G11" s="1"/>
    </row>
    <row r="12" spans="1:7" x14ac:dyDescent="0.25">
      <c r="A12" s="1"/>
      <c r="B12" s="73" t="s">
        <v>142</v>
      </c>
      <c r="C12" s="73"/>
      <c r="D12" s="73"/>
      <c r="E12" s="8">
        <v>0</v>
      </c>
      <c r="F12" s="38" t="s">
        <v>3</v>
      </c>
      <c r="G12" s="1"/>
    </row>
    <row r="13" spans="1:7" x14ac:dyDescent="0.25">
      <c r="A13" s="1"/>
      <c r="B13" s="73" t="s">
        <v>26</v>
      </c>
      <c r="C13" s="73"/>
      <c r="D13" s="73"/>
      <c r="E13" s="8">
        <f>(SUM(E9:E9)-SUM(E10:E10))*'Fane 12. Nøgletal'!C9+SUM(E10:E10)*'Fane 12. Nøgletal'!C10+SUM(E11:E12)*'Fane 12. Nøgletal'!C11</f>
        <v>21734.583963690344</v>
      </c>
      <c r="F13" s="38" t="s">
        <v>3</v>
      </c>
      <c r="G13" s="1"/>
    </row>
    <row r="14" spans="1:7" x14ac:dyDescent="0.25">
      <c r="A14" s="1"/>
      <c r="B14" s="73" t="s">
        <v>115</v>
      </c>
      <c r="C14" s="73"/>
      <c r="D14" s="73"/>
      <c r="E14" s="8">
        <f>-SUM(E9:E9,E11:E13)*'Fane 12. Nøgletal'!C17</f>
        <v>-29463.02551657454</v>
      </c>
      <c r="F14" s="38" t="s">
        <v>3</v>
      </c>
      <c r="G14" s="1"/>
    </row>
    <row r="15" spans="1:7" x14ac:dyDescent="0.25">
      <c r="A15" s="1"/>
      <c r="B15" s="75" t="s">
        <v>28</v>
      </c>
      <c r="C15" s="75"/>
      <c r="D15" s="75"/>
      <c r="E15" s="9">
        <f>SUM(E9,E11:E14)</f>
        <v>1703656.1225172218</v>
      </c>
      <c r="F15" s="36" t="s">
        <v>3</v>
      </c>
      <c r="G15" s="1"/>
    </row>
    <row r="16" spans="1:7" x14ac:dyDescent="0.25">
      <c r="A16" s="1"/>
      <c r="B16" s="76" t="s">
        <v>16</v>
      </c>
      <c r="C16" s="76"/>
      <c r="D16" s="76"/>
      <c r="E16" s="42"/>
      <c r="F16" s="42"/>
      <c r="G16" s="1"/>
    </row>
    <row r="17" spans="1:7" x14ac:dyDescent="0.25">
      <c r="A17" s="1"/>
      <c r="B17" s="70" t="s">
        <v>16</v>
      </c>
      <c r="C17" s="70"/>
      <c r="D17" s="70"/>
      <c r="E17" s="9">
        <v>6663.6476708399987</v>
      </c>
      <c r="F17" s="36" t="s">
        <v>3</v>
      </c>
      <c r="G17" s="1"/>
    </row>
    <row r="18" spans="1:7" x14ac:dyDescent="0.25">
      <c r="A18" s="1"/>
      <c r="B18" s="42" t="s">
        <v>71</v>
      </c>
      <c r="C18" s="42"/>
      <c r="D18" s="42"/>
      <c r="E18" s="42"/>
      <c r="F18" s="42"/>
      <c r="G18" s="1"/>
    </row>
    <row r="19" spans="1:7" ht="27" customHeight="1" x14ac:dyDescent="0.25">
      <c r="A19" s="1"/>
      <c r="B19" s="69" t="s">
        <v>74</v>
      </c>
      <c r="C19" s="69"/>
      <c r="D19" s="69"/>
      <c r="E19" s="9">
        <v>160.81864141267545</v>
      </c>
      <c r="F19" s="36" t="s">
        <v>3</v>
      </c>
      <c r="G19" s="1"/>
    </row>
    <row r="20" spans="1:7" x14ac:dyDescent="0.25">
      <c r="A20" s="1"/>
      <c r="B20" s="42" t="s">
        <v>10</v>
      </c>
      <c r="C20" s="42"/>
      <c r="D20" s="42"/>
      <c r="E20" s="42"/>
      <c r="F20" s="42"/>
      <c r="G20" s="1"/>
    </row>
    <row r="21" spans="1:7" x14ac:dyDescent="0.25">
      <c r="A21" s="1"/>
      <c r="B21" s="70" t="s">
        <v>18</v>
      </c>
      <c r="C21" s="70"/>
      <c r="D21" s="70"/>
      <c r="E21" s="9">
        <v>-256858</v>
      </c>
      <c r="F21" s="36" t="s">
        <v>3</v>
      </c>
      <c r="G21" s="1"/>
    </row>
    <row r="22" spans="1:7" x14ac:dyDescent="0.25">
      <c r="A22" s="1"/>
      <c r="B22" s="42" t="s">
        <v>23</v>
      </c>
      <c r="C22" s="42"/>
      <c r="D22" s="42"/>
      <c r="E22" s="10">
        <f>SUM(E21,E19,E17,E15)</f>
        <v>1453622.5888294745</v>
      </c>
      <c r="F22" s="11" t="s">
        <v>3</v>
      </c>
      <c r="G22" s="1"/>
    </row>
    <row r="23" spans="1:7" ht="28.5" customHeight="1" x14ac:dyDescent="0.25">
      <c r="A23" s="1"/>
      <c r="B23" s="68" t="s">
        <v>118</v>
      </c>
      <c r="C23" s="68"/>
      <c r="D23" s="68"/>
      <c r="E23" s="68"/>
      <c r="F23" s="68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0cH2lcNX8xqkvhxS4BN0R4l3oxG2i9LLjgeFJ2EZ5ib2zNwt+C+0p8H5n1xu0KCdq4nh+1ubyyCCK+if0t/l8A==" saltValue="LWpKqEuBS3EjUgQTnxcIKg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48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6" t="s">
        <v>110</v>
      </c>
      <c r="C3" s="66"/>
      <c r="D3" s="66"/>
      <c r="E3" s="1"/>
      <c r="F3" s="1"/>
    </row>
    <row r="4" spans="1:6" ht="15" customHeight="1" x14ac:dyDescent="0.25">
      <c r="A4" s="1"/>
      <c r="B4" s="66"/>
      <c r="C4" s="66"/>
      <c r="D4" s="66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7" t="s">
        <v>58</v>
      </c>
      <c r="C8" s="78"/>
      <c r="D8" s="79"/>
      <c r="E8" s="1"/>
      <c r="F8" s="1"/>
    </row>
    <row r="9" spans="1:6" ht="15" customHeight="1" x14ac:dyDescent="0.25">
      <c r="A9" s="1"/>
      <c r="B9" s="19" t="s">
        <v>43</v>
      </c>
      <c r="C9" s="36" t="s">
        <v>59</v>
      </c>
      <c r="D9" s="36"/>
      <c r="E9" s="1"/>
      <c r="F9" s="1"/>
    </row>
    <row r="10" spans="1:6" x14ac:dyDescent="0.25">
      <c r="A10" s="1"/>
      <c r="B10" s="30" t="s">
        <v>147</v>
      </c>
      <c r="C10" s="8">
        <v>4736</v>
      </c>
      <c r="D10" s="12" t="s">
        <v>3</v>
      </c>
      <c r="E10" s="1"/>
      <c r="F10" s="1"/>
    </row>
    <row r="11" spans="1:6" x14ac:dyDescent="0.25">
      <c r="A11" s="1"/>
      <c r="B11" s="46" t="s">
        <v>60</v>
      </c>
      <c r="C11" s="10">
        <f>SUM(C10:C10)</f>
        <v>4736</v>
      </c>
      <c r="D11" s="11" t="s">
        <v>3</v>
      </c>
      <c r="E11" s="1"/>
      <c r="F11" s="1"/>
    </row>
    <row r="12" spans="1:6" x14ac:dyDescent="0.25">
      <c r="A12" s="1"/>
      <c r="B12" s="46" t="s">
        <v>61</v>
      </c>
      <c r="C12" s="10">
        <f>C11*(1+'Fane 12. Nøgletal'!C12)^2</f>
        <v>4924.4363942400005</v>
      </c>
      <c r="D12" s="11" t="s">
        <v>3</v>
      </c>
      <c r="E12" s="1"/>
      <c r="F12" s="1"/>
    </row>
    <row r="13" spans="1:6" x14ac:dyDescent="0.25">
      <c r="A13" s="1"/>
      <c r="B13" s="14"/>
      <c r="C13" s="13"/>
      <c r="D13" s="13"/>
      <c r="E13" s="1"/>
      <c r="F13" s="1"/>
    </row>
    <row r="14" spans="1:6" x14ac:dyDescent="0.25">
      <c r="A14" s="1"/>
      <c r="B14" s="14"/>
      <c r="C14" s="13"/>
      <c r="D14" s="13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</sheetData>
  <sheetProtection algorithmName="SHA-512" hashValue="fuUtg+S4nB9VrlyKkWazWNAmH2fHo8bCWOtssenE38uRpd/OWNd2myhwfbME5QWvPOpMw04oVBaSeC9EXzHG6g==" saltValue="C/200tnS8j7j13Phs/ruDQ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119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ht="15" customHeight="1" x14ac:dyDescent="0.25">
      <c r="A5" s="1"/>
      <c r="B5" s="37"/>
      <c r="C5" s="37"/>
      <c r="D5" s="37"/>
      <c r="E5" s="37"/>
      <c r="F5" s="37"/>
      <c r="G5" s="1"/>
    </row>
    <row r="6" spans="1:7" ht="15" customHeight="1" x14ac:dyDescent="0.25">
      <c r="A6" s="1"/>
      <c r="B6" s="80" t="s">
        <v>47</v>
      </c>
      <c r="C6" s="80"/>
      <c r="D6" s="80"/>
      <c r="E6" s="80"/>
      <c r="F6" s="80"/>
      <c r="G6" s="1"/>
    </row>
    <row r="7" spans="1:7" ht="15" customHeight="1" x14ac:dyDescent="0.25">
      <c r="A7" s="1"/>
      <c r="B7" s="81" t="s">
        <v>45</v>
      </c>
      <c r="C7" s="81"/>
      <c r="D7" s="81"/>
      <c r="E7" s="8">
        <v>-15031.5</v>
      </c>
      <c r="F7" s="12" t="s">
        <v>3</v>
      </c>
      <c r="G7" s="1"/>
    </row>
    <row r="8" spans="1:7" ht="15" customHeight="1" x14ac:dyDescent="0.25">
      <c r="A8" s="1"/>
      <c r="B8" s="81" t="s">
        <v>46</v>
      </c>
      <c r="C8" s="81"/>
      <c r="D8" s="81"/>
      <c r="E8" s="8">
        <v>-382375.61169927381</v>
      </c>
      <c r="F8" s="12" t="s">
        <v>3</v>
      </c>
      <c r="G8" s="1"/>
    </row>
    <row r="9" spans="1:7" ht="15" customHeight="1" x14ac:dyDescent="0.25">
      <c r="A9" s="1"/>
      <c r="B9" s="83" t="s">
        <v>129</v>
      </c>
      <c r="C9" s="84"/>
      <c r="D9" s="85"/>
      <c r="E9" s="9">
        <f>SUM(E7:E8)</f>
        <v>-397407.11169927381</v>
      </c>
      <c r="F9" s="15" t="s">
        <v>3</v>
      </c>
      <c r="G9" s="1"/>
    </row>
    <row r="10" spans="1:7" ht="15" customHeight="1" x14ac:dyDescent="0.25">
      <c r="A10" s="1"/>
      <c r="B10" s="77"/>
      <c r="C10" s="78"/>
      <c r="D10" s="78"/>
      <c r="E10" s="78"/>
      <c r="F10" s="79"/>
      <c r="G10" s="1"/>
    </row>
    <row r="11" spans="1:7" ht="27" customHeight="1" x14ac:dyDescent="0.25">
      <c r="A11" s="1"/>
      <c r="B11" s="68" t="s">
        <v>113</v>
      </c>
      <c r="C11" s="68"/>
      <c r="D11" s="68"/>
      <c r="E11" s="68"/>
      <c r="F11" s="68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0" t="s">
        <v>99</v>
      </c>
      <c r="C14" s="80"/>
      <c r="D14" s="80"/>
      <c r="E14" s="80"/>
      <c r="F14" s="80"/>
      <c r="G14" s="1"/>
    </row>
    <row r="15" spans="1:7" x14ac:dyDescent="0.25">
      <c r="A15" s="1"/>
      <c r="B15" s="81" t="s">
        <v>100</v>
      </c>
      <c r="C15" s="81"/>
      <c r="D15" s="81"/>
      <c r="E15" s="8">
        <v>784204.92100000009</v>
      </c>
      <c r="F15" s="12" t="s">
        <v>3</v>
      </c>
      <c r="G15" s="1"/>
    </row>
    <row r="16" spans="1:7" x14ac:dyDescent="0.25">
      <c r="A16" s="1"/>
      <c r="B16" s="81" t="s">
        <v>101</v>
      </c>
      <c r="C16" s="81"/>
      <c r="D16" s="81"/>
      <c r="E16" s="8">
        <v>608318</v>
      </c>
      <c r="F16" s="12" t="s">
        <v>3</v>
      </c>
      <c r="G16" s="1"/>
    </row>
    <row r="17" spans="1:7" x14ac:dyDescent="0.25">
      <c r="A17" s="1"/>
      <c r="B17" s="81" t="s">
        <v>44</v>
      </c>
      <c r="C17" s="81"/>
      <c r="D17" s="81"/>
      <c r="E17" s="8">
        <v>0</v>
      </c>
      <c r="F17" s="12" t="s">
        <v>3</v>
      </c>
      <c r="G17" s="1"/>
    </row>
    <row r="18" spans="1:7" x14ac:dyDescent="0.25">
      <c r="A18" s="1"/>
      <c r="B18" s="82" t="s">
        <v>130</v>
      </c>
      <c r="C18" s="82"/>
      <c r="D18" s="82"/>
      <c r="E18" s="9">
        <f>E15-(E16-E17)</f>
        <v>175886.92100000009</v>
      </c>
      <c r="F18" s="15" t="s">
        <v>3</v>
      </c>
      <c r="G18" s="1"/>
    </row>
    <row r="19" spans="1:7" x14ac:dyDescent="0.25">
      <c r="A19" s="1"/>
      <c r="B19" s="86"/>
      <c r="C19" s="87"/>
      <c r="D19" s="87"/>
      <c r="E19" s="87"/>
      <c r="F19" s="88"/>
      <c r="G19" s="1"/>
    </row>
    <row r="20" spans="1:7" ht="28.5" customHeight="1" x14ac:dyDescent="0.25">
      <c r="A20" s="1"/>
      <c r="B20" s="68" t="s">
        <v>112</v>
      </c>
      <c r="C20" s="68"/>
      <c r="D20" s="68"/>
      <c r="E20" s="68"/>
      <c r="F20" s="68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0" t="s">
        <v>66</v>
      </c>
      <c r="C23" s="80"/>
      <c r="D23" s="80"/>
      <c r="E23" s="80"/>
      <c r="F23" s="80"/>
      <c r="G23" s="1"/>
    </row>
    <row r="24" spans="1:7" x14ac:dyDescent="0.25">
      <c r="A24" s="1"/>
      <c r="B24" s="81" t="s">
        <v>67</v>
      </c>
      <c r="C24" s="81"/>
      <c r="D24" s="81"/>
      <c r="E24" s="8">
        <v>1461323.4687701061</v>
      </c>
      <c r="F24" s="12" t="s">
        <v>3</v>
      </c>
      <c r="G24" s="1"/>
    </row>
    <row r="25" spans="1:7" x14ac:dyDescent="0.25">
      <c r="A25" s="1"/>
      <c r="B25" s="81" t="s">
        <v>68</v>
      </c>
      <c r="C25" s="81"/>
      <c r="D25" s="81"/>
      <c r="E25" s="8">
        <v>527145</v>
      </c>
      <c r="F25" s="12" t="s">
        <v>3</v>
      </c>
      <c r="G25" s="1"/>
    </row>
    <row r="26" spans="1:7" x14ac:dyDescent="0.25">
      <c r="A26" s="1"/>
      <c r="B26" s="81" t="s">
        <v>44</v>
      </c>
      <c r="C26" s="81"/>
      <c r="D26" s="81"/>
      <c r="E26" s="8">
        <v>0</v>
      </c>
      <c r="F26" s="12" t="s">
        <v>3</v>
      </c>
      <c r="G26" s="1"/>
    </row>
    <row r="27" spans="1:7" x14ac:dyDescent="0.25">
      <c r="A27" s="1"/>
      <c r="B27" s="82" t="s">
        <v>130</v>
      </c>
      <c r="C27" s="82"/>
      <c r="D27" s="82"/>
      <c r="E27" s="9">
        <f>E24-(E25-E26)</f>
        <v>934178.46877010609</v>
      </c>
      <c r="F27" s="15" t="s">
        <v>3</v>
      </c>
      <c r="G27" s="1"/>
    </row>
    <row r="28" spans="1:7" x14ac:dyDescent="0.25">
      <c r="A28" s="1"/>
      <c r="B28" s="77"/>
      <c r="C28" s="78"/>
      <c r="D28" s="78"/>
      <c r="E28" s="78"/>
      <c r="F28" s="79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0" t="s">
        <v>114</v>
      </c>
      <c r="C31" s="80"/>
      <c r="D31" s="80"/>
      <c r="E31" s="80"/>
      <c r="F31" s="80"/>
      <c r="G31" s="1"/>
    </row>
    <row r="32" spans="1:7" x14ac:dyDescent="0.25">
      <c r="A32" s="1"/>
      <c r="B32" s="74" t="s">
        <v>47</v>
      </c>
      <c r="C32" s="74"/>
      <c r="D32" s="74"/>
      <c r="E32" s="8">
        <f>E9</f>
        <v>-397407.11169927381</v>
      </c>
      <c r="F32" s="12" t="s">
        <v>3</v>
      </c>
      <c r="G32" s="1"/>
    </row>
    <row r="33" spans="1:7" x14ac:dyDescent="0.25">
      <c r="A33" s="1"/>
      <c r="B33" s="74" t="s">
        <v>128</v>
      </c>
      <c r="C33" s="74"/>
      <c r="D33" s="74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4" t="s">
        <v>122</v>
      </c>
      <c r="C34" s="74"/>
      <c r="D34" s="74"/>
      <c r="E34" s="8">
        <v>4</v>
      </c>
      <c r="F34" s="12" t="s">
        <v>27</v>
      </c>
      <c r="G34" s="1"/>
    </row>
    <row r="35" spans="1:7" x14ac:dyDescent="0.25">
      <c r="A35" s="1"/>
      <c r="B35" s="82" t="s">
        <v>151</v>
      </c>
      <c r="C35" s="82"/>
      <c r="D35" s="82"/>
      <c r="E35" s="9">
        <f>SUM(E32:E33)/E34</f>
        <v>-99351.777924818452</v>
      </c>
      <c r="F35" s="15" t="s">
        <v>3</v>
      </c>
      <c r="G35" s="1"/>
    </row>
    <row r="36" spans="1:7" x14ac:dyDescent="0.25">
      <c r="A36" s="1"/>
      <c r="B36" s="80"/>
      <c r="C36" s="80"/>
      <c r="D36" s="80"/>
      <c r="E36" s="80"/>
      <c r="F36" s="80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BLZcty6igHeHOIEDy2mU7b1hyx4aaktOMQm5Fx34+RaHZ7cuJ2vU4eHUIWJSHtcD5YGQfTPd4R922hrlsdGZUg==" saltValue="Zzy1GSavbHDdxiEh5dge9Q==" spinCount="100000" sheet="1" objects="1" scenarios="1"/>
  <mergeCells count="26"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152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0" t="s">
        <v>94</v>
      </c>
      <c r="C8" s="80"/>
      <c r="D8" s="80"/>
      <c r="E8" s="80"/>
      <c r="F8" s="80"/>
      <c r="G8" s="1"/>
    </row>
    <row r="9" spans="1:7" ht="28.5" customHeight="1" x14ac:dyDescent="0.25">
      <c r="A9" s="1"/>
      <c r="B9" s="69" t="s">
        <v>98</v>
      </c>
      <c r="C9" s="69"/>
      <c r="D9" s="69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6" t="s">
        <v>3</v>
      </c>
      <c r="G9" s="1"/>
    </row>
    <row r="10" spans="1:7" x14ac:dyDescent="0.25">
      <c r="A10" s="1"/>
      <c r="B10" s="42" t="s">
        <v>109</v>
      </c>
      <c r="C10" s="42"/>
      <c r="D10" s="42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lMK11TdfKZZvdOT29gyetgbd3vcG/obQHL3G3FWCVJxsbDyRGXWNT06l0nHtkxYY6OzQueKbTwsoADFTs3qLKg==" saltValue="XhrxiEg7C3WF9wPBBw0eKg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2019-09-04T11:21:51Z</dcterms:modified>
</cp:coreProperties>
</file>