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30" yWindow="870" windowWidth="20730" windowHeight="6585"/>
  </bookViews>
  <sheets>
    <sheet name="Potentialer og krav" sheetId="1" r:id="rId1"/>
    <sheet name="Netvolumenmål" sheetId="2" r:id="rId2"/>
    <sheet name="Costdrivere" sheetId="3" r:id="rId3"/>
  </sheets>
  <calcPr calcId="145621"/>
  <customWorkbookViews>
    <customWorkbookView name="Rikke Leerberg Jørgensen - Privat visning" guid="{FEEC711D-7441-45C2-BE37-0D81F72CC105}" mergeInterval="0" personalView="1" maximized="1" windowWidth="1680" windowHeight="804" activeSheetId="4"/>
    <customWorkbookView name="Nikos Vourexacis (KFST) - Privat visning" guid="{78FE0F1E-5FAE-4FF8-8A21-26E2BBE4E4B0}" mergeInterval="0" personalView="1" maximized="1" windowWidth="1680" windowHeight="864" activeSheetId="1"/>
    <customWorkbookView name="Kirstine Sewohl (KFST) - Privat visning" guid="{937D496E-72A5-40F1-952C-5E35A20ED697}" mergeInterval="0" personalView="1" maximized="1" windowWidth="1424" windowHeight="660" activeSheetId="1"/>
    <customWorkbookView name="Eske Benn Thomsen - Privat visning" guid="{082EB568-E16F-479D-9194-FC30FECA5931}" mergeInterval="0" personalView="1" maximized="1" windowWidth="1680" windowHeight="864" activeSheetId="1"/>
    <customWorkbookView name="Morten Peter Holme Specht (KFST) - Privat visning" guid="{2AFD09B4-3A91-4FAA-89A0-6904C5D29F07}" mergeInterval="0" personalView="1" maximized="1" windowWidth="1920" windowHeight="1014" activeSheetId="1"/>
    <customWorkbookView name="Peter Larsen (KFST) - Privat visning" guid="{91CAE626-C22B-43EE-8559-3D995B6A9B34}" mergeInterval="0" personalView="1" maximized="1" windowWidth="1680" windowHeight="860" activeSheetId="1"/>
    <customWorkbookView name="Astrid Else Grønbæk (KFST) - Privat visning" guid="{68BED3F3-B66D-4BDF-B289-CEB7B90BD70C}" mergeInterval="0" personalView="1" maximized="1" windowWidth="1600" windowHeight="981" activeSheetId="1"/>
    <customWorkbookView name="Rikke Leerberg Jørgensen (KFST) - Privat visning" guid="{66AAE60A-A1F0-42D3-9B00-B3E131221C26}" mergeInterval="0" personalView="1" maximized="1" windowWidth="1680" windowHeight="860" activeSheetId="1"/>
    <customWorkbookView name="Eske Benn Thomsen (KFST) - Privat visning" guid="{4DF14E47-3879-4E88-BE38-529244598D27}" mergeInterval="0" personalView="1" maximized="1" windowWidth="1680" windowHeight="827" activeSheetId="1"/>
    <customWorkbookView name="Lasse Trøjborg Krogh (KFST) - Privat visning" guid="{BB5CC8CF-3004-46A6-928F-22EA17328835}" mergeInterval="0" personalView="1" maximized="1" windowWidth="1280" windowHeight="834" activeSheetId="2"/>
    <customWorkbookView name="Lasse Trøjborg Krogh - Privat visning" guid="{63D1720F-4071-49FA-85F9-136B4284D4AA}" mergeInterval="0" personalView="1" maximized="1" windowWidth="1680" windowHeight="864" activeSheetId="1"/>
    <customWorkbookView name="Katrine Stagaard - Privat visning" guid="{F1F3E055-B5A3-4FD4-BADC-A75DAF105B15}" mergeInterval="0" personalView="1" maximized="1" windowWidth="1920" windowHeight="988" activeSheetId="5" showComments="commIndAndComment"/>
  </customWorkbookViews>
</workbook>
</file>

<file path=xl/calcChain.xml><?xml version="1.0" encoding="utf-8"?>
<calcChain xmlns="http://schemas.openxmlformats.org/spreadsheetml/2006/main">
  <c r="Z116" i="3" l="1"/>
  <c r="AD116" i="3"/>
  <c r="AH116" i="3"/>
  <c r="D41" i="3" l="1"/>
  <c r="L56" i="3" l="1"/>
  <c r="J56" i="3"/>
  <c r="E160" i="1" l="1"/>
  <c r="J145" i="3" l="1"/>
  <c r="L145" i="3"/>
  <c r="K145" i="3"/>
  <c r="J156" i="3" l="1"/>
  <c r="I104" i="1" l="1"/>
  <c r="I30" i="1" l="1"/>
  <c r="J30" i="1" s="1"/>
  <c r="L184" i="3" l="1"/>
  <c r="L31" i="3" l="1"/>
  <c r="I174" i="1" l="1"/>
  <c r="I162" i="1"/>
  <c r="D159" i="1" l="1"/>
  <c r="K159" i="1" l="1"/>
  <c r="G159" i="1"/>
  <c r="E127" i="1" l="1"/>
  <c r="I31" i="1" l="1"/>
  <c r="O30" i="1"/>
  <c r="H179" i="1" l="1"/>
  <c r="E173" i="1"/>
  <c r="E167" i="1"/>
  <c r="H155" i="1"/>
  <c r="H142" i="1"/>
  <c r="E78" i="1" l="1"/>
  <c r="H76" i="1"/>
  <c r="I43" i="1" l="1"/>
  <c r="J43" i="1" s="1"/>
  <c r="C46" i="3" l="1"/>
  <c r="J174" i="1" l="1"/>
  <c r="J162" i="1"/>
  <c r="I152" i="1"/>
  <c r="J152" i="1" s="1"/>
  <c r="I117" i="1"/>
  <c r="J117" i="1" s="1"/>
  <c r="I113" i="1"/>
  <c r="J113" i="1" s="1"/>
  <c r="I37" i="1"/>
  <c r="J37" i="1" s="1"/>
  <c r="J31" i="1"/>
  <c r="I13" i="1"/>
  <c r="J13" i="1" s="1"/>
  <c r="L8" i="1"/>
  <c r="O2" i="1" l="1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J105" i="2" s="1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3" i="3"/>
  <c r="J3" i="2" s="1"/>
  <c r="J11" i="2"/>
  <c r="H77" i="1" l="1"/>
  <c r="H78" i="1"/>
  <c r="H79" i="1"/>
  <c r="H80" i="1"/>
  <c r="H81" i="1"/>
  <c r="H82" i="1"/>
  <c r="H83" i="1"/>
  <c r="H84" i="1"/>
  <c r="H85" i="1"/>
  <c r="H88" i="1" l="1"/>
  <c r="H89" i="1"/>
  <c r="H90" i="1"/>
  <c r="H91" i="1"/>
  <c r="H92" i="1"/>
  <c r="H93" i="1"/>
  <c r="H94" i="1"/>
  <c r="H95" i="1"/>
  <c r="H96" i="1"/>
  <c r="H97" i="1"/>
  <c r="H98" i="1"/>
  <c r="H99" i="1"/>
  <c r="H100" i="1"/>
  <c r="D3" i="3" l="1"/>
  <c r="C3" i="3" l="1"/>
  <c r="C40" i="3"/>
  <c r="D40" i="3"/>
  <c r="E40" i="3"/>
  <c r="F40" i="3"/>
  <c r="G40" i="3"/>
  <c r="H40" i="3"/>
  <c r="H2" i="1"/>
  <c r="I2" i="1" s="1"/>
  <c r="J2" i="1" s="1"/>
  <c r="E2" i="1"/>
  <c r="H3" i="3" l="1"/>
  <c r="G3" i="3"/>
  <c r="F3" i="3"/>
  <c r="E3" i="3"/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J4" i="2"/>
  <c r="J5" i="2"/>
  <c r="J6" i="2"/>
  <c r="J7" i="2"/>
  <c r="J8" i="2"/>
  <c r="J9" i="2"/>
  <c r="J1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D4" i="3"/>
  <c r="D4" i="2" s="1"/>
  <c r="E4" i="3"/>
  <c r="E4" i="2" s="1"/>
  <c r="F4" i="3"/>
  <c r="F4" i="2" s="1"/>
  <c r="G4" i="3"/>
  <c r="G4" i="2" s="1"/>
  <c r="H4" i="3"/>
  <c r="H4" i="2" s="1"/>
  <c r="D5" i="3"/>
  <c r="D5" i="2" s="1"/>
  <c r="E5" i="3"/>
  <c r="E5" i="2" s="1"/>
  <c r="F5" i="3"/>
  <c r="F5" i="2" s="1"/>
  <c r="G5" i="3"/>
  <c r="G5" i="2" s="1"/>
  <c r="H5" i="3"/>
  <c r="H5" i="2" s="1"/>
  <c r="D6" i="3"/>
  <c r="D6" i="2" s="1"/>
  <c r="E6" i="3"/>
  <c r="E6" i="2" s="1"/>
  <c r="F6" i="3"/>
  <c r="F6" i="2" s="1"/>
  <c r="G6" i="3"/>
  <c r="G6" i="2" s="1"/>
  <c r="H6" i="3"/>
  <c r="H6" i="2" s="1"/>
  <c r="D7" i="3"/>
  <c r="D7" i="2" s="1"/>
  <c r="E7" i="3"/>
  <c r="E7" i="2" s="1"/>
  <c r="F7" i="3"/>
  <c r="F7" i="2" s="1"/>
  <c r="G7" i="3"/>
  <c r="G7" i="2" s="1"/>
  <c r="H7" i="3"/>
  <c r="H7" i="2" s="1"/>
  <c r="D8" i="3"/>
  <c r="D8" i="2" s="1"/>
  <c r="E8" i="3"/>
  <c r="E8" i="2" s="1"/>
  <c r="F8" i="3"/>
  <c r="F8" i="2" s="1"/>
  <c r="G8" i="3"/>
  <c r="G8" i="2" s="1"/>
  <c r="H8" i="3"/>
  <c r="H8" i="2" s="1"/>
  <c r="D9" i="3"/>
  <c r="D9" i="2" s="1"/>
  <c r="E9" i="3"/>
  <c r="E9" i="2" s="1"/>
  <c r="F9" i="3"/>
  <c r="F9" i="2" s="1"/>
  <c r="G9" i="3"/>
  <c r="G9" i="2" s="1"/>
  <c r="H9" i="3"/>
  <c r="H9" i="2" s="1"/>
  <c r="D10" i="3"/>
  <c r="D10" i="2" s="1"/>
  <c r="E10" i="3"/>
  <c r="E10" i="2" s="1"/>
  <c r="F10" i="3"/>
  <c r="F10" i="2" s="1"/>
  <c r="G10" i="3"/>
  <c r="G10" i="2" s="1"/>
  <c r="H10" i="3"/>
  <c r="H10" i="2" s="1"/>
  <c r="D11" i="3"/>
  <c r="D11" i="2" s="1"/>
  <c r="E11" i="3"/>
  <c r="E11" i="2" s="1"/>
  <c r="F11" i="3"/>
  <c r="F11" i="2" s="1"/>
  <c r="G11" i="3"/>
  <c r="G11" i="2" s="1"/>
  <c r="H11" i="3"/>
  <c r="H11" i="2" s="1"/>
  <c r="D12" i="3"/>
  <c r="D12" i="2" s="1"/>
  <c r="E12" i="3"/>
  <c r="E12" i="2" s="1"/>
  <c r="F12" i="3"/>
  <c r="F12" i="2" s="1"/>
  <c r="G12" i="3"/>
  <c r="G12" i="2" s="1"/>
  <c r="H12" i="3"/>
  <c r="H12" i="2" s="1"/>
  <c r="D13" i="3"/>
  <c r="D13" i="2" s="1"/>
  <c r="E13" i="3"/>
  <c r="E13" i="2" s="1"/>
  <c r="F13" i="3"/>
  <c r="F13" i="2" s="1"/>
  <c r="G13" i="3"/>
  <c r="G13" i="2" s="1"/>
  <c r="H13" i="3"/>
  <c r="H13" i="2" s="1"/>
  <c r="D14" i="3"/>
  <c r="D14" i="2" s="1"/>
  <c r="E14" i="3"/>
  <c r="E14" i="2" s="1"/>
  <c r="F14" i="3"/>
  <c r="F14" i="2" s="1"/>
  <c r="G14" i="3"/>
  <c r="G14" i="2" s="1"/>
  <c r="H14" i="3"/>
  <c r="H14" i="2" s="1"/>
  <c r="D15" i="3"/>
  <c r="D15" i="2" s="1"/>
  <c r="E15" i="3"/>
  <c r="E15" i="2" s="1"/>
  <c r="F15" i="3"/>
  <c r="F15" i="2" s="1"/>
  <c r="G15" i="3"/>
  <c r="G15" i="2" s="1"/>
  <c r="H15" i="3"/>
  <c r="H15" i="2" s="1"/>
  <c r="D16" i="3"/>
  <c r="D16" i="2" s="1"/>
  <c r="E16" i="3"/>
  <c r="E16" i="2" s="1"/>
  <c r="F16" i="3"/>
  <c r="F16" i="2" s="1"/>
  <c r="G16" i="3"/>
  <c r="G16" i="2" s="1"/>
  <c r="H16" i="3"/>
  <c r="H16" i="2" s="1"/>
  <c r="D17" i="3"/>
  <c r="D17" i="2" s="1"/>
  <c r="E17" i="3"/>
  <c r="E17" i="2" s="1"/>
  <c r="F17" i="3"/>
  <c r="F17" i="2" s="1"/>
  <c r="G17" i="3"/>
  <c r="G17" i="2" s="1"/>
  <c r="H17" i="3"/>
  <c r="H17" i="2" s="1"/>
  <c r="D18" i="3"/>
  <c r="D18" i="2" s="1"/>
  <c r="E18" i="3"/>
  <c r="E18" i="2" s="1"/>
  <c r="F18" i="3"/>
  <c r="F18" i="2" s="1"/>
  <c r="G18" i="3"/>
  <c r="G18" i="2" s="1"/>
  <c r="H18" i="3"/>
  <c r="H18" i="2" s="1"/>
  <c r="D19" i="3"/>
  <c r="D19" i="2" s="1"/>
  <c r="E19" i="3"/>
  <c r="E19" i="2" s="1"/>
  <c r="F19" i="3"/>
  <c r="F19" i="2" s="1"/>
  <c r="G19" i="3"/>
  <c r="G19" i="2" s="1"/>
  <c r="H19" i="3"/>
  <c r="H19" i="2" s="1"/>
  <c r="D20" i="3"/>
  <c r="D20" i="2" s="1"/>
  <c r="E20" i="3"/>
  <c r="E20" i="2" s="1"/>
  <c r="F20" i="3"/>
  <c r="F20" i="2" s="1"/>
  <c r="G20" i="3"/>
  <c r="G20" i="2" s="1"/>
  <c r="H20" i="3"/>
  <c r="H20" i="2" s="1"/>
  <c r="D21" i="3"/>
  <c r="D21" i="2" s="1"/>
  <c r="E21" i="3"/>
  <c r="E21" i="2" s="1"/>
  <c r="F21" i="3"/>
  <c r="F21" i="2" s="1"/>
  <c r="G21" i="3"/>
  <c r="G21" i="2" s="1"/>
  <c r="H21" i="3"/>
  <c r="H21" i="2" s="1"/>
  <c r="D22" i="3"/>
  <c r="D22" i="2" s="1"/>
  <c r="E22" i="3"/>
  <c r="E22" i="2" s="1"/>
  <c r="F22" i="3"/>
  <c r="F22" i="2" s="1"/>
  <c r="G22" i="3"/>
  <c r="G22" i="2" s="1"/>
  <c r="H22" i="3"/>
  <c r="H22" i="2" s="1"/>
  <c r="D23" i="3"/>
  <c r="D23" i="2" s="1"/>
  <c r="E23" i="3"/>
  <c r="E23" i="2" s="1"/>
  <c r="F23" i="3"/>
  <c r="F23" i="2" s="1"/>
  <c r="G23" i="3"/>
  <c r="G23" i="2" s="1"/>
  <c r="H23" i="3"/>
  <c r="H23" i="2" s="1"/>
  <c r="D24" i="3"/>
  <c r="D24" i="2" s="1"/>
  <c r="E24" i="3"/>
  <c r="E24" i="2" s="1"/>
  <c r="F24" i="3"/>
  <c r="F24" i="2" s="1"/>
  <c r="G24" i="3"/>
  <c r="G24" i="2" s="1"/>
  <c r="H24" i="3"/>
  <c r="H24" i="2" s="1"/>
  <c r="D25" i="3"/>
  <c r="D25" i="2" s="1"/>
  <c r="E25" i="3"/>
  <c r="E25" i="2" s="1"/>
  <c r="F25" i="3"/>
  <c r="F25" i="2" s="1"/>
  <c r="G25" i="3"/>
  <c r="G25" i="2" s="1"/>
  <c r="H25" i="3"/>
  <c r="H25" i="2" s="1"/>
  <c r="D26" i="3"/>
  <c r="D26" i="2" s="1"/>
  <c r="E26" i="3"/>
  <c r="E26" i="2" s="1"/>
  <c r="F26" i="3"/>
  <c r="F26" i="2" s="1"/>
  <c r="G26" i="3"/>
  <c r="G26" i="2" s="1"/>
  <c r="H26" i="3"/>
  <c r="H26" i="2" s="1"/>
  <c r="D27" i="3"/>
  <c r="D27" i="2" s="1"/>
  <c r="E27" i="3"/>
  <c r="E27" i="2" s="1"/>
  <c r="F27" i="3"/>
  <c r="F27" i="2" s="1"/>
  <c r="G27" i="3"/>
  <c r="G27" i="2" s="1"/>
  <c r="H27" i="3"/>
  <c r="H27" i="2" s="1"/>
  <c r="D28" i="3"/>
  <c r="D28" i="2" s="1"/>
  <c r="E28" i="3"/>
  <c r="E28" i="2" s="1"/>
  <c r="F28" i="3"/>
  <c r="F28" i="2" s="1"/>
  <c r="G28" i="3"/>
  <c r="G28" i="2" s="1"/>
  <c r="H28" i="3"/>
  <c r="H28" i="2" s="1"/>
  <c r="D29" i="3"/>
  <c r="D29" i="2" s="1"/>
  <c r="E29" i="3"/>
  <c r="E29" i="2" s="1"/>
  <c r="F29" i="3"/>
  <c r="F29" i="2" s="1"/>
  <c r="G29" i="3"/>
  <c r="G29" i="2" s="1"/>
  <c r="H29" i="3"/>
  <c r="H29" i="2" s="1"/>
  <c r="D30" i="3"/>
  <c r="D30" i="2" s="1"/>
  <c r="E30" i="3"/>
  <c r="E30" i="2" s="1"/>
  <c r="F30" i="3"/>
  <c r="F30" i="2" s="1"/>
  <c r="G30" i="3"/>
  <c r="G30" i="2" s="1"/>
  <c r="H30" i="3"/>
  <c r="H30" i="2" s="1"/>
  <c r="D31" i="3"/>
  <c r="D31" i="2" s="1"/>
  <c r="E31" i="3"/>
  <c r="E31" i="2" s="1"/>
  <c r="F31" i="3"/>
  <c r="F31" i="2" s="1"/>
  <c r="G31" i="3"/>
  <c r="G31" i="2" s="1"/>
  <c r="H31" i="3"/>
  <c r="H31" i="2" s="1"/>
  <c r="D32" i="3"/>
  <c r="D32" i="2" s="1"/>
  <c r="E32" i="3"/>
  <c r="E32" i="2" s="1"/>
  <c r="F32" i="3"/>
  <c r="F32" i="2" s="1"/>
  <c r="G32" i="3"/>
  <c r="G32" i="2" s="1"/>
  <c r="H32" i="3"/>
  <c r="H32" i="2" s="1"/>
  <c r="D33" i="3"/>
  <c r="D33" i="2" s="1"/>
  <c r="E33" i="3"/>
  <c r="E33" i="2" s="1"/>
  <c r="F33" i="3"/>
  <c r="F33" i="2" s="1"/>
  <c r="G33" i="3"/>
  <c r="G33" i="2" s="1"/>
  <c r="H33" i="3"/>
  <c r="H33" i="2" s="1"/>
  <c r="D34" i="3"/>
  <c r="D34" i="2" s="1"/>
  <c r="E34" i="3"/>
  <c r="E34" i="2" s="1"/>
  <c r="F34" i="3"/>
  <c r="F34" i="2" s="1"/>
  <c r="G34" i="3"/>
  <c r="G34" i="2" s="1"/>
  <c r="H34" i="3"/>
  <c r="H34" i="2" s="1"/>
  <c r="D35" i="3"/>
  <c r="D35" i="2" s="1"/>
  <c r="E35" i="3"/>
  <c r="E35" i="2" s="1"/>
  <c r="F35" i="3"/>
  <c r="F35" i="2" s="1"/>
  <c r="G35" i="3"/>
  <c r="G35" i="2" s="1"/>
  <c r="H35" i="3"/>
  <c r="H35" i="2" s="1"/>
  <c r="D36" i="3"/>
  <c r="D36" i="2" s="1"/>
  <c r="E36" i="3"/>
  <c r="E36" i="2" s="1"/>
  <c r="F36" i="3"/>
  <c r="F36" i="2" s="1"/>
  <c r="G36" i="3"/>
  <c r="G36" i="2" s="1"/>
  <c r="H36" i="3"/>
  <c r="H36" i="2" s="1"/>
  <c r="D37" i="3"/>
  <c r="D37" i="2" s="1"/>
  <c r="E37" i="3"/>
  <c r="E37" i="2" s="1"/>
  <c r="F37" i="3"/>
  <c r="F37" i="2" s="1"/>
  <c r="G37" i="3"/>
  <c r="G37" i="2" s="1"/>
  <c r="H37" i="3"/>
  <c r="H37" i="2" s="1"/>
  <c r="D38" i="3"/>
  <c r="D38" i="2" s="1"/>
  <c r="E38" i="3"/>
  <c r="E38" i="2" s="1"/>
  <c r="F38" i="3"/>
  <c r="F38" i="2" s="1"/>
  <c r="G38" i="3"/>
  <c r="G38" i="2" s="1"/>
  <c r="H38" i="3"/>
  <c r="H38" i="2" s="1"/>
  <c r="D39" i="3"/>
  <c r="D39" i="2" s="1"/>
  <c r="E39" i="3"/>
  <c r="E39" i="2" s="1"/>
  <c r="F39" i="3"/>
  <c r="F39" i="2" s="1"/>
  <c r="G39" i="3"/>
  <c r="G39" i="2" s="1"/>
  <c r="H39" i="3"/>
  <c r="H39" i="2" s="1"/>
  <c r="D40" i="2"/>
  <c r="E40" i="2"/>
  <c r="F40" i="2"/>
  <c r="G40" i="2"/>
  <c r="H40" i="2"/>
  <c r="D41" i="2"/>
  <c r="E41" i="3"/>
  <c r="E41" i="2" s="1"/>
  <c r="F41" i="3"/>
  <c r="F41" i="2" s="1"/>
  <c r="G41" i="3"/>
  <c r="G41" i="2" s="1"/>
  <c r="H41" i="3"/>
  <c r="H41" i="2" s="1"/>
  <c r="D42" i="3"/>
  <c r="D42" i="2" s="1"/>
  <c r="E42" i="3"/>
  <c r="E42" i="2" s="1"/>
  <c r="F42" i="3"/>
  <c r="F42" i="2" s="1"/>
  <c r="G42" i="3"/>
  <c r="G42" i="2" s="1"/>
  <c r="H42" i="3"/>
  <c r="H42" i="2" s="1"/>
  <c r="D43" i="3"/>
  <c r="D43" i="2" s="1"/>
  <c r="E43" i="3"/>
  <c r="E43" i="2" s="1"/>
  <c r="F43" i="3"/>
  <c r="F43" i="2" s="1"/>
  <c r="G43" i="3"/>
  <c r="G43" i="2" s="1"/>
  <c r="H43" i="3"/>
  <c r="H43" i="2" s="1"/>
  <c r="D44" i="3"/>
  <c r="D44" i="2" s="1"/>
  <c r="E44" i="3"/>
  <c r="E44" i="2" s="1"/>
  <c r="F44" i="3"/>
  <c r="F44" i="2" s="1"/>
  <c r="G44" i="3"/>
  <c r="G44" i="2" s="1"/>
  <c r="H44" i="3"/>
  <c r="H44" i="2" s="1"/>
  <c r="D45" i="3"/>
  <c r="D45" i="2" s="1"/>
  <c r="E45" i="3"/>
  <c r="E45" i="2" s="1"/>
  <c r="F45" i="3"/>
  <c r="F45" i="2" s="1"/>
  <c r="G45" i="3"/>
  <c r="G45" i="2" s="1"/>
  <c r="H45" i="3"/>
  <c r="H45" i="2" s="1"/>
  <c r="D46" i="3"/>
  <c r="D46" i="2" s="1"/>
  <c r="E46" i="3"/>
  <c r="E46" i="2" s="1"/>
  <c r="F46" i="3"/>
  <c r="F46" i="2" s="1"/>
  <c r="G46" i="3"/>
  <c r="G46" i="2" s="1"/>
  <c r="H46" i="3"/>
  <c r="H46" i="2" s="1"/>
  <c r="D47" i="3"/>
  <c r="D47" i="2" s="1"/>
  <c r="E47" i="3"/>
  <c r="E47" i="2" s="1"/>
  <c r="F47" i="3"/>
  <c r="F47" i="2" s="1"/>
  <c r="G47" i="3"/>
  <c r="G47" i="2" s="1"/>
  <c r="H47" i="3"/>
  <c r="H47" i="2" s="1"/>
  <c r="D48" i="3"/>
  <c r="D48" i="2" s="1"/>
  <c r="E48" i="3"/>
  <c r="E48" i="2" s="1"/>
  <c r="F48" i="3"/>
  <c r="F48" i="2" s="1"/>
  <c r="G48" i="3"/>
  <c r="G48" i="2" s="1"/>
  <c r="H48" i="3"/>
  <c r="H48" i="2" s="1"/>
  <c r="D49" i="3"/>
  <c r="D49" i="2" s="1"/>
  <c r="E49" i="3"/>
  <c r="E49" i="2" s="1"/>
  <c r="F49" i="3"/>
  <c r="F49" i="2" s="1"/>
  <c r="G49" i="3"/>
  <c r="G49" i="2" s="1"/>
  <c r="H49" i="3"/>
  <c r="H49" i="2" s="1"/>
  <c r="D50" i="3"/>
  <c r="D50" i="2" s="1"/>
  <c r="E50" i="3"/>
  <c r="E50" i="2" s="1"/>
  <c r="F50" i="3"/>
  <c r="F50" i="2" s="1"/>
  <c r="G50" i="3"/>
  <c r="G50" i="2" s="1"/>
  <c r="H50" i="3"/>
  <c r="H50" i="2" s="1"/>
  <c r="D51" i="3"/>
  <c r="D51" i="2" s="1"/>
  <c r="E51" i="3"/>
  <c r="E51" i="2" s="1"/>
  <c r="F51" i="3"/>
  <c r="F51" i="2" s="1"/>
  <c r="G51" i="3"/>
  <c r="G51" i="2" s="1"/>
  <c r="H51" i="3"/>
  <c r="H51" i="2" s="1"/>
  <c r="D52" i="3"/>
  <c r="D52" i="2" s="1"/>
  <c r="E52" i="3"/>
  <c r="E52" i="2" s="1"/>
  <c r="F52" i="3"/>
  <c r="F52" i="2" s="1"/>
  <c r="G52" i="3"/>
  <c r="G52" i="2" s="1"/>
  <c r="H52" i="3"/>
  <c r="H52" i="2" s="1"/>
  <c r="D53" i="3"/>
  <c r="D53" i="2" s="1"/>
  <c r="E53" i="3"/>
  <c r="E53" i="2" s="1"/>
  <c r="F53" i="3"/>
  <c r="F53" i="2" s="1"/>
  <c r="G53" i="3"/>
  <c r="G53" i="2" s="1"/>
  <c r="H53" i="3"/>
  <c r="H53" i="2" s="1"/>
  <c r="D54" i="3"/>
  <c r="D54" i="2" s="1"/>
  <c r="E54" i="3"/>
  <c r="E54" i="2" s="1"/>
  <c r="F54" i="3"/>
  <c r="F54" i="2" s="1"/>
  <c r="G54" i="3"/>
  <c r="G54" i="2" s="1"/>
  <c r="H54" i="3"/>
  <c r="H54" i="2" s="1"/>
  <c r="D55" i="3"/>
  <c r="D55" i="2" s="1"/>
  <c r="E55" i="3"/>
  <c r="E55" i="2" s="1"/>
  <c r="F55" i="3"/>
  <c r="F55" i="2" s="1"/>
  <c r="G55" i="3"/>
  <c r="G55" i="2" s="1"/>
  <c r="H55" i="3"/>
  <c r="H55" i="2" s="1"/>
  <c r="D56" i="3"/>
  <c r="D56" i="2" s="1"/>
  <c r="E56" i="3"/>
  <c r="E56" i="2" s="1"/>
  <c r="F56" i="3"/>
  <c r="F56" i="2" s="1"/>
  <c r="G56" i="3"/>
  <c r="G56" i="2" s="1"/>
  <c r="H56" i="3"/>
  <c r="H56" i="2" s="1"/>
  <c r="D57" i="3"/>
  <c r="D57" i="2" s="1"/>
  <c r="E57" i="3"/>
  <c r="E57" i="2" s="1"/>
  <c r="F57" i="3"/>
  <c r="F57" i="2" s="1"/>
  <c r="G57" i="3"/>
  <c r="G57" i="2" s="1"/>
  <c r="H57" i="3"/>
  <c r="H57" i="2" s="1"/>
  <c r="D58" i="3"/>
  <c r="D58" i="2" s="1"/>
  <c r="E58" i="3"/>
  <c r="E58" i="2" s="1"/>
  <c r="F58" i="3"/>
  <c r="F58" i="2" s="1"/>
  <c r="G58" i="3"/>
  <c r="G58" i="2" s="1"/>
  <c r="H58" i="3"/>
  <c r="H58" i="2" s="1"/>
  <c r="D59" i="3"/>
  <c r="D59" i="2" s="1"/>
  <c r="E59" i="3"/>
  <c r="E59" i="2" s="1"/>
  <c r="F59" i="3"/>
  <c r="F59" i="2" s="1"/>
  <c r="G59" i="3"/>
  <c r="G59" i="2" s="1"/>
  <c r="H59" i="3"/>
  <c r="H59" i="2" s="1"/>
  <c r="D60" i="3"/>
  <c r="D60" i="2" s="1"/>
  <c r="E60" i="3"/>
  <c r="E60" i="2" s="1"/>
  <c r="F60" i="3"/>
  <c r="F60" i="2" s="1"/>
  <c r="G60" i="3"/>
  <c r="G60" i="2" s="1"/>
  <c r="H60" i="3"/>
  <c r="H60" i="2" s="1"/>
  <c r="D61" i="3"/>
  <c r="D61" i="2" s="1"/>
  <c r="E61" i="3"/>
  <c r="E61" i="2" s="1"/>
  <c r="F61" i="3"/>
  <c r="F61" i="2" s="1"/>
  <c r="G61" i="3"/>
  <c r="G61" i="2" s="1"/>
  <c r="H61" i="3"/>
  <c r="H61" i="2" s="1"/>
  <c r="D62" i="3"/>
  <c r="D62" i="2" s="1"/>
  <c r="E62" i="3"/>
  <c r="E62" i="2" s="1"/>
  <c r="F62" i="3"/>
  <c r="F62" i="2" s="1"/>
  <c r="G62" i="3"/>
  <c r="G62" i="2" s="1"/>
  <c r="H62" i="3"/>
  <c r="H62" i="2" s="1"/>
  <c r="D63" i="3"/>
  <c r="D63" i="2" s="1"/>
  <c r="E63" i="3"/>
  <c r="E63" i="2" s="1"/>
  <c r="F63" i="3"/>
  <c r="F63" i="2" s="1"/>
  <c r="G63" i="3"/>
  <c r="G63" i="2" s="1"/>
  <c r="H63" i="3"/>
  <c r="H63" i="2" s="1"/>
  <c r="D64" i="3"/>
  <c r="D64" i="2" s="1"/>
  <c r="E64" i="3"/>
  <c r="E64" i="2" s="1"/>
  <c r="F64" i="3"/>
  <c r="F64" i="2" s="1"/>
  <c r="G64" i="3"/>
  <c r="G64" i="2" s="1"/>
  <c r="H64" i="3"/>
  <c r="H64" i="2" s="1"/>
  <c r="D65" i="3"/>
  <c r="D65" i="2" s="1"/>
  <c r="E65" i="3"/>
  <c r="E65" i="2" s="1"/>
  <c r="F65" i="3"/>
  <c r="F65" i="2" s="1"/>
  <c r="G65" i="3"/>
  <c r="G65" i="2" s="1"/>
  <c r="H65" i="3"/>
  <c r="H65" i="2" s="1"/>
  <c r="D66" i="3"/>
  <c r="D66" i="2" s="1"/>
  <c r="E66" i="3"/>
  <c r="E66" i="2" s="1"/>
  <c r="F66" i="3"/>
  <c r="F66" i="2" s="1"/>
  <c r="G66" i="3"/>
  <c r="G66" i="2" s="1"/>
  <c r="H66" i="3"/>
  <c r="H66" i="2" s="1"/>
  <c r="D67" i="3"/>
  <c r="D67" i="2" s="1"/>
  <c r="E67" i="3"/>
  <c r="E67" i="2" s="1"/>
  <c r="F67" i="3"/>
  <c r="F67" i="2" s="1"/>
  <c r="G67" i="3"/>
  <c r="G67" i="2" s="1"/>
  <c r="H67" i="3"/>
  <c r="H67" i="2" s="1"/>
  <c r="D68" i="3"/>
  <c r="D68" i="2" s="1"/>
  <c r="E68" i="3"/>
  <c r="E68" i="2" s="1"/>
  <c r="F68" i="3"/>
  <c r="F68" i="2" s="1"/>
  <c r="G68" i="3"/>
  <c r="G68" i="2" s="1"/>
  <c r="H68" i="3"/>
  <c r="H68" i="2" s="1"/>
  <c r="D69" i="3"/>
  <c r="D69" i="2" s="1"/>
  <c r="E69" i="3"/>
  <c r="E69" i="2" s="1"/>
  <c r="F69" i="3"/>
  <c r="F69" i="2" s="1"/>
  <c r="G69" i="3"/>
  <c r="G69" i="2" s="1"/>
  <c r="H69" i="3"/>
  <c r="H69" i="2" s="1"/>
  <c r="D70" i="3"/>
  <c r="D70" i="2" s="1"/>
  <c r="E70" i="3"/>
  <c r="E70" i="2" s="1"/>
  <c r="F70" i="3"/>
  <c r="F70" i="2" s="1"/>
  <c r="G70" i="3"/>
  <c r="G70" i="2" s="1"/>
  <c r="H70" i="3"/>
  <c r="H70" i="2" s="1"/>
  <c r="D71" i="3"/>
  <c r="D71" i="2" s="1"/>
  <c r="E71" i="3"/>
  <c r="E71" i="2" s="1"/>
  <c r="F71" i="3"/>
  <c r="F71" i="2" s="1"/>
  <c r="G71" i="3"/>
  <c r="G71" i="2" s="1"/>
  <c r="H71" i="3"/>
  <c r="H71" i="2" s="1"/>
  <c r="D72" i="3"/>
  <c r="D72" i="2" s="1"/>
  <c r="E72" i="3"/>
  <c r="E72" i="2" s="1"/>
  <c r="F72" i="3"/>
  <c r="F72" i="2" s="1"/>
  <c r="G72" i="3"/>
  <c r="G72" i="2" s="1"/>
  <c r="H72" i="3"/>
  <c r="H72" i="2" s="1"/>
  <c r="D73" i="3"/>
  <c r="D73" i="2" s="1"/>
  <c r="E73" i="3"/>
  <c r="E73" i="2" s="1"/>
  <c r="F73" i="3"/>
  <c r="F73" i="2" s="1"/>
  <c r="G73" i="3"/>
  <c r="G73" i="2" s="1"/>
  <c r="H73" i="3"/>
  <c r="H73" i="2" s="1"/>
  <c r="D74" i="3"/>
  <c r="D74" i="2" s="1"/>
  <c r="E74" i="3"/>
  <c r="E74" i="2" s="1"/>
  <c r="F74" i="3"/>
  <c r="F74" i="2" s="1"/>
  <c r="G74" i="3"/>
  <c r="G74" i="2" s="1"/>
  <c r="H74" i="3"/>
  <c r="H74" i="2" s="1"/>
  <c r="D75" i="3"/>
  <c r="D75" i="2" s="1"/>
  <c r="E75" i="3"/>
  <c r="E75" i="2" s="1"/>
  <c r="F75" i="3"/>
  <c r="F75" i="2" s="1"/>
  <c r="G75" i="3"/>
  <c r="G75" i="2" s="1"/>
  <c r="H75" i="3"/>
  <c r="H75" i="2" s="1"/>
  <c r="D76" i="3"/>
  <c r="D76" i="2" s="1"/>
  <c r="E76" i="3"/>
  <c r="E76" i="2" s="1"/>
  <c r="F76" i="3"/>
  <c r="F76" i="2" s="1"/>
  <c r="G76" i="3"/>
  <c r="G76" i="2" s="1"/>
  <c r="H76" i="3"/>
  <c r="H76" i="2" s="1"/>
  <c r="D77" i="3"/>
  <c r="D77" i="2" s="1"/>
  <c r="E77" i="3"/>
  <c r="E77" i="2" s="1"/>
  <c r="F77" i="3"/>
  <c r="F77" i="2" s="1"/>
  <c r="G77" i="3"/>
  <c r="G77" i="2" s="1"/>
  <c r="H77" i="3"/>
  <c r="H77" i="2" s="1"/>
  <c r="D78" i="3"/>
  <c r="D78" i="2" s="1"/>
  <c r="E78" i="3"/>
  <c r="E78" i="2" s="1"/>
  <c r="F78" i="3"/>
  <c r="F78" i="2" s="1"/>
  <c r="G78" i="3"/>
  <c r="G78" i="2" s="1"/>
  <c r="H78" i="3"/>
  <c r="H78" i="2" s="1"/>
  <c r="D79" i="3"/>
  <c r="D79" i="2" s="1"/>
  <c r="E79" i="3"/>
  <c r="E79" i="2" s="1"/>
  <c r="F79" i="3"/>
  <c r="F79" i="2" s="1"/>
  <c r="G79" i="3"/>
  <c r="G79" i="2" s="1"/>
  <c r="H79" i="3"/>
  <c r="H79" i="2" s="1"/>
  <c r="D80" i="3"/>
  <c r="D80" i="2" s="1"/>
  <c r="E80" i="3"/>
  <c r="E80" i="2" s="1"/>
  <c r="F80" i="3"/>
  <c r="F80" i="2" s="1"/>
  <c r="G80" i="3"/>
  <c r="G80" i="2" s="1"/>
  <c r="H80" i="3"/>
  <c r="H80" i="2" s="1"/>
  <c r="D81" i="3"/>
  <c r="D81" i="2" s="1"/>
  <c r="E81" i="3"/>
  <c r="E81" i="2" s="1"/>
  <c r="F81" i="3"/>
  <c r="F81" i="2" s="1"/>
  <c r="G81" i="3"/>
  <c r="G81" i="2" s="1"/>
  <c r="H81" i="3"/>
  <c r="H81" i="2" s="1"/>
  <c r="D82" i="3"/>
  <c r="D82" i="2" s="1"/>
  <c r="E82" i="3"/>
  <c r="E82" i="2" s="1"/>
  <c r="F82" i="3"/>
  <c r="F82" i="2" s="1"/>
  <c r="G82" i="3"/>
  <c r="G82" i="2" s="1"/>
  <c r="H82" i="3"/>
  <c r="H82" i="2" s="1"/>
  <c r="D83" i="3"/>
  <c r="D83" i="2" s="1"/>
  <c r="E83" i="3"/>
  <c r="E83" i="2" s="1"/>
  <c r="F83" i="3"/>
  <c r="F83" i="2" s="1"/>
  <c r="G83" i="3"/>
  <c r="G83" i="2" s="1"/>
  <c r="H83" i="3"/>
  <c r="H83" i="2" s="1"/>
  <c r="D84" i="3"/>
  <c r="D84" i="2" s="1"/>
  <c r="E84" i="3"/>
  <c r="E84" i="2" s="1"/>
  <c r="F84" i="3"/>
  <c r="F84" i="2" s="1"/>
  <c r="G84" i="3"/>
  <c r="G84" i="2" s="1"/>
  <c r="H84" i="3"/>
  <c r="H84" i="2" s="1"/>
  <c r="D85" i="3"/>
  <c r="D85" i="2" s="1"/>
  <c r="E85" i="3"/>
  <c r="E85" i="2" s="1"/>
  <c r="F85" i="3"/>
  <c r="F85" i="2" s="1"/>
  <c r="G85" i="3"/>
  <c r="G85" i="2" s="1"/>
  <c r="H85" i="3"/>
  <c r="H85" i="2" s="1"/>
  <c r="D86" i="3"/>
  <c r="D86" i="2" s="1"/>
  <c r="E86" i="3"/>
  <c r="E86" i="2" s="1"/>
  <c r="F86" i="3"/>
  <c r="F86" i="2" s="1"/>
  <c r="G86" i="3"/>
  <c r="G86" i="2" s="1"/>
  <c r="H86" i="3"/>
  <c r="H86" i="2" s="1"/>
  <c r="D87" i="3"/>
  <c r="D87" i="2" s="1"/>
  <c r="E87" i="3"/>
  <c r="E87" i="2" s="1"/>
  <c r="F87" i="3"/>
  <c r="F87" i="2" s="1"/>
  <c r="G87" i="3"/>
  <c r="G87" i="2" s="1"/>
  <c r="H87" i="3"/>
  <c r="H87" i="2" s="1"/>
  <c r="D88" i="3"/>
  <c r="D88" i="2" s="1"/>
  <c r="E88" i="3"/>
  <c r="E88" i="2" s="1"/>
  <c r="F88" i="3"/>
  <c r="F88" i="2" s="1"/>
  <c r="G88" i="3"/>
  <c r="G88" i="2" s="1"/>
  <c r="H88" i="3"/>
  <c r="H88" i="2" s="1"/>
  <c r="D89" i="3"/>
  <c r="D89" i="2" s="1"/>
  <c r="E89" i="3"/>
  <c r="E89" i="2" s="1"/>
  <c r="F89" i="3"/>
  <c r="F89" i="2" s="1"/>
  <c r="G89" i="3"/>
  <c r="G89" i="2" s="1"/>
  <c r="H89" i="3"/>
  <c r="H89" i="2" s="1"/>
  <c r="D90" i="3"/>
  <c r="D90" i="2" s="1"/>
  <c r="E90" i="3"/>
  <c r="E90" i="2" s="1"/>
  <c r="F90" i="3"/>
  <c r="F90" i="2" s="1"/>
  <c r="G90" i="3"/>
  <c r="G90" i="2" s="1"/>
  <c r="H90" i="3"/>
  <c r="H90" i="2" s="1"/>
  <c r="D91" i="3"/>
  <c r="D91" i="2" s="1"/>
  <c r="E91" i="3"/>
  <c r="E91" i="2" s="1"/>
  <c r="F91" i="3"/>
  <c r="F91" i="2" s="1"/>
  <c r="G91" i="3"/>
  <c r="G91" i="2" s="1"/>
  <c r="H91" i="3"/>
  <c r="H91" i="2" s="1"/>
  <c r="D92" i="3"/>
  <c r="D92" i="2" s="1"/>
  <c r="E92" i="3"/>
  <c r="E92" i="2" s="1"/>
  <c r="F92" i="3"/>
  <c r="F92" i="2" s="1"/>
  <c r="G92" i="3"/>
  <c r="G92" i="2" s="1"/>
  <c r="H92" i="3"/>
  <c r="H92" i="2" s="1"/>
  <c r="D93" i="3"/>
  <c r="D93" i="2" s="1"/>
  <c r="E93" i="3"/>
  <c r="E93" i="2" s="1"/>
  <c r="F93" i="3"/>
  <c r="F93" i="2" s="1"/>
  <c r="G93" i="3"/>
  <c r="G93" i="2" s="1"/>
  <c r="H93" i="3"/>
  <c r="H93" i="2" s="1"/>
  <c r="D94" i="3"/>
  <c r="D94" i="2" s="1"/>
  <c r="E94" i="3"/>
  <c r="E94" i="2" s="1"/>
  <c r="F94" i="3"/>
  <c r="F94" i="2" s="1"/>
  <c r="G94" i="3"/>
  <c r="G94" i="2" s="1"/>
  <c r="H94" i="3"/>
  <c r="H94" i="2" s="1"/>
  <c r="D95" i="3"/>
  <c r="D95" i="2" s="1"/>
  <c r="E95" i="3"/>
  <c r="E95" i="2" s="1"/>
  <c r="F95" i="3"/>
  <c r="F95" i="2" s="1"/>
  <c r="G95" i="3"/>
  <c r="G95" i="2" s="1"/>
  <c r="H95" i="3"/>
  <c r="H95" i="2" s="1"/>
  <c r="D96" i="3"/>
  <c r="D96" i="2" s="1"/>
  <c r="E96" i="3"/>
  <c r="E96" i="2" s="1"/>
  <c r="F96" i="3"/>
  <c r="F96" i="2" s="1"/>
  <c r="G96" i="3"/>
  <c r="G96" i="2" s="1"/>
  <c r="H96" i="3"/>
  <c r="H96" i="2" s="1"/>
  <c r="D97" i="3"/>
  <c r="D97" i="2" s="1"/>
  <c r="E97" i="3"/>
  <c r="E97" i="2" s="1"/>
  <c r="F97" i="3"/>
  <c r="F97" i="2" s="1"/>
  <c r="G97" i="3"/>
  <c r="G97" i="2" s="1"/>
  <c r="H97" i="3"/>
  <c r="H97" i="2" s="1"/>
  <c r="D98" i="3"/>
  <c r="D98" i="2" s="1"/>
  <c r="E98" i="3"/>
  <c r="E98" i="2" s="1"/>
  <c r="F98" i="3"/>
  <c r="F98" i="2" s="1"/>
  <c r="G98" i="3"/>
  <c r="G98" i="2" s="1"/>
  <c r="H98" i="3"/>
  <c r="H98" i="2" s="1"/>
  <c r="D99" i="3"/>
  <c r="D99" i="2" s="1"/>
  <c r="E99" i="3"/>
  <c r="E99" i="2" s="1"/>
  <c r="F99" i="3"/>
  <c r="F99" i="2" s="1"/>
  <c r="G99" i="3"/>
  <c r="G99" i="2" s="1"/>
  <c r="H99" i="3"/>
  <c r="H99" i="2" s="1"/>
  <c r="D100" i="3"/>
  <c r="D100" i="2" s="1"/>
  <c r="E100" i="3"/>
  <c r="E100" i="2" s="1"/>
  <c r="F100" i="3"/>
  <c r="F100" i="2" s="1"/>
  <c r="G100" i="3"/>
  <c r="G100" i="2" s="1"/>
  <c r="H100" i="3"/>
  <c r="H100" i="2" s="1"/>
  <c r="D101" i="3"/>
  <c r="D101" i="2" s="1"/>
  <c r="E101" i="3"/>
  <c r="E101" i="2" s="1"/>
  <c r="F101" i="3"/>
  <c r="F101" i="2" s="1"/>
  <c r="G101" i="3"/>
  <c r="G101" i="2" s="1"/>
  <c r="H101" i="3"/>
  <c r="H101" i="2" s="1"/>
  <c r="D102" i="3"/>
  <c r="D102" i="2" s="1"/>
  <c r="E102" i="3"/>
  <c r="E102" i="2" s="1"/>
  <c r="F102" i="3"/>
  <c r="F102" i="2" s="1"/>
  <c r="G102" i="3"/>
  <c r="G102" i="2" s="1"/>
  <c r="H102" i="3"/>
  <c r="H102" i="2" s="1"/>
  <c r="D103" i="3"/>
  <c r="D103" i="2" s="1"/>
  <c r="E103" i="3"/>
  <c r="E103" i="2" s="1"/>
  <c r="F103" i="3"/>
  <c r="F103" i="2" s="1"/>
  <c r="G103" i="3"/>
  <c r="G103" i="2" s="1"/>
  <c r="H103" i="3"/>
  <c r="H103" i="2" s="1"/>
  <c r="D104" i="3"/>
  <c r="D104" i="2" s="1"/>
  <c r="E104" i="3"/>
  <c r="E104" i="2" s="1"/>
  <c r="F104" i="3"/>
  <c r="F104" i="2" s="1"/>
  <c r="G104" i="3"/>
  <c r="G104" i="2" s="1"/>
  <c r="H104" i="3"/>
  <c r="H104" i="2" s="1"/>
  <c r="D105" i="3"/>
  <c r="D105" i="2" s="1"/>
  <c r="E105" i="3"/>
  <c r="E105" i="2" s="1"/>
  <c r="F105" i="3"/>
  <c r="F105" i="2" s="1"/>
  <c r="G105" i="3"/>
  <c r="G105" i="2" s="1"/>
  <c r="H105" i="3"/>
  <c r="H105" i="2" s="1"/>
  <c r="D106" i="3"/>
  <c r="D106" i="2" s="1"/>
  <c r="E106" i="3"/>
  <c r="E106" i="2" s="1"/>
  <c r="F106" i="3"/>
  <c r="F106" i="2" s="1"/>
  <c r="G106" i="3"/>
  <c r="G106" i="2" s="1"/>
  <c r="H106" i="3"/>
  <c r="H106" i="2" s="1"/>
  <c r="D107" i="3"/>
  <c r="D107" i="2" s="1"/>
  <c r="E107" i="3"/>
  <c r="E107" i="2" s="1"/>
  <c r="F107" i="3"/>
  <c r="F107" i="2" s="1"/>
  <c r="G107" i="3"/>
  <c r="G107" i="2" s="1"/>
  <c r="H107" i="3"/>
  <c r="H107" i="2" s="1"/>
  <c r="D108" i="3"/>
  <c r="D108" i="2" s="1"/>
  <c r="E108" i="3"/>
  <c r="E108" i="2" s="1"/>
  <c r="F108" i="3"/>
  <c r="F108" i="2" s="1"/>
  <c r="G108" i="3"/>
  <c r="G108" i="2" s="1"/>
  <c r="H108" i="3"/>
  <c r="H108" i="2" s="1"/>
  <c r="D109" i="3"/>
  <c r="D109" i="2" s="1"/>
  <c r="E109" i="3"/>
  <c r="E109" i="2" s="1"/>
  <c r="F109" i="3"/>
  <c r="F109" i="2" s="1"/>
  <c r="G109" i="3"/>
  <c r="G109" i="2" s="1"/>
  <c r="H109" i="3"/>
  <c r="H109" i="2" s="1"/>
  <c r="D110" i="3"/>
  <c r="D110" i="2" s="1"/>
  <c r="E110" i="3"/>
  <c r="E110" i="2" s="1"/>
  <c r="F110" i="3"/>
  <c r="F110" i="2" s="1"/>
  <c r="G110" i="3"/>
  <c r="G110" i="2" s="1"/>
  <c r="H110" i="3"/>
  <c r="H110" i="2" s="1"/>
  <c r="D111" i="3"/>
  <c r="D111" i="2" s="1"/>
  <c r="E111" i="3"/>
  <c r="E111" i="2" s="1"/>
  <c r="F111" i="3"/>
  <c r="F111" i="2" s="1"/>
  <c r="G111" i="3"/>
  <c r="G111" i="2" s="1"/>
  <c r="H111" i="3"/>
  <c r="H111" i="2" s="1"/>
  <c r="D112" i="3"/>
  <c r="D112" i="2" s="1"/>
  <c r="E112" i="3"/>
  <c r="E112" i="2" s="1"/>
  <c r="F112" i="3"/>
  <c r="F112" i="2" s="1"/>
  <c r="G112" i="3"/>
  <c r="G112" i="2" s="1"/>
  <c r="H112" i="3"/>
  <c r="H112" i="2" s="1"/>
  <c r="D113" i="3"/>
  <c r="D113" i="2" s="1"/>
  <c r="E113" i="3"/>
  <c r="E113" i="2" s="1"/>
  <c r="F113" i="3"/>
  <c r="F113" i="2" s="1"/>
  <c r="G113" i="3"/>
  <c r="G113" i="2" s="1"/>
  <c r="H113" i="3"/>
  <c r="H113" i="2" s="1"/>
  <c r="D114" i="3"/>
  <c r="D114" i="2" s="1"/>
  <c r="E114" i="3"/>
  <c r="E114" i="2" s="1"/>
  <c r="F114" i="3"/>
  <c r="F114" i="2" s="1"/>
  <c r="G114" i="3"/>
  <c r="G114" i="2" s="1"/>
  <c r="H114" i="3"/>
  <c r="H114" i="2" s="1"/>
  <c r="D115" i="3"/>
  <c r="D115" i="2" s="1"/>
  <c r="E115" i="3"/>
  <c r="E115" i="2" s="1"/>
  <c r="F115" i="3"/>
  <c r="F115" i="2" s="1"/>
  <c r="G115" i="3"/>
  <c r="G115" i="2" s="1"/>
  <c r="H115" i="3"/>
  <c r="H115" i="2" s="1"/>
  <c r="D116" i="3"/>
  <c r="D116" i="2" s="1"/>
  <c r="E116" i="3"/>
  <c r="E116" i="2" s="1"/>
  <c r="F116" i="3"/>
  <c r="F116" i="2" s="1"/>
  <c r="G116" i="3"/>
  <c r="G116" i="2" s="1"/>
  <c r="H116" i="3"/>
  <c r="H116" i="2" s="1"/>
  <c r="D117" i="3"/>
  <c r="D117" i="2" s="1"/>
  <c r="E117" i="3"/>
  <c r="E117" i="2" s="1"/>
  <c r="F117" i="3"/>
  <c r="F117" i="2" s="1"/>
  <c r="G117" i="3"/>
  <c r="G117" i="2" s="1"/>
  <c r="H117" i="3"/>
  <c r="H117" i="2" s="1"/>
  <c r="D118" i="3"/>
  <c r="D118" i="2" s="1"/>
  <c r="E118" i="3"/>
  <c r="E118" i="2" s="1"/>
  <c r="F118" i="3"/>
  <c r="F118" i="2" s="1"/>
  <c r="G118" i="3"/>
  <c r="G118" i="2" s="1"/>
  <c r="H118" i="3"/>
  <c r="H118" i="2" s="1"/>
  <c r="D119" i="3"/>
  <c r="D119" i="2" s="1"/>
  <c r="E119" i="3"/>
  <c r="E119" i="2" s="1"/>
  <c r="F119" i="3"/>
  <c r="F119" i="2" s="1"/>
  <c r="G119" i="3"/>
  <c r="G119" i="2" s="1"/>
  <c r="H119" i="3"/>
  <c r="H119" i="2" s="1"/>
  <c r="D120" i="3"/>
  <c r="D120" i="2" s="1"/>
  <c r="E120" i="3"/>
  <c r="E120" i="2" s="1"/>
  <c r="F120" i="3"/>
  <c r="F120" i="2" s="1"/>
  <c r="G120" i="3"/>
  <c r="G120" i="2" s="1"/>
  <c r="H120" i="3"/>
  <c r="H120" i="2" s="1"/>
  <c r="D121" i="3"/>
  <c r="D121" i="2" s="1"/>
  <c r="E121" i="3"/>
  <c r="E121" i="2" s="1"/>
  <c r="F121" i="3"/>
  <c r="F121" i="2" s="1"/>
  <c r="G121" i="3"/>
  <c r="G121" i="2" s="1"/>
  <c r="H121" i="3"/>
  <c r="H121" i="2" s="1"/>
  <c r="D122" i="3"/>
  <c r="D122" i="2" s="1"/>
  <c r="E122" i="3"/>
  <c r="E122" i="2" s="1"/>
  <c r="F122" i="3"/>
  <c r="F122" i="2" s="1"/>
  <c r="G122" i="3"/>
  <c r="G122" i="2" s="1"/>
  <c r="H122" i="3"/>
  <c r="H122" i="2" s="1"/>
  <c r="D123" i="3"/>
  <c r="D123" i="2" s="1"/>
  <c r="E123" i="3"/>
  <c r="E123" i="2" s="1"/>
  <c r="F123" i="3"/>
  <c r="F123" i="2" s="1"/>
  <c r="G123" i="3"/>
  <c r="G123" i="2" s="1"/>
  <c r="H123" i="3"/>
  <c r="H123" i="2" s="1"/>
  <c r="D124" i="3"/>
  <c r="D124" i="2" s="1"/>
  <c r="E124" i="3"/>
  <c r="E124" i="2" s="1"/>
  <c r="F124" i="3"/>
  <c r="F124" i="2" s="1"/>
  <c r="G124" i="3"/>
  <c r="G124" i="2" s="1"/>
  <c r="H124" i="3"/>
  <c r="H124" i="2" s="1"/>
  <c r="D125" i="3"/>
  <c r="D125" i="2" s="1"/>
  <c r="E125" i="3"/>
  <c r="E125" i="2" s="1"/>
  <c r="F125" i="3"/>
  <c r="F125" i="2" s="1"/>
  <c r="G125" i="3"/>
  <c r="G125" i="2" s="1"/>
  <c r="H125" i="3"/>
  <c r="H125" i="2" s="1"/>
  <c r="D126" i="3"/>
  <c r="D126" i="2" s="1"/>
  <c r="E126" i="3"/>
  <c r="E126" i="2" s="1"/>
  <c r="F126" i="3"/>
  <c r="F126" i="2" s="1"/>
  <c r="G126" i="3"/>
  <c r="G126" i="2" s="1"/>
  <c r="H126" i="3"/>
  <c r="H126" i="2" s="1"/>
  <c r="D127" i="3"/>
  <c r="D127" i="2" s="1"/>
  <c r="E127" i="3"/>
  <c r="E127" i="2" s="1"/>
  <c r="F127" i="3"/>
  <c r="F127" i="2" s="1"/>
  <c r="G127" i="3"/>
  <c r="G127" i="2" s="1"/>
  <c r="H127" i="3"/>
  <c r="H127" i="2" s="1"/>
  <c r="D128" i="3"/>
  <c r="D128" i="2" s="1"/>
  <c r="E128" i="3"/>
  <c r="E128" i="2" s="1"/>
  <c r="F128" i="3"/>
  <c r="F128" i="2" s="1"/>
  <c r="G128" i="3"/>
  <c r="G128" i="2" s="1"/>
  <c r="H128" i="3"/>
  <c r="H128" i="2" s="1"/>
  <c r="D129" i="3"/>
  <c r="D129" i="2" s="1"/>
  <c r="E129" i="3"/>
  <c r="E129" i="2" s="1"/>
  <c r="F129" i="3"/>
  <c r="F129" i="2" s="1"/>
  <c r="G129" i="3"/>
  <c r="G129" i="2" s="1"/>
  <c r="H129" i="3"/>
  <c r="H129" i="2" s="1"/>
  <c r="D130" i="3"/>
  <c r="D130" i="2" s="1"/>
  <c r="E130" i="3"/>
  <c r="E130" i="2" s="1"/>
  <c r="F130" i="3"/>
  <c r="F130" i="2" s="1"/>
  <c r="G130" i="3"/>
  <c r="G130" i="2" s="1"/>
  <c r="H130" i="3"/>
  <c r="H130" i="2" s="1"/>
  <c r="D131" i="3"/>
  <c r="D131" i="2" s="1"/>
  <c r="E131" i="3"/>
  <c r="E131" i="2" s="1"/>
  <c r="F131" i="3"/>
  <c r="F131" i="2" s="1"/>
  <c r="G131" i="3"/>
  <c r="G131" i="2" s="1"/>
  <c r="H131" i="3"/>
  <c r="H131" i="2" s="1"/>
  <c r="D132" i="3"/>
  <c r="D132" i="2" s="1"/>
  <c r="E132" i="3"/>
  <c r="E132" i="2" s="1"/>
  <c r="F132" i="3"/>
  <c r="F132" i="2" s="1"/>
  <c r="G132" i="3"/>
  <c r="G132" i="2" s="1"/>
  <c r="H132" i="3"/>
  <c r="H132" i="2" s="1"/>
  <c r="D133" i="3"/>
  <c r="D133" i="2" s="1"/>
  <c r="E133" i="3"/>
  <c r="E133" i="2" s="1"/>
  <c r="F133" i="3"/>
  <c r="F133" i="2" s="1"/>
  <c r="G133" i="3"/>
  <c r="G133" i="2" s="1"/>
  <c r="H133" i="3"/>
  <c r="H133" i="2" s="1"/>
  <c r="D134" i="3"/>
  <c r="D134" i="2" s="1"/>
  <c r="E134" i="3"/>
  <c r="E134" i="2" s="1"/>
  <c r="F134" i="3"/>
  <c r="F134" i="2" s="1"/>
  <c r="G134" i="3"/>
  <c r="G134" i="2" s="1"/>
  <c r="H134" i="3"/>
  <c r="H134" i="2" s="1"/>
  <c r="D135" i="3"/>
  <c r="D135" i="2" s="1"/>
  <c r="E135" i="3"/>
  <c r="E135" i="2" s="1"/>
  <c r="F135" i="3"/>
  <c r="F135" i="2" s="1"/>
  <c r="G135" i="3"/>
  <c r="G135" i="2" s="1"/>
  <c r="H135" i="3"/>
  <c r="H135" i="2" s="1"/>
  <c r="D136" i="3"/>
  <c r="D136" i="2" s="1"/>
  <c r="E136" i="3"/>
  <c r="E136" i="2" s="1"/>
  <c r="F136" i="3"/>
  <c r="F136" i="2" s="1"/>
  <c r="G136" i="3"/>
  <c r="G136" i="2" s="1"/>
  <c r="H136" i="3"/>
  <c r="H136" i="2" s="1"/>
  <c r="D137" i="3"/>
  <c r="D137" i="2" s="1"/>
  <c r="E137" i="3"/>
  <c r="E137" i="2" s="1"/>
  <c r="F137" i="3"/>
  <c r="F137" i="2" s="1"/>
  <c r="G137" i="3"/>
  <c r="G137" i="2" s="1"/>
  <c r="H137" i="3"/>
  <c r="H137" i="2" s="1"/>
  <c r="D138" i="3"/>
  <c r="D138" i="2" s="1"/>
  <c r="E138" i="3"/>
  <c r="E138" i="2" s="1"/>
  <c r="F138" i="3"/>
  <c r="F138" i="2" s="1"/>
  <c r="G138" i="3"/>
  <c r="G138" i="2" s="1"/>
  <c r="H138" i="3"/>
  <c r="H138" i="2" s="1"/>
  <c r="D139" i="3"/>
  <c r="D139" i="2" s="1"/>
  <c r="E139" i="3"/>
  <c r="E139" i="2" s="1"/>
  <c r="F139" i="3"/>
  <c r="F139" i="2" s="1"/>
  <c r="G139" i="3"/>
  <c r="G139" i="2" s="1"/>
  <c r="H139" i="3"/>
  <c r="H139" i="2" s="1"/>
  <c r="D140" i="3"/>
  <c r="D140" i="2" s="1"/>
  <c r="E140" i="3"/>
  <c r="E140" i="2" s="1"/>
  <c r="F140" i="3"/>
  <c r="F140" i="2" s="1"/>
  <c r="G140" i="3"/>
  <c r="G140" i="2" s="1"/>
  <c r="H140" i="3"/>
  <c r="H140" i="2" s="1"/>
  <c r="D141" i="3"/>
  <c r="D141" i="2" s="1"/>
  <c r="E141" i="3"/>
  <c r="E141" i="2" s="1"/>
  <c r="F141" i="3"/>
  <c r="F141" i="2" s="1"/>
  <c r="G141" i="3"/>
  <c r="G141" i="2" s="1"/>
  <c r="H141" i="3"/>
  <c r="H141" i="2" s="1"/>
  <c r="D142" i="3"/>
  <c r="D142" i="2" s="1"/>
  <c r="E142" i="3"/>
  <c r="E142" i="2" s="1"/>
  <c r="F142" i="3"/>
  <c r="F142" i="2" s="1"/>
  <c r="G142" i="3"/>
  <c r="G142" i="2" s="1"/>
  <c r="H142" i="3"/>
  <c r="H142" i="2" s="1"/>
  <c r="D143" i="3"/>
  <c r="D143" i="2" s="1"/>
  <c r="E143" i="3"/>
  <c r="E143" i="2" s="1"/>
  <c r="F143" i="3"/>
  <c r="F143" i="2" s="1"/>
  <c r="G143" i="3"/>
  <c r="G143" i="2" s="1"/>
  <c r="H143" i="3"/>
  <c r="H143" i="2" s="1"/>
  <c r="D144" i="3"/>
  <c r="D144" i="2" s="1"/>
  <c r="E144" i="3"/>
  <c r="E144" i="2" s="1"/>
  <c r="F144" i="3"/>
  <c r="F144" i="2" s="1"/>
  <c r="G144" i="3"/>
  <c r="G144" i="2" s="1"/>
  <c r="H144" i="3"/>
  <c r="H144" i="2" s="1"/>
  <c r="D145" i="3"/>
  <c r="D145" i="2" s="1"/>
  <c r="E145" i="3"/>
  <c r="E145" i="2" s="1"/>
  <c r="F145" i="3"/>
  <c r="F145" i="2" s="1"/>
  <c r="G145" i="3"/>
  <c r="G145" i="2" s="1"/>
  <c r="H145" i="3"/>
  <c r="H145" i="2" s="1"/>
  <c r="D146" i="3"/>
  <c r="D146" i="2" s="1"/>
  <c r="E146" i="3"/>
  <c r="E146" i="2" s="1"/>
  <c r="F146" i="3"/>
  <c r="F146" i="2" s="1"/>
  <c r="G146" i="3"/>
  <c r="G146" i="2" s="1"/>
  <c r="H146" i="3"/>
  <c r="H146" i="2" s="1"/>
  <c r="D147" i="3"/>
  <c r="D147" i="2" s="1"/>
  <c r="E147" i="3"/>
  <c r="E147" i="2" s="1"/>
  <c r="F147" i="3"/>
  <c r="F147" i="2" s="1"/>
  <c r="G147" i="3"/>
  <c r="G147" i="2" s="1"/>
  <c r="H147" i="3"/>
  <c r="H147" i="2" s="1"/>
  <c r="D148" i="3"/>
  <c r="D148" i="2" s="1"/>
  <c r="E148" i="3"/>
  <c r="E148" i="2" s="1"/>
  <c r="F148" i="3"/>
  <c r="F148" i="2" s="1"/>
  <c r="G148" i="3"/>
  <c r="G148" i="2" s="1"/>
  <c r="H148" i="3"/>
  <c r="H148" i="2" s="1"/>
  <c r="D149" i="3"/>
  <c r="D149" i="2" s="1"/>
  <c r="E149" i="3"/>
  <c r="E149" i="2" s="1"/>
  <c r="F149" i="3"/>
  <c r="F149" i="2" s="1"/>
  <c r="G149" i="3"/>
  <c r="G149" i="2" s="1"/>
  <c r="H149" i="3"/>
  <c r="H149" i="2" s="1"/>
  <c r="D150" i="3"/>
  <c r="D150" i="2" s="1"/>
  <c r="E150" i="3"/>
  <c r="E150" i="2" s="1"/>
  <c r="F150" i="3"/>
  <c r="F150" i="2" s="1"/>
  <c r="G150" i="3"/>
  <c r="G150" i="2" s="1"/>
  <c r="H150" i="3"/>
  <c r="H150" i="2" s="1"/>
  <c r="D151" i="3"/>
  <c r="D151" i="2" s="1"/>
  <c r="E151" i="3"/>
  <c r="E151" i="2" s="1"/>
  <c r="F151" i="3"/>
  <c r="F151" i="2" s="1"/>
  <c r="G151" i="3"/>
  <c r="G151" i="2" s="1"/>
  <c r="H151" i="3"/>
  <c r="H151" i="2" s="1"/>
  <c r="D152" i="3"/>
  <c r="D152" i="2" s="1"/>
  <c r="E152" i="3"/>
  <c r="E152" i="2" s="1"/>
  <c r="F152" i="3"/>
  <c r="F152" i="2" s="1"/>
  <c r="G152" i="3"/>
  <c r="G152" i="2" s="1"/>
  <c r="H152" i="3"/>
  <c r="H152" i="2" s="1"/>
  <c r="D153" i="3"/>
  <c r="D153" i="2" s="1"/>
  <c r="E153" i="3"/>
  <c r="E153" i="2" s="1"/>
  <c r="F153" i="3"/>
  <c r="F153" i="2" s="1"/>
  <c r="G153" i="3"/>
  <c r="G153" i="2" s="1"/>
  <c r="H153" i="3"/>
  <c r="H153" i="2" s="1"/>
  <c r="D154" i="3"/>
  <c r="D154" i="2" s="1"/>
  <c r="E154" i="3"/>
  <c r="E154" i="2" s="1"/>
  <c r="F154" i="3"/>
  <c r="F154" i="2" s="1"/>
  <c r="G154" i="3"/>
  <c r="G154" i="2" s="1"/>
  <c r="H154" i="3"/>
  <c r="H154" i="2" s="1"/>
  <c r="D155" i="3"/>
  <c r="D155" i="2" s="1"/>
  <c r="E155" i="3"/>
  <c r="E155" i="2" s="1"/>
  <c r="F155" i="3"/>
  <c r="F155" i="2" s="1"/>
  <c r="G155" i="3"/>
  <c r="G155" i="2" s="1"/>
  <c r="H155" i="3"/>
  <c r="H155" i="2" s="1"/>
  <c r="D156" i="3"/>
  <c r="D156" i="2" s="1"/>
  <c r="E156" i="3"/>
  <c r="E156" i="2" s="1"/>
  <c r="F156" i="3"/>
  <c r="F156" i="2" s="1"/>
  <c r="G156" i="3"/>
  <c r="G156" i="2" s="1"/>
  <c r="H156" i="3"/>
  <c r="H156" i="2" s="1"/>
  <c r="D157" i="3"/>
  <c r="D157" i="2" s="1"/>
  <c r="E157" i="3"/>
  <c r="E157" i="2" s="1"/>
  <c r="F157" i="3"/>
  <c r="F157" i="2" s="1"/>
  <c r="G157" i="3"/>
  <c r="G157" i="2" s="1"/>
  <c r="H157" i="3"/>
  <c r="H157" i="2" s="1"/>
  <c r="D158" i="3"/>
  <c r="D158" i="2" s="1"/>
  <c r="E158" i="3"/>
  <c r="E158" i="2" s="1"/>
  <c r="F158" i="3"/>
  <c r="F158" i="2" s="1"/>
  <c r="G158" i="3"/>
  <c r="G158" i="2" s="1"/>
  <c r="H158" i="3"/>
  <c r="H158" i="2" s="1"/>
  <c r="D159" i="3"/>
  <c r="D159" i="2" s="1"/>
  <c r="E159" i="3"/>
  <c r="E159" i="2" s="1"/>
  <c r="F159" i="3"/>
  <c r="F159" i="2" s="1"/>
  <c r="G159" i="3"/>
  <c r="G159" i="2" s="1"/>
  <c r="H159" i="3"/>
  <c r="H159" i="2" s="1"/>
  <c r="D160" i="3"/>
  <c r="D160" i="2" s="1"/>
  <c r="E160" i="3"/>
  <c r="E160" i="2" s="1"/>
  <c r="F160" i="3"/>
  <c r="F160" i="2" s="1"/>
  <c r="G160" i="3"/>
  <c r="G160" i="2" s="1"/>
  <c r="H160" i="3"/>
  <c r="H160" i="2" s="1"/>
  <c r="D161" i="3"/>
  <c r="D161" i="2" s="1"/>
  <c r="E161" i="3"/>
  <c r="E161" i="2" s="1"/>
  <c r="F161" i="3"/>
  <c r="F161" i="2" s="1"/>
  <c r="G161" i="3"/>
  <c r="G161" i="2" s="1"/>
  <c r="H161" i="3"/>
  <c r="H161" i="2" s="1"/>
  <c r="D162" i="3"/>
  <c r="D162" i="2" s="1"/>
  <c r="E162" i="3"/>
  <c r="E162" i="2" s="1"/>
  <c r="F162" i="3"/>
  <c r="F162" i="2" s="1"/>
  <c r="G162" i="3"/>
  <c r="G162" i="2" s="1"/>
  <c r="H162" i="3"/>
  <c r="H162" i="2" s="1"/>
  <c r="D163" i="3"/>
  <c r="D163" i="2" s="1"/>
  <c r="E163" i="3"/>
  <c r="E163" i="2" s="1"/>
  <c r="F163" i="3"/>
  <c r="F163" i="2" s="1"/>
  <c r="G163" i="3"/>
  <c r="G163" i="2" s="1"/>
  <c r="H163" i="3"/>
  <c r="H163" i="2" s="1"/>
  <c r="D164" i="3"/>
  <c r="D164" i="2" s="1"/>
  <c r="E164" i="3"/>
  <c r="E164" i="2" s="1"/>
  <c r="F164" i="3"/>
  <c r="F164" i="2" s="1"/>
  <c r="G164" i="3"/>
  <c r="G164" i="2" s="1"/>
  <c r="H164" i="3"/>
  <c r="H164" i="2" s="1"/>
  <c r="D165" i="3"/>
  <c r="D165" i="2" s="1"/>
  <c r="E165" i="3"/>
  <c r="E165" i="2" s="1"/>
  <c r="F165" i="3"/>
  <c r="F165" i="2" s="1"/>
  <c r="G165" i="3"/>
  <c r="G165" i="2" s="1"/>
  <c r="H165" i="3"/>
  <c r="H165" i="2" s="1"/>
  <c r="D166" i="3"/>
  <c r="D166" i="2" s="1"/>
  <c r="E166" i="3"/>
  <c r="E166" i="2" s="1"/>
  <c r="F166" i="3"/>
  <c r="F166" i="2" s="1"/>
  <c r="G166" i="3"/>
  <c r="G166" i="2" s="1"/>
  <c r="H166" i="3"/>
  <c r="H166" i="2" s="1"/>
  <c r="D167" i="3"/>
  <c r="D167" i="2" s="1"/>
  <c r="E167" i="3"/>
  <c r="E167" i="2" s="1"/>
  <c r="F167" i="3"/>
  <c r="F167" i="2" s="1"/>
  <c r="G167" i="3"/>
  <c r="G167" i="2" s="1"/>
  <c r="H167" i="3"/>
  <c r="H167" i="2" s="1"/>
  <c r="D168" i="3"/>
  <c r="D168" i="2" s="1"/>
  <c r="E168" i="3"/>
  <c r="E168" i="2" s="1"/>
  <c r="F168" i="3"/>
  <c r="F168" i="2" s="1"/>
  <c r="G168" i="3"/>
  <c r="G168" i="2" s="1"/>
  <c r="H168" i="3"/>
  <c r="H168" i="2" s="1"/>
  <c r="D169" i="3"/>
  <c r="D169" i="2" s="1"/>
  <c r="E169" i="3"/>
  <c r="E169" i="2" s="1"/>
  <c r="F169" i="3"/>
  <c r="F169" i="2" s="1"/>
  <c r="G169" i="3"/>
  <c r="G169" i="2" s="1"/>
  <c r="H169" i="3"/>
  <c r="H169" i="2" s="1"/>
  <c r="D170" i="3"/>
  <c r="D170" i="2" s="1"/>
  <c r="E170" i="3"/>
  <c r="E170" i="2" s="1"/>
  <c r="F170" i="3"/>
  <c r="F170" i="2" s="1"/>
  <c r="G170" i="3"/>
  <c r="G170" i="2" s="1"/>
  <c r="H170" i="3"/>
  <c r="H170" i="2" s="1"/>
  <c r="D171" i="3"/>
  <c r="D171" i="2" s="1"/>
  <c r="E171" i="3"/>
  <c r="E171" i="2" s="1"/>
  <c r="F171" i="3"/>
  <c r="F171" i="2" s="1"/>
  <c r="G171" i="3"/>
  <c r="G171" i="2" s="1"/>
  <c r="H171" i="3"/>
  <c r="H171" i="2" s="1"/>
  <c r="D172" i="3"/>
  <c r="D172" i="2" s="1"/>
  <c r="E172" i="3"/>
  <c r="E172" i="2" s="1"/>
  <c r="F172" i="3"/>
  <c r="F172" i="2" s="1"/>
  <c r="G172" i="3"/>
  <c r="G172" i="2" s="1"/>
  <c r="H172" i="3"/>
  <c r="H172" i="2" s="1"/>
  <c r="D173" i="3"/>
  <c r="D173" i="2" s="1"/>
  <c r="E173" i="3"/>
  <c r="E173" i="2" s="1"/>
  <c r="F173" i="3"/>
  <c r="F173" i="2" s="1"/>
  <c r="G173" i="3"/>
  <c r="G173" i="2" s="1"/>
  <c r="H173" i="3"/>
  <c r="H173" i="2" s="1"/>
  <c r="D174" i="3"/>
  <c r="D174" i="2" s="1"/>
  <c r="E174" i="3"/>
  <c r="E174" i="2" s="1"/>
  <c r="F174" i="3"/>
  <c r="F174" i="2" s="1"/>
  <c r="G174" i="3"/>
  <c r="G174" i="2" s="1"/>
  <c r="H174" i="3"/>
  <c r="H174" i="2" s="1"/>
  <c r="D175" i="3"/>
  <c r="D175" i="2" s="1"/>
  <c r="E175" i="3"/>
  <c r="E175" i="2" s="1"/>
  <c r="F175" i="3"/>
  <c r="F175" i="2" s="1"/>
  <c r="G175" i="3"/>
  <c r="G175" i="2" s="1"/>
  <c r="H175" i="3"/>
  <c r="H175" i="2" s="1"/>
  <c r="D176" i="3"/>
  <c r="D176" i="2" s="1"/>
  <c r="E176" i="3"/>
  <c r="E176" i="2" s="1"/>
  <c r="F176" i="3"/>
  <c r="F176" i="2" s="1"/>
  <c r="G176" i="3"/>
  <c r="G176" i="2" s="1"/>
  <c r="H176" i="3"/>
  <c r="H176" i="2" s="1"/>
  <c r="D177" i="3"/>
  <c r="D177" i="2" s="1"/>
  <c r="E177" i="3"/>
  <c r="E177" i="2" s="1"/>
  <c r="F177" i="3"/>
  <c r="F177" i="2" s="1"/>
  <c r="G177" i="3"/>
  <c r="G177" i="2" s="1"/>
  <c r="H177" i="3"/>
  <c r="H177" i="2" s="1"/>
  <c r="D178" i="3"/>
  <c r="D178" i="2" s="1"/>
  <c r="E178" i="3"/>
  <c r="E178" i="2" s="1"/>
  <c r="F178" i="3"/>
  <c r="F178" i="2" s="1"/>
  <c r="G178" i="3"/>
  <c r="G178" i="2" s="1"/>
  <c r="H178" i="3"/>
  <c r="H178" i="2" s="1"/>
  <c r="D179" i="3"/>
  <c r="D179" i="2" s="1"/>
  <c r="E179" i="3"/>
  <c r="E179" i="2" s="1"/>
  <c r="F179" i="3"/>
  <c r="F179" i="2" s="1"/>
  <c r="G179" i="3"/>
  <c r="G179" i="2" s="1"/>
  <c r="H179" i="3"/>
  <c r="H179" i="2" s="1"/>
  <c r="D180" i="3"/>
  <c r="D180" i="2" s="1"/>
  <c r="E180" i="3"/>
  <c r="E180" i="2" s="1"/>
  <c r="F180" i="3"/>
  <c r="F180" i="2" s="1"/>
  <c r="G180" i="3"/>
  <c r="G180" i="2" s="1"/>
  <c r="H180" i="3"/>
  <c r="H180" i="2" s="1"/>
  <c r="D181" i="3"/>
  <c r="D181" i="2" s="1"/>
  <c r="E181" i="3"/>
  <c r="E181" i="2" s="1"/>
  <c r="F181" i="3"/>
  <c r="F181" i="2" s="1"/>
  <c r="G181" i="3"/>
  <c r="G181" i="2" s="1"/>
  <c r="H181" i="3"/>
  <c r="H181" i="2" s="1"/>
  <c r="D182" i="3"/>
  <c r="D182" i="2" s="1"/>
  <c r="E182" i="3"/>
  <c r="E182" i="2" s="1"/>
  <c r="F182" i="3"/>
  <c r="F182" i="2" s="1"/>
  <c r="G182" i="3"/>
  <c r="G182" i="2" s="1"/>
  <c r="H182" i="3"/>
  <c r="H182" i="2" s="1"/>
  <c r="D183" i="3"/>
  <c r="D183" i="2" s="1"/>
  <c r="E183" i="3"/>
  <c r="E183" i="2" s="1"/>
  <c r="F183" i="3"/>
  <c r="F183" i="2" s="1"/>
  <c r="G183" i="3"/>
  <c r="G183" i="2" s="1"/>
  <c r="H183" i="3"/>
  <c r="H183" i="2" s="1"/>
  <c r="D184" i="3"/>
  <c r="D184" i="2" s="1"/>
  <c r="E184" i="3"/>
  <c r="E184" i="2" s="1"/>
  <c r="F184" i="3"/>
  <c r="F184" i="2" s="1"/>
  <c r="G184" i="3"/>
  <c r="G184" i="2" s="1"/>
  <c r="H184" i="3"/>
  <c r="H184" i="2" s="1"/>
  <c r="D185" i="3"/>
  <c r="D185" i="2" s="1"/>
  <c r="E185" i="3"/>
  <c r="E185" i="2" s="1"/>
  <c r="F185" i="3"/>
  <c r="F185" i="2" s="1"/>
  <c r="G185" i="3"/>
  <c r="G185" i="2" s="1"/>
  <c r="H185" i="3"/>
  <c r="H185" i="2" s="1"/>
  <c r="D186" i="3"/>
  <c r="D186" i="2" s="1"/>
  <c r="E186" i="3"/>
  <c r="E186" i="2" s="1"/>
  <c r="F186" i="3"/>
  <c r="F186" i="2" s="1"/>
  <c r="G186" i="3"/>
  <c r="G186" i="2" s="1"/>
  <c r="H186" i="3"/>
  <c r="H186" i="2" s="1"/>
  <c r="D187" i="3"/>
  <c r="D187" i="2" s="1"/>
  <c r="E187" i="3"/>
  <c r="E187" i="2" s="1"/>
  <c r="F187" i="3"/>
  <c r="F187" i="2" s="1"/>
  <c r="G187" i="3"/>
  <c r="G187" i="2" s="1"/>
  <c r="H187" i="3"/>
  <c r="H187" i="2" s="1"/>
  <c r="D188" i="3"/>
  <c r="D188" i="2" s="1"/>
  <c r="E188" i="3"/>
  <c r="E188" i="2" s="1"/>
  <c r="F188" i="3"/>
  <c r="F188" i="2" s="1"/>
  <c r="G188" i="3"/>
  <c r="G188" i="2" s="1"/>
  <c r="H188" i="3"/>
  <c r="H188" i="2" s="1"/>
  <c r="D189" i="3"/>
  <c r="D189" i="2" s="1"/>
  <c r="E189" i="3"/>
  <c r="E189" i="2" s="1"/>
  <c r="F189" i="3"/>
  <c r="F189" i="2" s="1"/>
  <c r="G189" i="3"/>
  <c r="G189" i="2" s="1"/>
  <c r="H189" i="3"/>
  <c r="H189" i="2" s="1"/>
  <c r="D190" i="3"/>
  <c r="D190" i="2" s="1"/>
  <c r="E190" i="3"/>
  <c r="E190" i="2" s="1"/>
  <c r="F190" i="3"/>
  <c r="F190" i="2" s="1"/>
  <c r="G190" i="3"/>
  <c r="G190" i="2" s="1"/>
  <c r="H190" i="3"/>
  <c r="H190" i="2" s="1"/>
  <c r="D191" i="3"/>
  <c r="D191" i="2" s="1"/>
  <c r="E191" i="3"/>
  <c r="E191" i="2" s="1"/>
  <c r="F191" i="3"/>
  <c r="F191" i="2" s="1"/>
  <c r="G191" i="3"/>
  <c r="G191" i="2" s="1"/>
  <c r="H191" i="3"/>
  <c r="H191" i="2" s="1"/>
  <c r="D192" i="3"/>
  <c r="D192" i="2" s="1"/>
  <c r="E192" i="3"/>
  <c r="E192" i="2" s="1"/>
  <c r="F192" i="3"/>
  <c r="F192" i="2" s="1"/>
  <c r="G192" i="3"/>
  <c r="G192" i="2" s="1"/>
  <c r="H192" i="3"/>
  <c r="H192" i="2" s="1"/>
  <c r="D193" i="3"/>
  <c r="D193" i="2" s="1"/>
  <c r="E193" i="3"/>
  <c r="E193" i="2" s="1"/>
  <c r="F193" i="3"/>
  <c r="F193" i="2" s="1"/>
  <c r="G193" i="3"/>
  <c r="G193" i="2" s="1"/>
  <c r="H193" i="3"/>
  <c r="H193" i="2" s="1"/>
  <c r="D194" i="3"/>
  <c r="D194" i="2" s="1"/>
  <c r="E194" i="3"/>
  <c r="E194" i="2" s="1"/>
  <c r="F194" i="3"/>
  <c r="F194" i="2" s="1"/>
  <c r="G194" i="3"/>
  <c r="G194" i="2" s="1"/>
  <c r="H194" i="3"/>
  <c r="H194" i="2" s="1"/>
  <c r="D195" i="3"/>
  <c r="D195" i="2" s="1"/>
  <c r="E195" i="3"/>
  <c r="E195" i="2" s="1"/>
  <c r="F195" i="3"/>
  <c r="F195" i="2" s="1"/>
  <c r="G195" i="3"/>
  <c r="G195" i="2" s="1"/>
  <c r="H195" i="3"/>
  <c r="H195" i="2" s="1"/>
  <c r="D196" i="3"/>
  <c r="D196" i="2" s="1"/>
  <c r="E196" i="3"/>
  <c r="E196" i="2" s="1"/>
  <c r="F196" i="3"/>
  <c r="F196" i="2" s="1"/>
  <c r="G196" i="3"/>
  <c r="G196" i="2" s="1"/>
  <c r="H196" i="3"/>
  <c r="H196" i="2" s="1"/>
  <c r="D197" i="3"/>
  <c r="D197" i="2" s="1"/>
  <c r="E197" i="3"/>
  <c r="E197" i="2" s="1"/>
  <c r="F197" i="3"/>
  <c r="F197" i="2" s="1"/>
  <c r="G197" i="3"/>
  <c r="G197" i="2" s="1"/>
  <c r="H197" i="3"/>
  <c r="H197" i="2" s="1"/>
  <c r="D198" i="3"/>
  <c r="D198" i="2" s="1"/>
  <c r="E198" i="3"/>
  <c r="E198" i="2" s="1"/>
  <c r="F198" i="3"/>
  <c r="F198" i="2" s="1"/>
  <c r="G198" i="3"/>
  <c r="G198" i="2" s="1"/>
  <c r="H198" i="3"/>
  <c r="H198" i="2" s="1"/>
  <c r="D199" i="3"/>
  <c r="D199" i="2" s="1"/>
  <c r="E199" i="3"/>
  <c r="E199" i="2" s="1"/>
  <c r="F199" i="3"/>
  <c r="F199" i="2" s="1"/>
  <c r="G199" i="3"/>
  <c r="G199" i="2" s="1"/>
  <c r="H199" i="3"/>
  <c r="H199" i="2" s="1"/>
  <c r="D200" i="3"/>
  <c r="D200" i="2" s="1"/>
  <c r="E200" i="3"/>
  <c r="E200" i="2" s="1"/>
  <c r="F200" i="3"/>
  <c r="F200" i="2" s="1"/>
  <c r="G200" i="3"/>
  <c r="G200" i="2" s="1"/>
  <c r="H200" i="3"/>
  <c r="H200" i="2" s="1"/>
  <c r="D201" i="3"/>
  <c r="D201" i="2" s="1"/>
  <c r="E201" i="3"/>
  <c r="E201" i="2" s="1"/>
  <c r="F201" i="3"/>
  <c r="F201" i="2" s="1"/>
  <c r="G201" i="3"/>
  <c r="G201" i="2" s="1"/>
  <c r="H201" i="3"/>
  <c r="H201" i="2" s="1"/>
  <c r="D202" i="3"/>
  <c r="D202" i="2" s="1"/>
  <c r="E202" i="3"/>
  <c r="E202" i="2" s="1"/>
  <c r="F202" i="3"/>
  <c r="F202" i="2" s="1"/>
  <c r="G202" i="3"/>
  <c r="G202" i="2" s="1"/>
  <c r="H202" i="3"/>
  <c r="H202" i="2" s="1"/>
  <c r="D203" i="3"/>
  <c r="E203" i="3"/>
  <c r="F203" i="3"/>
  <c r="G203" i="3"/>
  <c r="H203" i="3"/>
  <c r="D204" i="3"/>
  <c r="D203" i="2" s="1"/>
  <c r="E204" i="3"/>
  <c r="E203" i="2" s="1"/>
  <c r="F204" i="3"/>
  <c r="F203" i="2" s="1"/>
  <c r="G204" i="3"/>
  <c r="G203" i="2" s="1"/>
  <c r="H204" i="3"/>
  <c r="H203" i="2" s="1"/>
  <c r="D205" i="3"/>
  <c r="D204" i="2" s="1"/>
  <c r="E205" i="3"/>
  <c r="E204" i="2" s="1"/>
  <c r="F205" i="3"/>
  <c r="F204" i="2" s="1"/>
  <c r="G205" i="3"/>
  <c r="G204" i="2" s="1"/>
  <c r="H205" i="3"/>
  <c r="H204" i="2" s="1"/>
  <c r="D206" i="3"/>
  <c r="D205" i="2" s="1"/>
  <c r="E206" i="3"/>
  <c r="E205" i="2" s="1"/>
  <c r="F206" i="3"/>
  <c r="F205" i="2" s="1"/>
  <c r="G206" i="3"/>
  <c r="G205" i="2" s="1"/>
  <c r="H206" i="3"/>
  <c r="H205" i="2" s="1"/>
  <c r="D207" i="3"/>
  <c r="D206" i="2" s="1"/>
  <c r="E207" i="3"/>
  <c r="E206" i="2" s="1"/>
  <c r="F207" i="3"/>
  <c r="F206" i="2" s="1"/>
  <c r="G207" i="3"/>
  <c r="G206" i="2" s="1"/>
  <c r="H207" i="3"/>
  <c r="H206" i="2" s="1"/>
  <c r="D208" i="3"/>
  <c r="D207" i="2" s="1"/>
  <c r="E208" i="3"/>
  <c r="E207" i="2" s="1"/>
  <c r="F208" i="3"/>
  <c r="F207" i="2" s="1"/>
  <c r="G208" i="3"/>
  <c r="G207" i="2" s="1"/>
  <c r="H208" i="3"/>
  <c r="H207" i="2" s="1"/>
  <c r="D209" i="3"/>
  <c r="D208" i="2" s="1"/>
  <c r="E209" i="3"/>
  <c r="E208" i="2" s="1"/>
  <c r="F209" i="3"/>
  <c r="F208" i="2" s="1"/>
  <c r="G209" i="3"/>
  <c r="G208" i="2" s="1"/>
  <c r="H209" i="3"/>
  <c r="H208" i="2" s="1"/>
  <c r="D210" i="3"/>
  <c r="D209" i="2" s="1"/>
  <c r="E210" i="3"/>
  <c r="E209" i="2" s="1"/>
  <c r="F210" i="3"/>
  <c r="F209" i="2" s="1"/>
  <c r="G210" i="3"/>
  <c r="G209" i="2" s="1"/>
  <c r="H210" i="3"/>
  <c r="H209" i="2" s="1"/>
  <c r="D211" i="3"/>
  <c r="D210" i="2" s="1"/>
  <c r="E211" i="3"/>
  <c r="E210" i="2" s="1"/>
  <c r="F211" i="3"/>
  <c r="F210" i="2" s="1"/>
  <c r="G211" i="3"/>
  <c r="G210" i="2" s="1"/>
  <c r="H211" i="3"/>
  <c r="H210" i="2" s="1"/>
  <c r="C4" i="3"/>
  <c r="C4" i="2" s="1"/>
  <c r="C5" i="3"/>
  <c r="C5" i="2" s="1"/>
  <c r="C6" i="3"/>
  <c r="C6" i="2" s="1"/>
  <c r="C7" i="3"/>
  <c r="C7" i="2" s="1"/>
  <c r="C8" i="3"/>
  <c r="C8" i="2" s="1"/>
  <c r="C9" i="3"/>
  <c r="C9" i="2" s="1"/>
  <c r="C10" i="3"/>
  <c r="C10" i="2" s="1"/>
  <c r="C11" i="3"/>
  <c r="C11" i="2" s="1"/>
  <c r="C12" i="3"/>
  <c r="C12" i="2" s="1"/>
  <c r="C13" i="3"/>
  <c r="C13" i="2" s="1"/>
  <c r="C14" i="3"/>
  <c r="C14" i="2" s="1"/>
  <c r="C15" i="3"/>
  <c r="C15" i="2" s="1"/>
  <c r="C16" i="3"/>
  <c r="C16" i="2" s="1"/>
  <c r="C17" i="3"/>
  <c r="C17" i="2" s="1"/>
  <c r="C18" i="3"/>
  <c r="C18" i="2" s="1"/>
  <c r="C19" i="3"/>
  <c r="C19" i="2" s="1"/>
  <c r="C20" i="3"/>
  <c r="C20" i="2" s="1"/>
  <c r="C21" i="3"/>
  <c r="C21" i="2" s="1"/>
  <c r="C22" i="3"/>
  <c r="C22" i="2" s="1"/>
  <c r="C23" i="3"/>
  <c r="C23" i="2" s="1"/>
  <c r="C24" i="3"/>
  <c r="C24" i="2" s="1"/>
  <c r="C25" i="3"/>
  <c r="C25" i="2" s="1"/>
  <c r="C26" i="3"/>
  <c r="C26" i="2" s="1"/>
  <c r="C27" i="3"/>
  <c r="C27" i="2" s="1"/>
  <c r="C28" i="3"/>
  <c r="C28" i="2" s="1"/>
  <c r="C29" i="3"/>
  <c r="C29" i="2" s="1"/>
  <c r="C30" i="3"/>
  <c r="C30" i="2" s="1"/>
  <c r="C31" i="3"/>
  <c r="C31" i="2" s="1"/>
  <c r="C32" i="3"/>
  <c r="C32" i="2" s="1"/>
  <c r="C33" i="3"/>
  <c r="C33" i="2" s="1"/>
  <c r="C34" i="3"/>
  <c r="C34" i="2" s="1"/>
  <c r="C35" i="3"/>
  <c r="C35" i="2" s="1"/>
  <c r="C36" i="3"/>
  <c r="C36" i="2" s="1"/>
  <c r="C37" i="3"/>
  <c r="C37" i="2" s="1"/>
  <c r="C38" i="3"/>
  <c r="C38" i="2" s="1"/>
  <c r="C39" i="3"/>
  <c r="C39" i="2" s="1"/>
  <c r="C40" i="2"/>
  <c r="C41" i="3"/>
  <c r="C41" i="2" s="1"/>
  <c r="C42" i="3"/>
  <c r="C42" i="2" s="1"/>
  <c r="C43" i="3"/>
  <c r="C43" i="2" s="1"/>
  <c r="C44" i="3"/>
  <c r="C44" i="2" s="1"/>
  <c r="C45" i="3"/>
  <c r="C45" i="2" s="1"/>
  <c r="C46" i="2"/>
  <c r="C47" i="3"/>
  <c r="C47" i="2" s="1"/>
  <c r="C48" i="3"/>
  <c r="C48" i="2" s="1"/>
  <c r="C49" i="3"/>
  <c r="C49" i="2" s="1"/>
  <c r="C50" i="3"/>
  <c r="C50" i="2" s="1"/>
  <c r="C51" i="3"/>
  <c r="C51" i="2" s="1"/>
  <c r="C52" i="3"/>
  <c r="C52" i="2" s="1"/>
  <c r="C53" i="3"/>
  <c r="C53" i="2" s="1"/>
  <c r="C54" i="3"/>
  <c r="C54" i="2" s="1"/>
  <c r="C55" i="3"/>
  <c r="C55" i="2" s="1"/>
  <c r="C56" i="3"/>
  <c r="C56" i="2" s="1"/>
  <c r="C57" i="3"/>
  <c r="C57" i="2" s="1"/>
  <c r="C58" i="3"/>
  <c r="C58" i="2" s="1"/>
  <c r="C59" i="3"/>
  <c r="C59" i="2" s="1"/>
  <c r="C60" i="3"/>
  <c r="C60" i="2" s="1"/>
  <c r="C61" i="3"/>
  <c r="C61" i="2" s="1"/>
  <c r="C62" i="3"/>
  <c r="C62" i="2" s="1"/>
  <c r="C63" i="3"/>
  <c r="C63" i="2" s="1"/>
  <c r="C64" i="3"/>
  <c r="C64" i="2" s="1"/>
  <c r="C65" i="3"/>
  <c r="C65" i="2" s="1"/>
  <c r="C66" i="3"/>
  <c r="C66" i="2" s="1"/>
  <c r="C67" i="3"/>
  <c r="C67" i="2" s="1"/>
  <c r="C68" i="3"/>
  <c r="C68" i="2" s="1"/>
  <c r="C69" i="3"/>
  <c r="C69" i="2" s="1"/>
  <c r="C70" i="3"/>
  <c r="C70" i="2" s="1"/>
  <c r="C71" i="3"/>
  <c r="C71" i="2" s="1"/>
  <c r="C72" i="3"/>
  <c r="C72" i="2" s="1"/>
  <c r="C73" i="3"/>
  <c r="C73" i="2" s="1"/>
  <c r="C74" i="3"/>
  <c r="C74" i="2" s="1"/>
  <c r="C75" i="3"/>
  <c r="C75" i="2" s="1"/>
  <c r="C76" i="3"/>
  <c r="C76" i="2" s="1"/>
  <c r="C77" i="3"/>
  <c r="C77" i="2" s="1"/>
  <c r="C78" i="3"/>
  <c r="C78" i="2" s="1"/>
  <c r="C79" i="3"/>
  <c r="C79" i="2" s="1"/>
  <c r="C80" i="3"/>
  <c r="C80" i="2" s="1"/>
  <c r="C81" i="3"/>
  <c r="C81" i="2" s="1"/>
  <c r="C82" i="3"/>
  <c r="C82" i="2" s="1"/>
  <c r="C83" i="3"/>
  <c r="C83" i="2" s="1"/>
  <c r="C84" i="3"/>
  <c r="C84" i="2" s="1"/>
  <c r="C85" i="3"/>
  <c r="C85" i="2" s="1"/>
  <c r="C86" i="3"/>
  <c r="C86" i="2" s="1"/>
  <c r="C87" i="3"/>
  <c r="C87" i="2" s="1"/>
  <c r="C88" i="3"/>
  <c r="C88" i="2" s="1"/>
  <c r="C89" i="3"/>
  <c r="C89" i="2" s="1"/>
  <c r="C90" i="3"/>
  <c r="C90" i="2" s="1"/>
  <c r="C91" i="3"/>
  <c r="C91" i="2" s="1"/>
  <c r="C92" i="3"/>
  <c r="C92" i="2" s="1"/>
  <c r="C93" i="3"/>
  <c r="C93" i="2" s="1"/>
  <c r="C94" i="3"/>
  <c r="C94" i="2" s="1"/>
  <c r="C95" i="3"/>
  <c r="C95" i="2" s="1"/>
  <c r="C96" i="3"/>
  <c r="C96" i="2" s="1"/>
  <c r="C97" i="3"/>
  <c r="C97" i="2" s="1"/>
  <c r="C98" i="3"/>
  <c r="C98" i="2" s="1"/>
  <c r="C99" i="3"/>
  <c r="C99" i="2" s="1"/>
  <c r="C100" i="3"/>
  <c r="C100" i="2" s="1"/>
  <c r="C101" i="3"/>
  <c r="C101" i="2" s="1"/>
  <c r="C102" i="3"/>
  <c r="C102" i="2" s="1"/>
  <c r="C103" i="3"/>
  <c r="C103" i="2" s="1"/>
  <c r="C104" i="3"/>
  <c r="C104" i="2" s="1"/>
  <c r="C105" i="3"/>
  <c r="C105" i="2" s="1"/>
  <c r="C106" i="3"/>
  <c r="C106" i="2" s="1"/>
  <c r="C107" i="3"/>
  <c r="C107" i="2" s="1"/>
  <c r="C108" i="3"/>
  <c r="C108" i="2" s="1"/>
  <c r="C109" i="3"/>
  <c r="C109" i="2" s="1"/>
  <c r="C110" i="3"/>
  <c r="C110" i="2" s="1"/>
  <c r="C111" i="3"/>
  <c r="C111" i="2" s="1"/>
  <c r="C112" i="3"/>
  <c r="C112" i="2" s="1"/>
  <c r="C113" i="3"/>
  <c r="C113" i="2" s="1"/>
  <c r="C114" i="3"/>
  <c r="C114" i="2" s="1"/>
  <c r="C115" i="3"/>
  <c r="C115" i="2" s="1"/>
  <c r="C116" i="3"/>
  <c r="C116" i="2" s="1"/>
  <c r="C117" i="3"/>
  <c r="C117" i="2" s="1"/>
  <c r="C118" i="3"/>
  <c r="C118" i="2" s="1"/>
  <c r="C119" i="3"/>
  <c r="C119" i="2" s="1"/>
  <c r="C120" i="3"/>
  <c r="C120" i="2" s="1"/>
  <c r="C121" i="3"/>
  <c r="C121" i="2" s="1"/>
  <c r="C122" i="3"/>
  <c r="C122" i="2" s="1"/>
  <c r="C123" i="3"/>
  <c r="C123" i="2" s="1"/>
  <c r="C124" i="3"/>
  <c r="C124" i="2" s="1"/>
  <c r="C125" i="3"/>
  <c r="C125" i="2" s="1"/>
  <c r="C126" i="3"/>
  <c r="C126" i="2" s="1"/>
  <c r="C127" i="3"/>
  <c r="C127" i="2" s="1"/>
  <c r="C128" i="3"/>
  <c r="C128" i="2" s="1"/>
  <c r="C129" i="3"/>
  <c r="C129" i="2" s="1"/>
  <c r="C130" i="3"/>
  <c r="C130" i="2" s="1"/>
  <c r="C131" i="3"/>
  <c r="C131" i="2" s="1"/>
  <c r="C132" i="3"/>
  <c r="C132" i="2" s="1"/>
  <c r="C133" i="3"/>
  <c r="C133" i="2" s="1"/>
  <c r="C134" i="3"/>
  <c r="C134" i="2" s="1"/>
  <c r="C135" i="3"/>
  <c r="C135" i="2" s="1"/>
  <c r="C136" i="3"/>
  <c r="C136" i="2" s="1"/>
  <c r="C137" i="3"/>
  <c r="C137" i="2" s="1"/>
  <c r="C138" i="3"/>
  <c r="C138" i="2" s="1"/>
  <c r="C139" i="3"/>
  <c r="C139" i="2" s="1"/>
  <c r="C140" i="3"/>
  <c r="C140" i="2" s="1"/>
  <c r="C141" i="3"/>
  <c r="C141" i="2" s="1"/>
  <c r="C142" i="3"/>
  <c r="C142" i="2" s="1"/>
  <c r="C143" i="3"/>
  <c r="C143" i="2" s="1"/>
  <c r="C144" i="3"/>
  <c r="C144" i="2" s="1"/>
  <c r="C145" i="3"/>
  <c r="C145" i="2" s="1"/>
  <c r="C146" i="3"/>
  <c r="C146" i="2" s="1"/>
  <c r="C147" i="3"/>
  <c r="C147" i="2" s="1"/>
  <c r="C148" i="3"/>
  <c r="C148" i="2" s="1"/>
  <c r="C149" i="3"/>
  <c r="C149" i="2" s="1"/>
  <c r="C150" i="3"/>
  <c r="C150" i="2" s="1"/>
  <c r="C151" i="3"/>
  <c r="C151" i="2" s="1"/>
  <c r="C152" i="3"/>
  <c r="C152" i="2" s="1"/>
  <c r="C153" i="3"/>
  <c r="C153" i="2" s="1"/>
  <c r="C154" i="3"/>
  <c r="C154" i="2" s="1"/>
  <c r="C155" i="3"/>
  <c r="C155" i="2" s="1"/>
  <c r="C156" i="3"/>
  <c r="C156" i="2" s="1"/>
  <c r="C157" i="3"/>
  <c r="C157" i="2" s="1"/>
  <c r="C158" i="3"/>
  <c r="C158" i="2" s="1"/>
  <c r="C159" i="3"/>
  <c r="C159" i="2" s="1"/>
  <c r="C160" i="3"/>
  <c r="C160" i="2" s="1"/>
  <c r="C161" i="3"/>
  <c r="C161" i="2" s="1"/>
  <c r="C162" i="3"/>
  <c r="C162" i="2" s="1"/>
  <c r="C163" i="3"/>
  <c r="C163" i="2" s="1"/>
  <c r="C164" i="3"/>
  <c r="C164" i="2" s="1"/>
  <c r="C165" i="3"/>
  <c r="C165" i="2" s="1"/>
  <c r="C166" i="3"/>
  <c r="C166" i="2" s="1"/>
  <c r="C167" i="3"/>
  <c r="C167" i="2" s="1"/>
  <c r="C168" i="3"/>
  <c r="C168" i="2" s="1"/>
  <c r="C169" i="3"/>
  <c r="C169" i="2" s="1"/>
  <c r="C170" i="3"/>
  <c r="C170" i="2" s="1"/>
  <c r="C171" i="3"/>
  <c r="C171" i="2" s="1"/>
  <c r="C172" i="3"/>
  <c r="C172" i="2" s="1"/>
  <c r="C173" i="3"/>
  <c r="C173" i="2" s="1"/>
  <c r="C174" i="3"/>
  <c r="C174" i="2" s="1"/>
  <c r="C175" i="3"/>
  <c r="C175" i="2" s="1"/>
  <c r="C176" i="3"/>
  <c r="C176" i="2" s="1"/>
  <c r="C177" i="3"/>
  <c r="C177" i="2" s="1"/>
  <c r="C178" i="3"/>
  <c r="C178" i="2" s="1"/>
  <c r="C179" i="3"/>
  <c r="C179" i="2" s="1"/>
  <c r="C180" i="3"/>
  <c r="C180" i="2" s="1"/>
  <c r="C181" i="3"/>
  <c r="C181" i="2" s="1"/>
  <c r="C182" i="3"/>
  <c r="C182" i="2" s="1"/>
  <c r="C183" i="3"/>
  <c r="C183" i="2" s="1"/>
  <c r="C184" i="3"/>
  <c r="C184" i="2" s="1"/>
  <c r="C185" i="3"/>
  <c r="C185" i="2" s="1"/>
  <c r="C186" i="3"/>
  <c r="C186" i="2" s="1"/>
  <c r="C187" i="3"/>
  <c r="C187" i="2" s="1"/>
  <c r="C188" i="3"/>
  <c r="C188" i="2" s="1"/>
  <c r="C189" i="3"/>
  <c r="C189" i="2" s="1"/>
  <c r="C190" i="3"/>
  <c r="C190" i="2" s="1"/>
  <c r="C191" i="3"/>
  <c r="C191" i="2" s="1"/>
  <c r="C192" i="3"/>
  <c r="C192" i="2" s="1"/>
  <c r="C193" i="3"/>
  <c r="C193" i="2" s="1"/>
  <c r="C194" i="3"/>
  <c r="C194" i="2" s="1"/>
  <c r="C195" i="3"/>
  <c r="C195" i="2" s="1"/>
  <c r="C196" i="3"/>
  <c r="C196" i="2" s="1"/>
  <c r="C197" i="3"/>
  <c r="C197" i="2" s="1"/>
  <c r="C198" i="3"/>
  <c r="C198" i="2" s="1"/>
  <c r="C199" i="3"/>
  <c r="C199" i="2" s="1"/>
  <c r="C200" i="3"/>
  <c r="C200" i="2" s="1"/>
  <c r="C201" i="3"/>
  <c r="C201" i="2" s="1"/>
  <c r="C202" i="3"/>
  <c r="C202" i="2" s="1"/>
  <c r="C203" i="3"/>
  <c r="C204" i="3"/>
  <c r="C203" i="2" s="1"/>
  <c r="C205" i="3"/>
  <c r="C204" i="2" s="1"/>
  <c r="C206" i="3"/>
  <c r="C205" i="2" s="1"/>
  <c r="C207" i="3"/>
  <c r="C206" i="2" s="1"/>
  <c r="C208" i="3"/>
  <c r="C207" i="2" s="1"/>
  <c r="C209" i="3"/>
  <c r="C208" i="2" s="1"/>
  <c r="C210" i="3"/>
  <c r="C209" i="2" s="1"/>
  <c r="C211" i="3"/>
  <c r="C210" i="2" s="1"/>
  <c r="O95" i="1"/>
  <c r="P95" i="1" s="1"/>
  <c r="O98" i="1"/>
  <c r="Q98" i="1" s="1"/>
  <c r="R98" i="1" s="1"/>
  <c r="S98" i="1" s="1"/>
  <c r="O103" i="1"/>
  <c r="P103" i="1" s="1"/>
  <c r="O109" i="1"/>
  <c r="P109" i="1" s="1"/>
  <c r="O113" i="1"/>
  <c r="P113" i="1" s="1"/>
  <c r="O117" i="1"/>
  <c r="P117" i="1" s="1"/>
  <c r="O118" i="1"/>
  <c r="Q118" i="1" s="1"/>
  <c r="R118" i="1" s="1"/>
  <c r="S118" i="1" s="1"/>
  <c r="O125" i="1"/>
  <c r="P125" i="1" s="1"/>
  <c r="O129" i="1"/>
  <c r="O141" i="1"/>
  <c r="P141" i="1" s="1"/>
  <c r="O145" i="1"/>
  <c r="P145" i="1" s="1"/>
  <c r="O152" i="1"/>
  <c r="Q152" i="1" s="1"/>
  <c r="R152" i="1" s="1"/>
  <c r="S152" i="1" s="1"/>
  <c r="O154" i="1"/>
  <c r="Q154" i="1" s="1"/>
  <c r="R154" i="1" s="1"/>
  <c r="S154" i="1" s="1"/>
  <c r="O161" i="1"/>
  <c r="P161" i="1" s="1"/>
  <c r="O162" i="1"/>
  <c r="O164" i="1"/>
  <c r="P164" i="1" s="1"/>
  <c r="O168" i="1"/>
  <c r="O169" i="1"/>
  <c r="O174" i="1"/>
  <c r="P174" i="1" s="1"/>
  <c r="O177" i="1"/>
  <c r="O178" i="1"/>
  <c r="O189" i="1"/>
  <c r="O196" i="1"/>
  <c r="O197" i="1"/>
  <c r="L209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I84" i="1"/>
  <c r="J84" i="1" s="1"/>
  <c r="I85" i="1"/>
  <c r="J85" i="1" s="1"/>
  <c r="H86" i="1"/>
  <c r="I86" i="1" s="1"/>
  <c r="J86" i="1" s="1"/>
  <c r="H87" i="1"/>
  <c r="I87" i="1" s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H101" i="1"/>
  <c r="I101" i="1" s="1"/>
  <c r="J101" i="1" s="1"/>
  <c r="H102" i="1"/>
  <c r="I102" i="1" s="1"/>
  <c r="J102" i="1" s="1"/>
  <c r="H103" i="1"/>
  <c r="I103" i="1" s="1"/>
  <c r="J103" i="1" s="1"/>
  <c r="H104" i="1"/>
  <c r="J104" i="1" s="1"/>
  <c r="H105" i="1"/>
  <c r="H106" i="1"/>
  <c r="I106" i="1" s="1"/>
  <c r="J106" i="1" s="1"/>
  <c r="H107" i="1"/>
  <c r="I107" i="1" s="1"/>
  <c r="J107" i="1" s="1"/>
  <c r="H108" i="1"/>
  <c r="I108" i="1" s="1"/>
  <c r="J108" i="1" s="1"/>
  <c r="H109" i="1"/>
  <c r="I109" i="1" s="1"/>
  <c r="J109" i="1" s="1"/>
  <c r="H110" i="1"/>
  <c r="I110" i="1" s="1"/>
  <c r="J110" i="1" s="1"/>
  <c r="H111" i="1"/>
  <c r="I111" i="1" s="1"/>
  <c r="J111" i="1" s="1"/>
  <c r="H112" i="1"/>
  <c r="I112" i="1" s="1"/>
  <c r="J112" i="1" s="1"/>
  <c r="H113" i="1"/>
  <c r="H114" i="1"/>
  <c r="I114" i="1" s="1"/>
  <c r="J114" i="1" s="1"/>
  <c r="H115" i="1"/>
  <c r="I115" i="1" s="1"/>
  <c r="J115" i="1" s="1"/>
  <c r="H116" i="1"/>
  <c r="I116" i="1" s="1"/>
  <c r="J116" i="1" s="1"/>
  <c r="H117" i="1"/>
  <c r="H118" i="1"/>
  <c r="I118" i="1" s="1"/>
  <c r="J118" i="1" s="1"/>
  <c r="H119" i="1"/>
  <c r="I119" i="1" s="1"/>
  <c r="J119" i="1" s="1"/>
  <c r="H120" i="1"/>
  <c r="I120" i="1" s="1"/>
  <c r="J120" i="1" s="1"/>
  <c r="H121" i="1"/>
  <c r="I121" i="1" s="1"/>
  <c r="J121" i="1" s="1"/>
  <c r="H122" i="1"/>
  <c r="I122" i="1" s="1"/>
  <c r="J122" i="1" s="1"/>
  <c r="H123" i="1"/>
  <c r="H124" i="1"/>
  <c r="I124" i="1" s="1"/>
  <c r="J124" i="1" s="1"/>
  <c r="H125" i="1"/>
  <c r="I125" i="1" s="1"/>
  <c r="J125" i="1" s="1"/>
  <c r="H126" i="1"/>
  <c r="I126" i="1" s="1"/>
  <c r="J126" i="1" s="1"/>
  <c r="H127" i="1"/>
  <c r="I127" i="1" s="1"/>
  <c r="J127" i="1" s="1"/>
  <c r="H128" i="1"/>
  <c r="I128" i="1" s="1"/>
  <c r="J128" i="1" s="1"/>
  <c r="H129" i="1"/>
  <c r="I129" i="1" s="1"/>
  <c r="J129" i="1" s="1"/>
  <c r="H130" i="1"/>
  <c r="I130" i="1" s="1"/>
  <c r="J130" i="1" s="1"/>
  <c r="H131" i="1"/>
  <c r="I131" i="1" s="1"/>
  <c r="J131" i="1" s="1"/>
  <c r="H132" i="1"/>
  <c r="I132" i="1" s="1"/>
  <c r="J132" i="1" s="1"/>
  <c r="H133" i="1"/>
  <c r="I133" i="1" s="1"/>
  <c r="J133" i="1" s="1"/>
  <c r="H134" i="1"/>
  <c r="I134" i="1" s="1"/>
  <c r="J134" i="1" s="1"/>
  <c r="H135" i="1"/>
  <c r="I135" i="1" s="1"/>
  <c r="J135" i="1" s="1"/>
  <c r="H136" i="1"/>
  <c r="I136" i="1" s="1"/>
  <c r="J136" i="1" s="1"/>
  <c r="H137" i="1"/>
  <c r="I137" i="1" s="1"/>
  <c r="J137" i="1" s="1"/>
  <c r="H138" i="1"/>
  <c r="I138" i="1" s="1"/>
  <c r="J138" i="1" s="1"/>
  <c r="H139" i="1"/>
  <c r="I139" i="1" s="1"/>
  <c r="J139" i="1" s="1"/>
  <c r="H140" i="1"/>
  <c r="I140" i="1" s="1"/>
  <c r="J140" i="1" s="1"/>
  <c r="H141" i="1"/>
  <c r="I142" i="1"/>
  <c r="J142" i="1" s="1"/>
  <c r="H143" i="1"/>
  <c r="I143" i="1" s="1"/>
  <c r="J143" i="1" s="1"/>
  <c r="H144" i="1"/>
  <c r="I144" i="1" s="1"/>
  <c r="J144" i="1" s="1"/>
  <c r="H145" i="1"/>
  <c r="I145" i="1" s="1"/>
  <c r="J145" i="1" s="1"/>
  <c r="H146" i="1"/>
  <c r="I146" i="1" s="1"/>
  <c r="J146" i="1" s="1"/>
  <c r="H147" i="1"/>
  <c r="I147" i="1" s="1"/>
  <c r="J147" i="1" s="1"/>
  <c r="H148" i="1"/>
  <c r="I148" i="1" s="1"/>
  <c r="J148" i="1" s="1"/>
  <c r="H149" i="1"/>
  <c r="I149" i="1" s="1"/>
  <c r="J149" i="1" s="1"/>
  <c r="H150" i="1"/>
  <c r="I150" i="1" s="1"/>
  <c r="J150" i="1" s="1"/>
  <c r="H151" i="1"/>
  <c r="I151" i="1" s="1"/>
  <c r="J151" i="1" s="1"/>
  <c r="H152" i="1"/>
  <c r="H153" i="1"/>
  <c r="I153" i="1" s="1"/>
  <c r="J153" i="1" s="1"/>
  <c r="H154" i="1"/>
  <c r="I154" i="1" s="1"/>
  <c r="J154" i="1" s="1"/>
  <c r="I155" i="1"/>
  <c r="J155" i="1" s="1"/>
  <c r="H156" i="1"/>
  <c r="I156" i="1" s="1"/>
  <c r="J156" i="1" s="1"/>
  <c r="H157" i="1"/>
  <c r="I157" i="1" s="1"/>
  <c r="J157" i="1" s="1"/>
  <c r="H158" i="1"/>
  <c r="I158" i="1" s="1"/>
  <c r="J158" i="1" s="1"/>
  <c r="H159" i="1"/>
  <c r="I159" i="1" s="1"/>
  <c r="J159" i="1" s="1"/>
  <c r="H160" i="1"/>
  <c r="I160" i="1" s="1"/>
  <c r="J160" i="1" s="1"/>
  <c r="H161" i="1"/>
  <c r="I161" i="1" s="1"/>
  <c r="J161" i="1" s="1"/>
  <c r="H162" i="1"/>
  <c r="H163" i="1"/>
  <c r="I163" i="1" s="1"/>
  <c r="J163" i="1" s="1"/>
  <c r="H164" i="1"/>
  <c r="I164" i="1" s="1"/>
  <c r="J164" i="1" s="1"/>
  <c r="H165" i="1"/>
  <c r="I165" i="1" s="1"/>
  <c r="J165" i="1" s="1"/>
  <c r="H166" i="1"/>
  <c r="I166" i="1" s="1"/>
  <c r="J166" i="1" s="1"/>
  <c r="H167" i="1"/>
  <c r="I167" i="1" s="1"/>
  <c r="J167" i="1" s="1"/>
  <c r="H168" i="1"/>
  <c r="I168" i="1" s="1"/>
  <c r="J168" i="1" s="1"/>
  <c r="H169" i="1"/>
  <c r="I169" i="1" s="1"/>
  <c r="J169" i="1" s="1"/>
  <c r="H170" i="1"/>
  <c r="I170" i="1" s="1"/>
  <c r="J170" i="1" s="1"/>
  <c r="H171" i="1"/>
  <c r="I171" i="1" s="1"/>
  <c r="J171" i="1" s="1"/>
  <c r="H172" i="1"/>
  <c r="H173" i="1"/>
  <c r="I173" i="1" s="1"/>
  <c r="J173" i="1" s="1"/>
  <c r="H174" i="1"/>
  <c r="H175" i="1"/>
  <c r="I175" i="1" s="1"/>
  <c r="J175" i="1" s="1"/>
  <c r="H176" i="1"/>
  <c r="I176" i="1" s="1"/>
  <c r="J176" i="1" s="1"/>
  <c r="H177" i="1"/>
  <c r="I177" i="1" s="1"/>
  <c r="J177" i="1" s="1"/>
  <c r="H178" i="1"/>
  <c r="I178" i="1" s="1"/>
  <c r="J178" i="1" s="1"/>
  <c r="I179" i="1"/>
  <c r="J179" i="1" s="1"/>
  <c r="H180" i="1"/>
  <c r="I180" i="1" s="1"/>
  <c r="J180" i="1" s="1"/>
  <c r="H181" i="1"/>
  <c r="I181" i="1" s="1"/>
  <c r="J181" i="1" s="1"/>
  <c r="H182" i="1"/>
  <c r="I182" i="1" s="1"/>
  <c r="J182" i="1" s="1"/>
  <c r="H183" i="1"/>
  <c r="H184" i="1"/>
  <c r="I184" i="1" s="1"/>
  <c r="J184" i="1" s="1"/>
  <c r="H185" i="1"/>
  <c r="I185" i="1" s="1"/>
  <c r="J185" i="1" s="1"/>
  <c r="H186" i="1"/>
  <c r="I186" i="1" s="1"/>
  <c r="J186" i="1" s="1"/>
  <c r="H187" i="1"/>
  <c r="I187" i="1" s="1"/>
  <c r="J187" i="1" s="1"/>
  <c r="H188" i="1"/>
  <c r="I188" i="1" s="1"/>
  <c r="J188" i="1" s="1"/>
  <c r="H189" i="1"/>
  <c r="I189" i="1" s="1"/>
  <c r="J189" i="1" s="1"/>
  <c r="H190" i="1"/>
  <c r="I190" i="1" s="1"/>
  <c r="J190" i="1" s="1"/>
  <c r="H191" i="1"/>
  <c r="I191" i="1" s="1"/>
  <c r="J191" i="1" s="1"/>
  <c r="H192" i="1"/>
  <c r="I192" i="1" s="1"/>
  <c r="J192" i="1" s="1"/>
  <c r="H193" i="1"/>
  <c r="I193" i="1" s="1"/>
  <c r="J193" i="1" s="1"/>
  <c r="H194" i="1"/>
  <c r="I194" i="1" s="1"/>
  <c r="J194" i="1" s="1"/>
  <c r="H195" i="1"/>
  <c r="I195" i="1" s="1"/>
  <c r="J195" i="1" s="1"/>
  <c r="H196" i="1"/>
  <c r="I196" i="1" s="1"/>
  <c r="J196" i="1" s="1"/>
  <c r="H197" i="1"/>
  <c r="I197" i="1" s="1"/>
  <c r="J197" i="1" s="1"/>
  <c r="H198" i="1"/>
  <c r="I198" i="1" s="1"/>
  <c r="J198" i="1" s="1"/>
  <c r="H199" i="1"/>
  <c r="I199" i="1" s="1"/>
  <c r="J199" i="1" s="1"/>
  <c r="H200" i="1"/>
  <c r="I200" i="1" s="1"/>
  <c r="J200" i="1" s="1"/>
  <c r="H201" i="1"/>
  <c r="I201" i="1" s="1"/>
  <c r="J201" i="1" s="1"/>
  <c r="H202" i="1"/>
  <c r="I202" i="1" s="1"/>
  <c r="J202" i="1" s="1"/>
  <c r="H203" i="1"/>
  <c r="I203" i="1" s="1"/>
  <c r="J203" i="1" s="1"/>
  <c r="H204" i="1"/>
  <c r="I204" i="1" s="1"/>
  <c r="J204" i="1" s="1"/>
  <c r="H205" i="1"/>
  <c r="I205" i="1" s="1"/>
  <c r="J205" i="1" s="1"/>
  <c r="H206" i="1"/>
  <c r="I206" i="1" s="1"/>
  <c r="J206" i="1" s="1"/>
  <c r="H207" i="1"/>
  <c r="I207" i="1" s="1"/>
  <c r="J207" i="1" s="1"/>
  <c r="H208" i="1"/>
  <c r="I208" i="1" s="1"/>
  <c r="J208" i="1" s="1"/>
  <c r="H209" i="1"/>
  <c r="I209" i="1" s="1"/>
  <c r="J209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1" i="1"/>
  <c r="E162" i="1"/>
  <c r="E163" i="1"/>
  <c r="E164" i="1"/>
  <c r="E165" i="1"/>
  <c r="E166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L2" i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O39" i="1"/>
  <c r="O13" i="1"/>
  <c r="H3" i="1"/>
  <c r="I3" i="1" s="1"/>
  <c r="J3" i="1" s="1"/>
  <c r="I123" i="1" l="1"/>
  <c r="J123" i="1" s="1"/>
  <c r="W202" i="2"/>
  <c r="AF202" i="2" s="1"/>
  <c r="I141" i="1"/>
  <c r="J141" i="1" s="1"/>
  <c r="I105" i="1"/>
  <c r="J105" i="1" s="1"/>
  <c r="I183" i="1"/>
  <c r="J183" i="1" s="1"/>
  <c r="I172" i="1"/>
  <c r="J172" i="1" s="1"/>
  <c r="W36" i="2"/>
  <c r="AB36" i="2"/>
  <c r="X36" i="2"/>
  <c r="AG36" i="2" s="1"/>
  <c r="AA36" i="2"/>
  <c r="Z36" i="2"/>
  <c r="AI36" i="2" s="1"/>
  <c r="Y36" i="2"/>
  <c r="AH36" i="2" s="1"/>
  <c r="K156" i="2"/>
  <c r="W105" i="2"/>
  <c r="AF105" i="2" s="1"/>
  <c r="K105" i="2"/>
  <c r="AB105" i="2"/>
  <c r="AK105" i="2" s="1"/>
  <c r="Z105" i="2"/>
  <c r="AI105" i="2" s="1"/>
  <c r="X105" i="2"/>
  <c r="AG105" i="2" s="1"/>
  <c r="AA105" i="2"/>
  <c r="AJ105" i="2" s="1"/>
  <c r="Y105" i="2"/>
  <c r="AH105" i="2" s="1"/>
  <c r="AA115" i="2"/>
  <c r="Y115" i="2"/>
  <c r="AH115" i="2" s="1"/>
  <c r="Z115" i="2"/>
  <c r="AI115" i="2" s="1"/>
  <c r="W115" i="2"/>
  <c r="AF115" i="2" s="1"/>
  <c r="AB115" i="2"/>
  <c r="X115" i="2"/>
  <c r="AG115" i="2" s="1"/>
  <c r="Z191" i="2"/>
  <c r="AI191" i="2" s="1"/>
  <c r="AA184" i="2"/>
  <c r="AA162" i="2"/>
  <c r="Z162" i="2"/>
  <c r="Y184" i="2"/>
  <c r="AH184" i="2" s="1"/>
  <c r="Y162" i="2"/>
  <c r="AH162" i="2" s="1"/>
  <c r="Z184" i="2"/>
  <c r="W184" i="2"/>
  <c r="AF184" i="2" s="1"/>
  <c r="W162" i="2"/>
  <c r="AF162" i="2" s="1"/>
  <c r="AB184" i="2"/>
  <c r="X184" i="2"/>
  <c r="AG184" i="2" s="1"/>
  <c r="AB162" i="2"/>
  <c r="X162" i="2"/>
  <c r="AG162" i="2" s="1"/>
  <c r="AA134" i="2"/>
  <c r="AA127" i="2"/>
  <c r="W125" i="2"/>
  <c r="AF125" i="2" s="1"/>
  <c r="W118" i="2"/>
  <c r="AF118" i="2" s="1"/>
  <c r="K114" i="2"/>
  <c r="AA104" i="2"/>
  <c r="K98" i="2"/>
  <c r="M98" i="2" s="1"/>
  <c r="W94" i="2"/>
  <c r="AF94" i="2" s="1"/>
  <c r="Z146" i="2"/>
  <c r="Y107" i="2"/>
  <c r="AH107" i="2" s="1"/>
  <c r="K86" i="2"/>
  <c r="L86" i="2" s="1"/>
  <c r="Y207" i="2"/>
  <c r="AH207" i="2" s="1"/>
  <c r="AA198" i="2"/>
  <c r="AA194" i="2"/>
  <c r="AA190" i="2"/>
  <c r="K188" i="2"/>
  <c r="L188" i="2" s="1"/>
  <c r="Y175" i="2"/>
  <c r="AH175" i="2" s="1"/>
  <c r="Y171" i="2"/>
  <c r="AH171" i="2" s="1"/>
  <c r="Y168" i="2"/>
  <c r="AH168" i="2" s="1"/>
  <c r="AA165" i="2"/>
  <c r="AA161" i="2"/>
  <c r="AA157" i="2"/>
  <c r="AA153" i="2"/>
  <c r="AA208" i="2"/>
  <c r="AA204" i="2"/>
  <c r="Y193" i="2"/>
  <c r="AH193" i="2" s="1"/>
  <c r="Y189" i="2"/>
  <c r="AH189" i="2" s="1"/>
  <c r="AA186" i="2"/>
  <c r="AA183" i="2"/>
  <c r="Y182" i="2"/>
  <c r="AH182" i="2" s="1"/>
  <c r="Y179" i="2"/>
  <c r="AH179" i="2" s="1"/>
  <c r="AA176" i="2"/>
  <c r="AA172" i="2"/>
  <c r="AA169" i="2"/>
  <c r="Y164" i="2"/>
  <c r="AH164" i="2" s="1"/>
  <c r="K162" i="2"/>
  <c r="L162" i="2" s="1"/>
  <c r="Y160" i="2"/>
  <c r="AH160" i="2" s="1"/>
  <c r="Y156" i="2"/>
  <c r="AH156" i="2" s="1"/>
  <c r="Y152" i="2"/>
  <c r="AH152" i="2" s="1"/>
  <c r="AA149" i="2"/>
  <c r="Y148" i="2"/>
  <c r="AH148" i="2" s="1"/>
  <c r="K142" i="2"/>
  <c r="L142" i="2" s="1"/>
  <c r="K119" i="2"/>
  <c r="L119" i="2" s="1"/>
  <c r="W174" i="2"/>
  <c r="AF174" i="2" s="1"/>
  <c r="W188" i="2"/>
  <c r="AF188" i="2" s="1"/>
  <c r="Y137" i="2"/>
  <c r="AH137" i="2" s="1"/>
  <c r="W82" i="2"/>
  <c r="AF82" i="2" s="1"/>
  <c r="W75" i="2"/>
  <c r="AF75" i="2" s="1"/>
  <c r="K68" i="2"/>
  <c r="L68" i="2" s="1"/>
  <c r="W60" i="2"/>
  <c r="AF60" i="2" s="1"/>
  <c r="W52" i="2"/>
  <c r="AF52" i="2" s="1"/>
  <c r="W44" i="2"/>
  <c r="AF44" i="2" s="1"/>
  <c r="K37" i="2"/>
  <c r="M37" i="2" s="1"/>
  <c r="K30" i="2"/>
  <c r="L30" i="2" s="1"/>
  <c r="K23" i="2"/>
  <c r="K15" i="2"/>
  <c r="L15" i="2" s="1"/>
  <c r="K8" i="2"/>
  <c r="L8" i="2" s="1"/>
  <c r="AA209" i="2"/>
  <c r="AA207" i="2"/>
  <c r="AA205" i="2"/>
  <c r="AA203" i="2"/>
  <c r="AA202" i="2"/>
  <c r="AA201" i="2"/>
  <c r="AA199" i="2"/>
  <c r="AA197" i="2"/>
  <c r="Z112" i="2"/>
  <c r="AB111" i="2"/>
  <c r="Z110" i="2"/>
  <c r="AB109" i="2"/>
  <c r="Z108" i="2"/>
  <c r="AB107" i="2"/>
  <c r="AK107" i="2" s="1"/>
  <c r="Z106" i="2"/>
  <c r="Z104" i="2"/>
  <c r="AB103" i="2"/>
  <c r="AK103" i="2" s="1"/>
  <c r="Z102" i="2"/>
  <c r="AB101" i="2"/>
  <c r="AK101" i="2" s="1"/>
  <c r="Z100" i="2"/>
  <c r="AB99" i="2"/>
  <c r="AK99" i="2" s="1"/>
  <c r="Z98" i="2"/>
  <c r="AB97" i="2"/>
  <c r="AK97" i="2" s="1"/>
  <c r="Z96" i="2"/>
  <c r="AB95" i="2"/>
  <c r="AK95" i="2" s="1"/>
  <c r="Z94" i="2"/>
  <c r="AB93" i="2"/>
  <c r="AK93" i="2" s="1"/>
  <c r="Z92" i="2"/>
  <c r="AB91" i="2"/>
  <c r="AK91" i="2" s="1"/>
  <c r="Z90" i="2"/>
  <c r="AB89" i="2"/>
  <c r="Z88" i="2"/>
  <c r="AB87" i="2"/>
  <c r="AK87" i="2" s="1"/>
  <c r="Z86" i="2"/>
  <c r="AB85" i="2"/>
  <c r="AK85" i="2" s="1"/>
  <c r="Y210" i="2"/>
  <c r="AH210" i="2" s="1"/>
  <c r="W209" i="2"/>
  <c r="AF209" i="2" s="1"/>
  <c r="Y208" i="2"/>
  <c r="AH208" i="2" s="1"/>
  <c r="W207" i="2"/>
  <c r="AF207" i="2" s="1"/>
  <c r="Y206" i="2"/>
  <c r="AH206" i="2" s="1"/>
  <c r="W205" i="2"/>
  <c r="AF205" i="2" s="1"/>
  <c r="Y204" i="2"/>
  <c r="AH204" i="2" s="1"/>
  <c r="W203" i="2"/>
  <c r="W201" i="2"/>
  <c r="AF201" i="2" s="1"/>
  <c r="Y200" i="2"/>
  <c r="AH200" i="2" s="1"/>
  <c r="W199" i="2"/>
  <c r="AF199" i="2" s="1"/>
  <c r="Y198" i="2"/>
  <c r="AH198" i="2" s="1"/>
  <c r="W197" i="2"/>
  <c r="AF197" i="2" s="1"/>
  <c r="Z83" i="2"/>
  <c r="AB81" i="2"/>
  <c r="AB78" i="2"/>
  <c r="Z76" i="2"/>
  <c r="AB74" i="2"/>
  <c r="AK74" i="2" s="1"/>
  <c r="Z72" i="2"/>
  <c r="AB84" i="2"/>
  <c r="AK84" i="2" s="1"/>
  <c r="AB80" i="2"/>
  <c r="AB77" i="2"/>
  <c r="AB73" i="2"/>
  <c r="AK73" i="2" s="1"/>
  <c r="AB70" i="2"/>
  <c r="W210" i="2"/>
  <c r="AF210" i="2" s="1"/>
  <c r="K210" i="2"/>
  <c r="M210" i="2" s="1"/>
  <c r="K208" i="2"/>
  <c r="L208" i="2" s="1"/>
  <c r="K206" i="2"/>
  <c r="W206" i="2"/>
  <c r="AF206" i="2" s="1"/>
  <c r="K204" i="2"/>
  <c r="L204" i="2" s="1"/>
  <c r="Y203" i="2"/>
  <c r="Y201" i="2"/>
  <c r="AH201" i="2" s="1"/>
  <c r="W200" i="2"/>
  <c r="AF200" i="2" s="1"/>
  <c r="K200" i="2"/>
  <c r="L200" i="2" s="1"/>
  <c r="K198" i="2"/>
  <c r="L198" i="2" s="1"/>
  <c r="Y197" i="2"/>
  <c r="AH197" i="2" s="1"/>
  <c r="W196" i="2"/>
  <c r="AF196" i="2" s="1"/>
  <c r="K196" i="2"/>
  <c r="L196" i="2" s="1"/>
  <c r="K194" i="2"/>
  <c r="L194" i="2" s="1"/>
  <c r="K192" i="2"/>
  <c r="L192" i="2" s="1"/>
  <c r="W192" i="2"/>
  <c r="AF192" i="2" s="1"/>
  <c r="K190" i="2"/>
  <c r="L190" i="2" s="1"/>
  <c r="K186" i="2"/>
  <c r="L186" i="2" s="1"/>
  <c r="W185" i="2"/>
  <c r="AF185" i="2" s="1"/>
  <c r="K185" i="2"/>
  <c r="L185" i="2" s="1"/>
  <c r="Z69" i="2"/>
  <c r="AB67" i="2"/>
  <c r="AK67" i="2" s="1"/>
  <c r="Z65" i="2"/>
  <c r="AB63" i="2"/>
  <c r="AK63" i="2" s="1"/>
  <c r="Z61" i="2"/>
  <c r="AB59" i="2"/>
  <c r="Z57" i="2"/>
  <c r="AB55" i="2"/>
  <c r="Z53" i="2"/>
  <c r="AB51" i="2"/>
  <c r="AK51" i="2" s="1"/>
  <c r="Z49" i="2"/>
  <c r="AB47" i="2"/>
  <c r="AK47" i="2" s="1"/>
  <c r="Z45" i="2"/>
  <c r="Z42" i="2"/>
  <c r="AB40" i="2"/>
  <c r="Z38" i="2"/>
  <c r="Z34" i="2"/>
  <c r="Z31" i="2"/>
  <c r="Z28" i="2"/>
  <c r="AB26" i="2"/>
  <c r="Z24" i="2"/>
  <c r="AB22" i="2"/>
  <c r="AK22" i="2" s="1"/>
  <c r="Z20" i="2"/>
  <c r="AB18" i="2"/>
  <c r="Z16" i="2"/>
  <c r="AB14" i="2"/>
  <c r="AK14" i="2" s="1"/>
  <c r="Z12" i="2"/>
  <c r="Z9" i="2"/>
  <c r="AB7" i="2"/>
  <c r="AK7" i="2" s="1"/>
  <c r="Z5" i="2"/>
  <c r="AB210" i="2"/>
  <c r="Z209" i="2"/>
  <c r="AB208" i="2"/>
  <c r="AK208" i="2" s="1"/>
  <c r="Z207" i="2"/>
  <c r="AB206" i="2"/>
  <c r="AK206" i="2" s="1"/>
  <c r="AA206" i="2"/>
  <c r="Z205" i="2"/>
  <c r="AB204" i="2"/>
  <c r="W204" i="2"/>
  <c r="AF204" i="2" s="1"/>
  <c r="Z203" i="2"/>
  <c r="Z202" i="2"/>
  <c r="Z201" i="2"/>
  <c r="AB200" i="2"/>
  <c r="AA200" i="2"/>
  <c r="Z199" i="2"/>
  <c r="AB198" i="2"/>
  <c r="W198" i="2"/>
  <c r="AF198" i="2" s="1"/>
  <c r="Z197" i="2"/>
  <c r="AB196" i="2"/>
  <c r="Z195" i="2"/>
  <c r="AB194" i="2"/>
  <c r="AK194" i="2" s="1"/>
  <c r="Z193" i="2"/>
  <c r="AB192" i="2"/>
  <c r="AA192" i="2"/>
  <c r="AB190" i="2"/>
  <c r="AK190" i="2" s="1"/>
  <c r="W190" i="2"/>
  <c r="AF190" i="2" s="1"/>
  <c r="Z189" i="2"/>
  <c r="AB188" i="2"/>
  <c r="Z187" i="2"/>
  <c r="AB186" i="2"/>
  <c r="AB185" i="2"/>
  <c r="AA185" i="2"/>
  <c r="AB183" i="2"/>
  <c r="AK183" i="2" s="1"/>
  <c r="W183" i="2"/>
  <c r="AF183" i="2" s="1"/>
  <c r="Z182" i="2"/>
  <c r="AB181" i="2"/>
  <c r="AK181" i="2" s="1"/>
  <c r="Z180" i="2"/>
  <c r="Z179" i="2"/>
  <c r="AB178" i="2"/>
  <c r="AK178" i="2" s="1"/>
  <c r="AA178" i="2"/>
  <c r="Z177" i="2"/>
  <c r="AB176" i="2"/>
  <c r="AK176" i="2" s="1"/>
  <c r="W176" i="2"/>
  <c r="AF176" i="2" s="1"/>
  <c r="Z175" i="2"/>
  <c r="AB174" i="2"/>
  <c r="AK174" i="2" s="1"/>
  <c r="Z173" i="2"/>
  <c r="AB172" i="2"/>
  <c r="Z171" i="2"/>
  <c r="Z170" i="2"/>
  <c r="AB169" i="2"/>
  <c r="W169" i="2"/>
  <c r="AF169" i="2" s="1"/>
  <c r="Z168" i="2"/>
  <c r="AB167" i="2"/>
  <c r="AK167" i="2" s="1"/>
  <c r="Z166" i="2"/>
  <c r="AB165" i="2"/>
  <c r="Z164" i="2"/>
  <c r="AB163" i="2"/>
  <c r="AK163" i="2" s="1"/>
  <c r="AA163" i="2"/>
  <c r="AB161" i="2"/>
  <c r="W161" i="2"/>
  <c r="AF161" i="2" s="1"/>
  <c r="Z160" i="2"/>
  <c r="AB159" i="2"/>
  <c r="AK159" i="2" s="1"/>
  <c r="Z158" i="2"/>
  <c r="AB157" i="2"/>
  <c r="Z156" i="2"/>
  <c r="AB155" i="2"/>
  <c r="AK155" i="2" s="1"/>
  <c r="AA155" i="2"/>
  <c r="Z154" i="2"/>
  <c r="AB153" i="2"/>
  <c r="AK153" i="2" s="1"/>
  <c r="Z152" i="2"/>
  <c r="AB151" i="2"/>
  <c r="AK151" i="2" s="1"/>
  <c r="Z150" i="2"/>
  <c r="AB149" i="2"/>
  <c r="AK149" i="2" s="1"/>
  <c r="X149" i="2"/>
  <c r="AG149" i="2" s="1"/>
  <c r="Z148" i="2"/>
  <c r="AB147" i="2"/>
  <c r="AB145" i="2"/>
  <c r="AK145" i="2" s="1"/>
  <c r="AA145" i="2"/>
  <c r="Z144" i="2"/>
  <c r="AB143" i="2"/>
  <c r="Z142" i="2"/>
  <c r="AB141" i="2"/>
  <c r="Y141" i="2"/>
  <c r="AH141" i="2" s="1"/>
  <c r="Z140" i="2"/>
  <c r="AB139" i="2"/>
  <c r="AK139" i="2" s="1"/>
  <c r="Z138" i="2"/>
  <c r="AB137" i="2"/>
  <c r="Z136" i="2"/>
  <c r="AB135" i="2"/>
  <c r="AK135" i="2" s="1"/>
  <c r="Z134" i="2"/>
  <c r="Z133" i="2"/>
  <c r="AB132" i="2"/>
  <c r="Z131" i="2"/>
  <c r="AB130" i="2"/>
  <c r="Z129" i="2"/>
  <c r="AB128" i="2"/>
  <c r="Z127" i="2"/>
  <c r="AB126" i="2"/>
  <c r="Y126" i="2"/>
  <c r="AH126" i="2" s="1"/>
  <c r="Z125" i="2"/>
  <c r="AB124" i="2"/>
  <c r="Z123" i="2"/>
  <c r="Z122" i="2"/>
  <c r="AB121" i="2"/>
  <c r="K121" i="2"/>
  <c r="L121" i="2" s="1"/>
  <c r="Z120" i="2"/>
  <c r="AB119" i="2"/>
  <c r="Z118" i="2"/>
  <c r="AB117" i="2"/>
  <c r="Z116" i="2"/>
  <c r="Z114" i="2"/>
  <c r="AB113" i="2"/>
  <c r="AK113" i="2" s="1"/>
  <c r="Y111" i="2"/>
  <c r="AH111" i="2" s="1"/>
  <c r="Y95" i="2"/>
  <c r="AH95" i="2" s="1"/>
  <c r="K174" i="2"/>
  <c r="K102" i="2"/>
  <c r="L102" i="2" s="1"/>
  <c r="AA96" i="2"/>
  <c r="K183" i="2"/>
  <c r="L183" i="2" s="1"/>
  <c r="W181" i="2"/>
  <c r="AF181" i="2" s="1"/>
  <c r="K181" i="2"/>
  <c r="L181" i="2" s="1"/>
  <c r="K178" i="2"/>
  <c r="L178" i="2" s="1"/>
  <c r="W178" i="2"/>
  <c r="AF178" i="2" s="1"/>
  <c r="K176" i="2"/>
  <c r="L176" i="2" s="1"/>
  <c r="K172" i="2"/>
  <c r="L172" i="2" s="1"/>
  <c r="K169" i="2"/>
  <c r="L169" i="2" s="1"/>
  <c r="W167" i="2"/>
  <c r="AF167" i="2" s="1"/>
  <c r="K167" i="2"/>
  <c r="L167" i="2" s="1"/>
  <c r="K165" i="2"/>
  <c r="L165" i="2" s="1"/>
  <c r="K163" i="2"/>
  <c r="M163" i="2" s="1"/>
  <c r="W163" i="2"/>
  <c r="AF163" i="2" s="1"/>
  <c r="K159" i="2"/>
  <c r="L159" i="2" s="1"/>
  <c r="K157" i="2"/>
  <c r="L157" i="2" s="1"/>
  <c r="W155" i="2"/>
  <c r="AF155" i="2" s="1"/>
  <c r="K153" i="2"/>
  <c r="L153" i="2" s="1"/>
  <c r="K151" i="2"/>
  <c r="L151" i="2" s="1"/>
  <c r="W147" i="2"/>
  <c r="AF147" i="2" s="1"/>
  <c r="Y144" i="2"/>
  <c r="AH144" i="2" s="1"/>
  <c r="AA144" i="2"/>
  <c r="K137" i="2"/>
  <c r="L137" i="2" s="1"/>
  <c r="K132" i="2"/>
  <c r="L132" i="2" s="1"/>
  <c r="W159" i="2"/>
  <c r="AF159" i="2" s="1"/>
  <c r="Y42" i="2"/>
  <c r="AH42" i="2" s="1"/>
  <c r="AA84" i="2"/>
  <c r="Y82" i="2"/>
  <c r="AH82" i="2" s="1"/>
  <c r="Y79" i="2"/>
  <c r="AH79" i="2" s="1"/>
  <c r="AA77" i="2"/>
  <c r="Y75" i="2"/>
  <c r="AH75" i="2" s="1"/>
  <c r="Y71" i="2"/>
  <c r="AH71" i="2" s="1"/>
  <c r="AA70" i="2"/>
  <c r="Y68" i="2"/>
  <c r="AH68" i="2" s="1"/>
  <c r="AA66" i="2"/>
  <c r="Y64" i="2"/>
  <c r="AH64" i="2" s="1"/>
  <c r="AA62" i="2"/>
  <c r="Y60" i="2"/>
  <c r="AH60" i="2" s="1"/>
  <c r="AA58" i="2"/>
  <c r="Y56" i="2"/>
  <c r="AH56" i="2" s="1"/>
  <c r="AA54" i="2"/>
  <c r="Y52" i="2"/>
  <c r="AH52" i="2" s="1"/>
  <c r="AA50" i="2"/>
  <c r="Y48" i="2"/>
  <c r="AH48" i="2" s="1"/>
  <c r="AA46" i="2"/>
  <c r="Y44" i="2"/>
  <c r="AH44" i="2" s="1"/>
  <c r="AA43" i="2"/>
  <c r="Y41" i="2"/>
  <c r="AH41" i="2" s="1"/>
  <c r="AA39" i="2"/>
  <c r="Y37" i="2"/>
  <c r="AH37" i="2" s="1"/>
  <c r="AA35" i="2"/>
  <c r="Y33" i="2"/>
  <c r="AH33" i="2" s="1"/>
  <c r="AA32" i="2"/>
  <c r="Y30" i="2"/>
  <c r="AH30" i="2" s="1"/>
  <c r="AA29" i="2"/>
  <c r="Y27" i="2"/>
  <c r="AH27" i="2" s="1"/>
  <c r="AA25" i="2"/>
  <c r="Y23" i="2"/>
  <c r="AH23" i="2" s="1"/>
  <c r="AA21" i="2"/>
  <c r="Y19" i="2"/>
  <c r="AH19" i="2" s="1"/>
  <c r="AA17" i="2"/>
  <c r="Y15" i="2"/>
  <c r="AH15" i="2" s="1"/>
  <c r="AA13" i="2"/>
  <c r="Y11" i="2"/>
  <c r="AH11" i="2" s="1"/>
  <c r="AA10" i="2"/>
  <c r="Y8" i="2"/>
  <c r="AH8" i="2" s="1"/>
  <c r="AA6" i="2"/>
  <c r="K4" i="2"/>
  <c r="L4" i="2" s="1"/>
  <c r="Y196" i="2"/>
  <c r="AH196" i="2" s="1"/>
  <c r="AA195" i="2"/>
  <c r="W195" i="2"/>
  <c r="AF195" i="2" s="1"/>
  <c r="Y194" i="2"/>
  <c r="AH194" i="2" s="1"/>
  <c r="AA193" i="2"/>
  <c r="W193" i="2"/>
  <c r="AF193" i="2" s="1"/>
  <c r="Y192" i="2"/>
  <c r="AH192" i="2" s="1"/>
  <c r="AA191" i="2"/>
  <c r="W191" i="2"/>
  <c r="AF191" i="2" s="1"/>
  <c r="Y190" i="2"/>
  <c r="AH190" i="2" s="1"/>
  <c r="AA189" i="2"/>
  <c r="W189" i="2"/>
  <c r="AF189" i="2" s="1"/>
  <c r="Y188" i="2"/>
  <c r="AH188" i="2" s="1"/>
  <c r="AA187" i="2"/>
  <c r="W187" i="2"/>
  <c r="AF187" i="2" s="1"/>
  <c r="Y186" i="2"/>
  <c r="AH186" i="2" s="1"/>
  <c r="Y185" i="2"/>
  <c r="AH185" i="2" s="1"/>
  <c r="Y183" i="2"/>
  <c r="AH183" i="2" s="1"/>
  <c r="AA182" i="2"/>
  <c r="W182" i="2"/>
  <c r="AF182" i="2" s="1"/>
  <c r="Y181" i="2"/>
  <c r="AH181" i="2" s="1"/>
  <c r="AA180" i="2"/>
  <c r="W180" i="2"/>
  <c r="AF180" i="2" s="1"/>
  <c r="AA179" i="2"/>
  <c r="W179" i="2"/>
  <c r="AF179" i="2" s="1"/>
  <c r="Y178" i="2"/>
  <c r="AH178" i="2" s="1"/>
  <c r="AA177" i="2"/>
  <c r="W177" i="2"/>
  <c r="AF177" i="2" s="1"/>
  <c r="Y176" i="2"/>
  <c r="AH176" i="2" s="1"/>
  <c r="AA175" i="2"/>
  <c r="W175" i="2"/>
  <c r="AF175" i="2" s="1"/>
  <c r="Y174" i="2"/>
  <c r="AH174" i="2" s="1"/>
  <c r="AA173" i="2"/>
  <c r="W173" i="2"/>
  <c r="AF173" i="2" s="1"/>
  <c r="Y172" i="2"/>
  <c r="AH172" i="2" s="1"/>
  <c r="AA171" i="2"/>
  <c r="W171" i="2"/>
  <c r="AF171" i="2" s="1"/>
  <c r="AA170" i="2"/>
  <c r="W170" i="2"/>
  <c r="AF170" i="2" s="1"/>
  <c r="Y169" i="2"/>
  <c r="AH169" i="2" s="1"/>
  <c r="AA168" i="2"/>
  <c r="W168" i="2"/>
  <c r="AF168" i="2" s="1"/>
  <c r="Y167" i="2"/>
  <c r="AH167" i="2" s="1"/>
  <c r="AA166" i="2"/>
  <c r="W166" i="2"/>
  <c r="AF166" i="2" s="1"/>
  <c r="Y165" i="2"/>
  <c r="AH165" i="2" s="1"/>
  <c r="AA164" i="2"/>
  <c r="W164" i="2"/>
  <c r="AF164" i="2" s="1"/>
  <c r="K164" i="2"/>
  <c r="Y163" i="2"/>
  <c r="AH163" i="2" s="1"/>
  <c r="W150" i="2"/>
  <c r="AF150" i="2" s="1"/>
  <c r="AA142" i="2"/>
  <c r="W133" i="2"/>
  <c r="AF133" i="2" s="1"/>
  <c r="Y130" i="2"/>
  <c r="AH130" i="2" s="1"/>
  <c r="AA120" i="2"/>
  <c r="AA112" i="2"/>
  <c r="W110" i="2"/>
  <c r="AF110" i="2" s="1"/>
  <c r="K106" i="2"/>
  <c r="L106" i="2" s="1"/>
  <c r="W102" i="2"/>
  <c r="AF102" i="2" s="1"/>
  <c r="Y99" i="2"/>
  <c r="AH99" i="2" s="1"/>
  <c r="K94" i="2"/>
  <c r="M94" i="2" s="1"/>
  <c r="Y91" i="2"/>
  <c r="AH91" i="2" s="1"/>
  <c r="K90" i="2"/>
  <c r="Y87" i="2"/>
  <c r="AH87" i="2" s="1"/>
  <c r="K111" i="2"/>
  <c r="L111" i="2" s="1"/>
  <c r="K107" i="2"/>
  <c r="L107" i="2" s="1"/>
  <c r="K103" i="2"/>
  <c r="L103" i="2" s="1"/>
  <c r="K99" i="2"/>
  <c r="L99" i="2" s="1"/>
  <c r="K95" i="2"/>
  <c r="L95" i="2" s="1"/>
  <c r="K91" i="2"/>
  <c r="L91" i="2" s="1"/>
  <c r="K87" i="2"/>
  <c r="L87" i="2" s="1"/>
  <c r="K110" i="2"/>
  <c r="L110" i="2" s="1"/>
  <c r="Y161" i="2"/>
  <c r="AH161" i="2" s="1"/>
  <c r="AA160" i="2"/>
  <c r="W160" i="2"/>
  <c r="AF160" i="2" s="1"/>
  <c r="Y159" i="2"/>
  <c r="AH159" i="2" s="1"/>
  <c r="AA158" i="2"/>
  <c r="W158" i="2"/>
  <c r="AF158" i="2" s="1"/>
  <c r="Y157" i="2"/>
  <c r="AH157" i="2" s="1"/>
  <c r="AA156" i="2"/>
  <c r="W156" i="2"/>
  <c r="AF156" i="2" s="1"/>
  <c r="Y155" i="2"/>
  <c r="AH155" i="2" s="1"/>
  <c r="AA154" i="2"/>
  <c r="K154" i="2"/>
  <c r="Y151" i="2"/>
  <c r="AH151" i="2" s="1"/>
  <c r="AA148" i="2"/>
  <c r="Y143" i="2"/>
  <c r="AH143" i="2" s="1"/>
  <c r="W142" i="2"/>
  <c r="AF142" i="2" s="1"/>
  <c r="AA140" i="2"/>
  <c r="K140" i="2"/>
  <c r="M140" i="2" s="1"/>
  <c r="Y139" i="2"/>
  <c r="AH139" i="2" s="1"/>
  <c r="W138" i="2"/>
  <c r="AF138" i="2" s="1"/>
  <c r="AA136" i="2"/>
  <c r="Y135" i="2"/>
  <c r="AH135" i="2" s="1"/>
  <c r="AA133" i="2"/>
  <c r="Y132" i="2"/>
  <c r="AH132" i="2" s="1"/>
  <c r="AA129" i="2"/>
  <c r="K129" i="2"/>
  <c r="Y128" i="2"/>
  <c r="AH128" i="2" s="1"/>
  <c r="W127" i="2"/>
  <c r="AF127" i="2" s="1"/>
  <c r="AA125" i="2"/>
  <c r="Y124" i="2"/>
  <c r="AH124" i="2" s="1"/>
  <c r="W123" i="2"/>
  <c r="AF123" i="2" s="1"/>
  <c r="AA122" i="2"/>
  <c r="Y121" i="2"/>
  <c r="AH121" i="2" s="1"/>
  <c r="AA118" i="2"/>
  <c r="Y117" i="2"/>
  <c r="AH117" i="2" s="1"/>
  <c r="AA114" i="2"/>
  <c r="Y113" i="2"/>
  <c r="AH113" i="2" s="1"/>
  <c r="W112" i="2"/>
  <c r="AF112" i="2" s="1"/>
  <c r="AA110" i="2"/>
  <c r="Y109" i="2"/>
  <c r="AH109" i="2" s="1"/>
  <c r="AA106" i="2"/>
  <c r="W104" i="2"/>
  <c r="AF104" i="2" s="1"/>
  <c r="AA102" i="2"/>
  <c r="Y101" i="2"/>
  <c r="AH101" i="2" s="1"/>
  <c r="AA98" i="2"/>
  <c r="Y97" i="2"/>
  <c r="AH97" i="2" s="1"/>
  <c r="W96" i="2"/>
  <c r="AF96" i="2" s="1"/>
  <c r="AA94" i="2"/>
  <c r="Y93" i="2"/>
  <c r="AH93" i="2" s="1"/>
  <c r="AA90" i="2"/>
  <c r="Y89" i="2"/>
  <c r="AH89" i="2" s="1"/>
  <c r="W88" i="2"/>
  <c r="AF88" i="2" s="1"/>
  <c r="AA86" i="2"/>
  <c r="Y85" i="2"/>
  <c r="AH85" i="2" s="1"/>
  <c r="K123" i="2"/>
  <c r="W140" i="2"/>
  <c r="AF140" i="2" s="1"/>
  <c r="X78" i="2"/>
  <c r="AG78" i="2" s="1"/>
  <c r="Y72" i="2"/>
  <c r="AH72" i="2" s="1"/>
  <c r="AB83" i="2"/>
  <c r="X83" i="2"/>
  <c r="AG83" i="2" s="1"/>
  <c r="Z81" i="2"/>
  <c r="Z78" i="2"/>
  <c r="AB76" i="2"/>
  <c r="X76" i="2"/>
  <c r="AG76" i="2" s="1"/>
  <c r="Z74" i="2"/>
  <c r="AB72" i="2"/>
  <c r="X72" i="2"/>
  <c r="AG72" i="2" s="1"/>
  <c r="AB69" i="2"/>
  <c r="X69" i="2"/>
  <c r="AG69" i="2" s="1"/>
  <c r="Z67" i="2"/>
  <c r="AB65" i="2"/>
  <c r="X65" i="2"/>
  <c r="AG65" i="2" s="1"/>
  <c r="Z63" i="2"/>
  <c r="AB61" i="2"/>
  <c r="X61" i="2"/>
  <c r="AG61" i="2" s="1"/>
  <c r="Z59" i="2"/>
  <c r="AB57" i="2"/>
  <c r="X57" i="2"/>
  <c r="AG57" i="2" s="1"/>
  <c r="Z55" i="2"/>
  <c r="AB53" i="2"/>
  <c r="X53" i="2"/>
  <c r="AG53" i="2" s="1"/>
  <c r="Z51" i="2"/>
  <c r="AB49" i="2"/>
  <c r="X49" i="2"/>
  <c r="AG49" i="2" s="1"/>
  <c r="Z47" i="2"/>
  <c r="AB45" i="2"/>
  <c r="X45" i="2"/>
  <c r="AG45" i="2" s="1"/>
  <c r="AB42" i="2"/>
  <c r="X42" i="2"/>
  <c r="AG42" i="2" s="1"/>
  <c r="Z40" i="2"/>
  <c r="AB38" i="2"/>
  <c r="X38" i="2"/>
  <c r="AG38" i="2" s="1"/>
  <c r="AB34" i="2"/>
  <c r="X34" i="2"/>
  <c r="AG34" i="2" s="1"/>
  <c r="AB31" i="2"/>
  <c r="X31" i="2"/>
  <c r="AG31" i="2" s="1"/>
  <c r="AB28" i="2"/>
  <c r="X28" i="2"/>
  <c r="AG28" i="2" s="1"/>
  <c r="Z26" i="2"/>
  <c r="AB24" i="2"/>
  <c r="X24" i="2"/>
  <c r="AG24" i="2" s="1"/>
  <c r="Z22" i="2"/>
  <c r="AB20" i="2"/>
  <c r="X20" i="2"/>
  <c r="AG20" i="2" s="1"/>
  <c r="Z18" i="2"/>
  <c r="AB16" i="2"/>
  <c r="X16" i="2"/>
  <c r="AG16" i="2" s="1"/>
  <c r="Z14" i="2"/>
  <c r="AB12" i="2"/>
  <c r="X12" i="2"/>
  <c r="AG12" i="2" s="1"/>
  <c r="AB9" i="2"/>
  <c r="X9" i="2"/>
  <c r="AG9" i="2" s="1"/>
  <c r="Z7" i="2"/>
  <c r="AB5" i="2"/>
  <c r="X5" i="2"/>
  <c r="AG5" i="2" s="1"/>
  <c r="AA24" i="2"/>
  <c r="X81" i="2"/>
  <c r="AG81" i="2" s="1"/>
  <c r="X74" i="2"/>
  <c r="AG74" i="2" s="1"/>
  <c r="X67" i="2"/>
  <c r="AG67" i="2" s="1"/>
  <c r="X63" i="2"/>
  <c r="AG63" i="2" s="1"/>
  <c r="X59" i="2"/>
  <c r="AG59" i="2" s="1"/>
  <c r="X55" i="2"/>
  <c r="AG55" i="2" s="1"/>
  <c r="X51" i="2"/>
  <c r="AG51" i="2" s="1"/>
  <c r="X47" i="2"/>
  <c r="AG47" i="2" s="1"/>
  <c r="X40" i="2"/>
  <c r="AG40" i="2" s="1"/>
  <c r="X26" i="2"/>
  <c r="AG26" i="2" s="1"/>
  <c r="X22" i="2"/>
  <c r="AG22" i="2" s="1"/>
  <c r="X18" i="2"/>
  <c r="AG18" i="2" s="1"/>
  <c r="X14" i="2"/>
  <c r="AG14" i="2" s="1"/>
  <c r="X7" i="2"/>
  <c r="AG7" i="2" s="1"/>
  <c r="X84" i="2"/>
  <c r="AG84" i="2" s="1"/>
  <c r="X80" i="2"/>
  <c r="AG80" i="2" s="1"/>
  <c r="X77" i="2"/>
  <c r="AG77" i="2" s="1"/>
  <c r="X73" i="2"/>
  <c r="AG73" i="2" s="1"/>
  <c r="X70" i="2"/>
  <c r="AG70" i="2" s="1"/>
  <c r="Y65" i="2"/>
  <c r="AH65" i="2" s="1"/>
  <c r="Y49" i="2"/>
  <c r="AH49" i="2" s="1"/>
  <c r="Q168" i="1"/>
  <c r="R168" i="1" s="1"/>
  <c r="S168" i="1" s="1"/>
  <c r="P168" i="1"/>
  <c r="W83" i="2"/>
  <c r="AF83" i="2" s="1"/>
  <c r="K83" i="2"/>
  <c r="L83" i="2" s="1"/>
  <c r="W76" i="2"/>
  <c r="AF76" i="2" s="1"/>
  <c r="K76" i="2"/>
  <c r="L76" i="2" s="1"/>
  <c r="W69" i="2"/>
  <c r="AF69" i="2" s="1"/>
  <c r="K69" i="2"/>
  <c r="L69" i="2" s="1"/>
  <c r="W61" i="2"/>
  <c r="AF61" i="2" s="1"/>
  <c r="K61" i="2"/>
  <c r="L61" i="2" s="1"/>
  <c r="W53" i="2"/>
  <c r="AF53" i="2" s="1"/>
  <c r="K53" i="2"/>
  <c r="L53" i="2" s="1"/>
  <c r="W45" i="2"/>
  <c r="AF45" i="2" s="1"/>
  <c r="K45" i="2"/>
  <c r="L45" i="2" s="1"/>
  <c r="W38" i="2"/>
  <c r="AF38" i="2" s="1"/>
  <c r="K38" i="2"/>
  <c r="L38" i="2" s="1"/>
  <c r="W31" i="2"/>
  <c r="AF31" i="2" s="1"/>
  <c r="K31" i="2"/>
  <c r="L31" i="2" s="1"/>
  <c r="W24" i="2"/>
  <c r="AF24" i="2" s="1"/>
  <c r="K24" i="2"/>
  <c r="L24" i="2" s="1"/>
  <c r="W16" i="2"/>
  <c r="AF16" i="2" s="1"/>
  <c r="K16" i="2"/>
  <c r="L16" i="2" s="1"/>
  <c r="W9" i="2"/>
  <c r="AF9" i="2" s="1"/>
  <c r="K9" i="2"/>
  <c r="L9" i="2" s="1"/>
  <c r="W81" i="2"/>
  <c r="AF81" i="2" s="1"/>
  <c r="K81" i="2"/>
  <c r="L81" i="2" s="1"/>
  <c r="W78" i="2"/>
  <c r="AF78" i="2" s="1"/>
  <c r="K78" i="2"/>
  <c r="L78" i="2" s="1"/>
  <c r="W74" i="2"/>
  <c r="AF74" i="2" s="1"/>
  <c r="K74" i="2"/>
  <c r="L74" i="2" s="1"/>
  <c r="W67" i="2"/>
  <c r="AF67" i="2" s="1"/>
  <c r="K67" i="2"/>
  <c r="L67" i="2" s="1"/>
  <c r="W63" i="2"/>
  <c r="AF63" i="2" s="1"/>
  <c r="K63" i="2"/>
  <c r="L63" i="2" s="1"/>
  <c r="W59" i="2"/>
  <c r="AF59" i="2" s="1"/>
  <c r="K59" i="2"/>
  <c r="L59" i="2" s="1"/>
  <c r="W55" i="2"/>
  <c r="AF55" i="2" s="1"/>
  <c r="K55" i="2"/>
  <c r="L55" i="2" s="1"/>
  <c r="W51" i="2"/>
  <c r="AF51" i="2" s="1"/>
  <c r="K51" i="2"/>
  <c r="L51" i="2" s="1"/>
  <c r="W47" i="2"/>
  <c r="AF47" i="2" s="1"/>
  <c r="K47" i="2"/>
  <c r="L47" i="2" s="1"/>
  <c r="W40" i="2"/>
  <c r="AF40" i="2" s="1"/>
  <c r="K40" i="2"/>
  <c r="L40" i="2" s="1"/>
  <c r="AF36" i="2"/>
  <c r="K36" i="2"/>
  <c r="L36" i="2" s="1"/>
  <c r="W26" i="2"/>
  <c r="AF26" i="2" s="1"/>
  <c r="K26" i="2"/>
  <c r="L26" i="2" s="1"/>
  <c r="K22" i="2"/>
  <c r="L22" i="2" s="1"/>
  <c r="W22" i="2"/>
  <c r="AF22" i="2" s="1"/>
  <c r="K18" i="2"/>
  <c r="L18" i="2" s="1"/>
  <c r="W18" i="2"/>
  <c r="AF18" i="2" s="1"/>
  <c r="K14" i="2"/>
  <c r="L14" i="2" s="1"/>
  <c r="K7" i="2"/>
  <c r="L7" i="2" s="1"/>
  <c r="W7" i="2"/>
  <c r="AF7" i="2" s="1"/>
  <c r="Y84" i="2"/>
  <c r="AH84" i="2" s="1"/>
  <c r="AA82" i="2"/>
  <c r="Y80" i="2"/>
  <c r="AH80" i="2" s="1"/>
  <c r="AA79" i="2"/>
  <c r="Y77" i="2"/>
  <c r="AH77" i="2" s="1"/>
  <c r="AA75" i="2"/>
  <c r="Y73" i="2"/>
  <c r="AH73" i="2" s="1"/>
  <c r="AA71" i="2"/>
  <c r="Y70" i="2"/>
  <c r="AH70" i="2" s="1"/>
  <c r="AA68" i="2"/>
  <c r="Y66" i="2"/>
  <c r="AH66" i="2" s="1"/>
  <c r="AA64" i="2"/>
  <c r="Y62" i="2"/>
  <c r="AH62" i="2" s="1"/>
  <c r="AA60" i="2"/>
  <c r="Y58" i="2"/>
  <c r="AH58" i="2" s="1"/>
  <c r="AA56" i="2"/>
  <c r="Y54" i="2"/>
  <c r="AH54" i="2" s="1"/>
  <c r="AA52" i="2"/>
  <c r="Y50" i="2"/>
  <c r="AH50" i="2" s="1"/>
  <c r="AA48" i="2"/>
  <c r="Y46" i="2"/>
  <c r="AH46" i="2" s="1"/>
  <c r="AA44" i="2"/>
  <c r="Y43" i="2"/>
  <c r="AH43" i="2" s="1"/>
  <c r="AA41" i="2"/>
  <c r="Y39" i="2"/>
  <c r="AH39" i="2" s="1"/>
  <c r="AA37" i="2"/>
  <c r="Y35" i="2"/>
  <c r="AH35" i="2" s="1"/>
  <c r="AA33" i="2"/>
  <c r="Y32" i="2"/>
  <c r="AH32" i="2" s="1"/>
  <c r="AA30" i="2"/>
  <c r="Y29" i="2"/>
  <c r="AH29" i="2" s="1"/>
  <c r="AA27" i="2"/>
  <c r="Y25" i="2"/>
  <c r="AH25" i="2" s="1"/>
  <c r="AA23" i="2"/>
  <c r="Y21" i="2"/>
  <c r="AH21" i="2" s="1"/>
  <c r="AA19" i="2"/>
  <c r="Y17" i="2"/>
  <c r="AH17" i="2" s="1"/>
  <c r="AA15" i="2"/>
  <c r="Y13" i="2"/>
  <c r="AH13" i="2" s="1"/>
  <c r="AA11" i="2"/>
  <c r="Y10" i="2"/>
  <c r="AH10" i="2" s="1"/>
  <c r="AA8" i="2"/>
  <c r="Y6" i="2"/>
  <c r="AH6" i="2" s="1"/>
  <c r="AA4" i="2"/>
  <c r="Z82" i="2"/>
  <c r="Z79" i="2"/>
  <c r="Z75" i="2"/>
  <c r="Z71" i="2"/>
  <c r="Z68" i="2"/>
  <c r="Z64" i="2"/>
  <c r="Z60" i="2"/>
  <c r="Z56" i="2"/>
  <c r="Z52" i="2"/>
  <c r="Z48" i="2"/>
  <c r="Z44" i="2"/>
  <c r="Z41" i="2"/>
  <c r="Z37" i="2"/>
  <c r="Z33" i="2"/>
  <c r="Z30" i="2"/>
  <c r="Z27" i="2"/>
  <c r="Z23" i="2"/>
  <c r="Z19" i="2"/>
  <c r="Z15" i="2"/>
  <c r="Z11" i="2"/>
  <c r="Z8" i="2"/>
  <c r="Z4" i="2"/>
  <c r="K82" i="2"/>
  <c r="L82" i="2" s="1"/>
  <c r="K75" i="2"/>
  <c r="L75" i="2" s="1"/>
  <c r="K60" i="2"/>
  <c r="L60" i="2" s="1"/>
  <c r="K52" i="2"/>
  <c r="L52" i="2" s="1"/>
  <c r="K44" i="2"/>
  <c r="L44" i="2" s="1"/>
  <c r="AA9" i="2"/>
  <c r="K84" i="2"/>
  <c r="L84" i="2" s="1"/>
  <c r="W84" i="2"/>
  <c r="AF84" i="2" s="1"/>
  <c r="W80" i="2"/>
  <c r="AF80" i="2" s="1"/>
  <c r="K77" i="2"/>
  <c r="L77" i="2" s="1"/>
  <c r="W77" i="2"/>
  <c r="AF77" i="2" s="1"/>
  <c r="W73" i="2"/>
  <c r="AF73" i="2" s="1"/>
  <c r="K70" i="2"/>
  <c r="L70" i="2" s="1"/>
  <c r="W70" i="2"/>
  <c r="AF70" i="2" s="1"/>
  <c r="W66" i="2"/>
  <c r="AF66" i="2" s="1"/>
  <c r="K62" i="2"/>
  <c r="L62" i="2" s="1"/>
  <c r="W62" i="2"/>
  <c r="AF62" i="2" s="1"/>
  <c r="W58" i="2"/>
  <c r="AF58" i="2" s="1"/>
  <c r="K54" i="2"/>
  <c r="L54" i="2" s="1"/>
  <c r="W54" i="2"/>
  <c r="AF54" i="2" s="1"/>
  <c r="W50" i="2"/>
  <c r="AF50" i="2" s="1"/>
  <c r="K46" i="2"/>
  <c r="L46" i="2" s="1"/>
  <c r="W46" i="2"/>
  <c r="AF46" i="2" s="1"/>
  <c r="W43" i="2"/>
  <c r="AF43" i="2" s="1"/>
  <c r="K39" i="2"/>
  <c r="L39" i="2" s="1"/>
  <c r="W39" i="2"/>
  <c r="AF39" i="2" s="1"/>
  <c r="W35" i="2"/>
  <c r="AF35" i="2" s="1"/>
  <c r="W32" i="2"/>
  <c r="AF32" i="2" s="1"/>
  <c r="K32" i="2"/>
  <c r="L32" i="2" s="1"/>
  <c r="W29" i="2"/>
  <c r="AF29" i="2" s="1"/>
  <c r="W25" i="2"/>
  <c r="AF25" i="2" s="1"/>
  <c r="K25" i="2"/>
  <c r="L25" i="2" s="1"/>
  <c r="W21" i="2"/>
  <c r="AF21" i="2" s="1"/>
  <c r="W17" i="2"/>
  <c r="AF17" i="2" s="1"/>
  <c r="K17" i="2"/>
  <c r="L17" i="2" s="1"/>
  <c r="W13" i="2"/>
  <c r="AF13" i="2" s="1"/>
  <c r="W10" i="2"/>
  <c r="AF10" i="2" s="1"/>
  <c r="K10" i="2"/>
  <c r="L10" i="2" s="1"/>
  <c r="W6" i="2"/>
  <c r="AF6" i="2" s="1"/>
  <c r="Y83" i="2"/>
  <c r="AH83" i="2" s="1"/>
  <c r="AA81" i="2"/>
  <c r="AA78" i="2"/>
  <c r="Y76" i="2"/>
  <c r="AH76" i="2" s="1"/>
  <c r="AA74" i="2"/>
  <c r="Y69" i="2"/>
  <c r="AH69" i="2" s="1"/>
  <c r="AA67" i="2"/>
  <c r="AA63" i="2"/>
  <c r="Y61" i="2"/>
  <c r="AH61" i="2" s="1"/>
  <c r="AA59" i="2"/>
  <c r="AA55" i="2"/>
  <c r="Y53" i="2"/>
  <c r="AH53" i="2" s="1"/>
  <c r="AA51" i="2"/>
  <c r="AA47" i="2"/>
  <c r="Y45" i="2"/>
  <c r="AH45" i="2" s="1"/>
  <c r="AA40" i="2"/>
  <c r="Y38" i="2"/>
  <c r="AH38" i="2" s="1"/>
  <c r="Y34" i="2"/>
  <c r="AH34" i="2" s="1"/>
  <c r="Y31" i="2"/>
  <c r="AH31" i="2" s="1"/>
  <c r="Y28" i="2"/>
  <c r="AH28" i="2" s="1"/>
  <c r="AA26" i="2"/>
  <c r="Y24" i="2"/>
  <c r="AH24" i="2" s="1"/>
  <c r="AA22" i="2"/>
  <c r="Y20" i="2"/>
  <c r="AH20" i="2" s="1"/>
  <c r="AA18" i="2"/>
  <c r="Y16" i="2"/>
  <c r="AH16" i="2" s="1"/>
  <c r="AA14" i="2"/>
  <c r="Y12" i="2"/>
  <c r="AH12" i="2" s="1"/>
  <c r="Y9" i="2"/>
  <c r="AH9" i="2" s="1"/>
  <c r="AA7" i="2"/>
  <c r="Y5" i="2"/>
  <c r="AH5" i="2" s="1"/>
  <c r="Z210" i="2"/>
  <c r="AB209" i="2"/>
  <c r="X209" i="2"/>
  <c r="AG209" i="2" s="1"/>
  <c r="Z208" i="2"/>
  <c r="AB207" i="2"/>
  <c r="X207" i="2"/>
  <c r="AG207" i="2" s="1"/>
  <c r="Z206" i="2"/>
  <c r="AB205" i="2"/>
  <c r="X205" i="2"/>
  <c r="AG205" i="2" s="1"/>
  <c r="Z204" i="2"/>
  <c r="AB203" i="2"/>
  <c r="X203" i="2"/>
  <c r="AB202" i="2"/>
  <c r="X202" i="2"/>
  <c r="AG202" i="2" s="1"/>
  <c r="AB201" i="2"/>
  <c r="X201" i="2"/>
  <c r="AG201" i="2" s="1"/>
  <c r="Z200" i="2"/>
  <c r="AB199" i="2"/>
  <c r="X199" i="2"/>
  <c r="AG199" i="2" s="1"/>
  <c r="Z198" i="2"/>
  <c r="AB197" i="2"/>
  <c r="X197" i="2"/>
  <c r="AG197" i="2" s="1"/>
  <c r="Z196" i="2"/>
  <c r="AB195" i="2"/>
  <c r="X195" i="2"/>
  <c r="AG195" i="2" s="1"/>
  <c r="Z194" i="2"/>
  <c r="AB193" i="2"/>
  <c r="X193" i="2"/>
  <c r="AG193" i="2" s="1"/>
  <c r="Z192" i="2"/>
  <c r="AB191" i="2"/>
  <c r="X191" i="2"/>
  <c r="AG191" i="2" s="1"/>
  <c r="Z190" i="2"/>
  <c r="AB189" i="2"/>
  <c r="X189" i="2"/>
  <c r="AG189" i="2" s="1"/>
  <c r="Z188" i="2"/>
  <c r="AB187" i="2"/>
  <c r="X187" i="2"/>
  <c r="AG187" i="2" s="1"/>
  <c r="Z186" i="2"/>
  <c r="Z185" i="2"/>
  <c r="Z183" i="2"/>
  <c r="AB182" i="2"/>
  <c r="X182" i="2"/>
  <c r="AG182" i="2" s="1"/>
  <c r="Z181" i="2"/>
  <c r="AB180" i="2"/>
  <c r="X180" i="2"/>
  <c r="AG180" i="2" s="1"/>
  <c r="AB179" i="2"/>
  <c r="X179" i="2"/>
  <c r="AG179" i="2" s="1"/>
  <c r="Z178" i="2"/>
  <c r="AB177" i="2"/>
  <c r="X177" i="2"/>
  <c r="AG177" i="2" s="1"/>
  <c r="Z176" i="2"/>
  <c r="AB175" i="2"/>
  <c r="X175" i="2"/>
  <c r="AG175" i="2" s="1"/>
  <c r="Z174" i="2"/>
  <c r="AB173" i="2"/>
  <c r="X173" i="2"/>
  <c r="AG173" i="2" s="1"/>
  <c r="Z172" i="2"/>
  <c r="AB171" i="2"/>
  <c r="X171" i="2"/>
  <c r="AG171" i="2" s="1"/>
  <c r="AB170" i="2"/>
  <c r="X170" i="2"/>
  <c r="AG170" i="2" s="1"/>
  <c r="Z169" i="2"/>
  <c r="AB168" i="2"/>
  <c r="X168" i="2"/>
  <c r="AG168" i="2" s="1"/>
  <c r="Z167" i="2"/>
  <c r="AB166" i="2"/>
  <c r="X166" i="2"/>
  <c r="AG166" i="2" s="1"/>
  <c r="Z165" i="2"/>
  <c r="AB164" i="2"/>
  <c r="X164" i="2"/>
  <c r="AG164" i="2" s="1"/>
  <c r="Z163" i="2"/>
  <c r="Z161" i="2"/>
  <c r="AB160" i="2"/>
  <c r="X160" i="2"/>
  <c r="AG160" i="2" s="1"/>
  <c r="Z159" i="2"/>
  <c r="AB158" i="2"/>
  <c r="X158" i="2"/>
  <c r="AG158" i="2" s="1"/>
  <c r="Z157" i="2"/>
  <c r="AB156" i="2"/>
  <c r="X156" i="2"/>
  <c r="AG156" i="2" s="1"/>
  <c r="Z155" i="2"/>
  <c r="AB154" i="2"/>
  <c r="X154" i="2"/>
  <c r="AG154" i="2" s="1"/>
  <c r="Z153" i="2"/>
  <c r="AB152" i="2"/>
  <c r="X152" i="2"/>
  <c r="AG152" i="2" s="1"/>
  <c r="Z151" i="2"/>
  <c r="AB150" i="2"/>
  <c r="X150" i="2"/>
  <c r="AG150" i="2" s="1"/>
  <c r="Z149" i="2"/>
  <c r="AB148" i="2"/>
  <c r="X148" i="2"/>
  <c r="AG148" i="2" s="1"/>
  <c r="Z147" i="2"/>
  <c r="AB146" i="2"/>
  <c r="X146" i="2"/>
  <c r="AG146" i="2" s="1"/>
  <c r="Z145" i="2"/>
  <c r="AB144" i="2"/>
  <c r="X144" i="2"/>
  <c r="AG144" i="2" s="1"/>
  <c r="Z143" i="2"/>
  <c r="AB142" i="2"/>
  <c r="X142" i="2"/>
  <c r="AG142" i="2" s="1"/>
  <c r="Z141" i="2"/>
  <c r="AB140" i="2"/>
  <c r="X140" i="2"/>
  <c r="AG140" i="2" s="1"/>
  <c r="Z139" i="2"/>
  <c r="AB138" i="2"/>
  <c r="X138" i="2"/>
  <c r="AG138" i="2" s="1"/>
  <c r="Z137" i="2"/>
  <c r="AB136" i="2"/>
  <c r="X136" i="2"/>
  <c r="AG136" i="2" s="1"/>
  <c r="Z135" i="2"/>
  <c r="AB134" i="2"/>
  <c r="X134" i="2"/>
  <c r="AG134" i="2" s="1"/>
  <c r="AB133" i="2"/>
  <c r="X133" i="2"/>
  <c r="AG133" i="2" s="1"/>
  <c r="Z132" i="2"/>
  <c r="AB131" i="2"/>
  <c r="X131" i="2"/>
  <c r="AG131" i="2" s="1"/>
  <c r="Z130" i="2"/>
  <c r="AB129" i="2"/>
  <c r="X129" i="2"/>
  <c r="AG129" i="2" s="1"/>
  <c r="Z128" i="2"/>
  <c r="AB127" i="2"/>
  <c r="X127" i="2"/>
  <c r="AG127" i="2" s="1"/>
  <c r="Z126" i="2"/>
  <c r="AB125" i="2"/>
  <c r="X125" i="2"/>
  <c r="AG125" i="2" s="1"/>
  <c r="Z124" i="2"/>
  <c r="AB123" i="2"/>
  <c r="X123" i="2"/>
  <c r="AG123" i="2" s="1"/>
  <c r="AB122" i="2"/>
  <c r="X122" i="2"/>
  <c r="AG122" i="2" s="1"/>
  <c r="Z121" i="2"/>
  <c r="AB120" i="2"/>
  <c r="X120" i="2"/>
  <c r="AG120" i="2" s="1"/>
  <c r="Z119" i="2"/>
  <c r="AB118" i="2"/>
  <c r="X118" i="2"/>
  <c r="AG118" i="2" s="1"/>
  <c r="Z117" i="2"/>
  <c r="AB116" i="2"/>
  <c r="X116" i="2"/>
  <c r="AG116" i="2" s="1"/>
  <c r="AB114" i="2"/>
  <c r="X114" i="2"/>
  <c r="AG114" i="2" s="1"/>
  <c r="Z113" i="2"/>
  <c r="AB112" i="2"/>
  <c r="X112" i="2"/>
  <c r="AG112" i="2" s="1"/>
  <c r="Z111" i="2"/>
  <c r="AB110" i="2"/>
  <c r="X110" i="2"/>
  <c r="AG110" i="2" s="1"/>
  <c r="Z109" i="2"/>
  <c r="AB108" i="2"/>
  <c r="X108" i="2"/>
  <c r="AG108" i="2" s="1"/>
  <c r="Z107" i="2"/>
  <c r="AB106" i="2"/>
  <c r="X106" i="2"/>
  <c r="AG106" i="2" s="1"/>
  <c r="AB104" i="2"/>
  <c r="X104" i="2"/>
  <c r="AG104" i="2" s="1"/>
  <c r="Z103" i="2"/>
  <c r="AB102" i="2"/>
  <c r="X102" i="2"/>
  <c r="AG102" i="2" s="1"/>
  <c r="Z101" i="2"/>
  <c r="AB100" i="2"/>
  <c r="X100" i="2"/>
  <c r="AG100" i="2" s="1"/>
  <c r="Z99" i="2"/>
  <c r="AB98" i="2"/>
  <c r="X98" i="2"/>
  <c r="AG98" i="2" s="1"/>
  <c r="Z97" i="2"/>
  <c r="AB96" i="2"/>
  <c r="X96" i="2"/>
  <c r="AG96" i="2" s="1"/>
  <c r="Z95" i="2"/>
  <c r="AB94" i="2"/>
  <c r="X94" i="2"/>
  <c r="AG94" i="2" s="1"/>
  <c r="Z93" i="2"/>
  <c r="AB92" i="2"/>
  <c r="X92" i="2"/>
  <c r="AG92" i="2" s="1"/>
  <c r="Z91" i="2"/>
  <c r="AB90" i="2"/>
  <c r="X90" i="2"/>
  <c r="AG90" i="2" s="1"/>
  <c r="Z89" i="2"/>
  <c r="AB88" i="2"/>
  <c r="X88" i="2"/>
  <c r="AG88" i="2" s="1"/>
  <c r="AA88" i="2"/>
  <c r="Z87" i="2"/>
  <c r="AB86" i="2"/>
  <c r="X86" i="2"/>
  <c r="AG86" i="2" s="1"/>
  <c r="W86" i="2"/>
  <c r="AF86" i="2" s="1"/>
  <c r="Z85" i="2"/>
  <c r="X82" i="2"/>
  <c r="AG82" i="2" s="1"/>
  <c r="X79" i="2"/>
  <c r="AG79" i="2" s="1"/>
  <c r="X75" i="2"/>
  <c r="AG75" i="2" s="1"/>
  <c r="X71" i="2"/>
  <c r="AG71" i="2" s="1"/>
  <c r="X68" i="2"/>
  <c r="AG68" i="2" s="1"/>
  <c r="AB66" i="2"/>
  <c r="X64" i="2"/>
  <c r="AG64" i="2" s="1"/>
  <c r="AB62" i="2"/>
  <c r="X60" i="2"/>
  <c r="AG60" i="2" s="1"/>
  <c r="AB58" i="2"/>
  <c r="X56" i="2"/>
  <c r="AG56" i="2" s="1"/>
  <c r="AB54" i="2"/>
  <c r="X52" i="2"/>
  <c r="AG52" i="2" s="1"/>
  <c r="AB50" i="2"/>
  <c r="X48" i="2"/>
  <c r="AG48" i="2" s="1"/>
  <c r="AB46" i="2"/>
  <c r="X44" i="2"/>
  <c r="AG44" i="2" s="1"/>
  <c r="AB43" i="2"/>
  <c r="X41" i="2"/>
  <c r="AG41" i="2" s="1"/>
  <c r="AB39" i="2"/>
  <c r="X37" i="2"/>
  <c r="AG37" i="2" s="1"/>
  <c r="AB35" i="2"/>
  <c r="X33" i="2"/>
  <c r="AG33" i="2" s="1"/>
  <c r="AB32" i="2"/>
  <c r="X30" i="2"/>
  <c r="AG30" i="2" s="1"/>
  <c r="AB29" i="2"/>
  <c r="X27" i="2"/>
  <c r="AG27" i="2" s="1"/>
  <c r="AB25" i="2"/>
  <c r="X23" i="2"/>
  <c r="AG23" i="2" s="1"/>
  <c r="AB21" i="2"/>
  <c r="X19" i="2"/>
  <c r="AG19" i="2" s="1"/>
  <c r="AB17" i="2"/>
  <c r="X15" i="2"/>
  <c r="AG15" i="2" s="1"/>
  <c r="AB13" i="2"/>
  <c r="X11" i="2"/>
  <c r="AG11" i="2" s="1"/>
  <c r="AB10" i="2"/>
  <c r="X8" i="2"/>
  <c r="AG8" i="2" s="1"/>
  <c r="AB6" i="2"/>
  <c r="X4" i="2"/>
  <c r="AG4" i="2" s="1"/>
  <c r="K209" i="2"/>
  <c r="L209" i="2" s="1"/>
  <c r="K205" i="2"/>
  <c r="L205" i="2" s="1"/>
  <c r="K202" i="2"/>
  <c r="L202" i="2" s="1"/>
  <c r="K199" i="2"/>
  <c r="L199" i="2" s="1"/>
  <c r="K195" i="2"/>
  <c r="L195" i="2" s="1"/>
  <c r="K191" i="2"/>
  <c r="L191" i="2" s="1"/>
  <c r="K187" i="2"/>
  <c r="L187" i="2" s="1"/>
  <c r="K184" i="2"/>
  <c r="L184" i="2" s="1"/>
  <c r="K180" i="2"/>
  <c r="L180" i="2" s="1"/>
  <c r="K177" i="2"/>
  <c r="L177" i="2" s="1"/>
  <c r="K173" i="2"/>
  <c r="L173" i="2" s="1"/>
  <c r="K170" i="2"/>
  <c r="L170" i="2" s="1"/>
  <c r="K166" i="2"/>
  <c r="L166" i="2" s="1"/>
  <c r="K161" i="2"/>
  <c r="L161" i="2" s="1"/>
  <c r="K155" i="2"/>
  <c r="L155" i="2" s="1"/>
  <c r="K149" i="2"/>
  <c r="L149" i="2" s="1"/>
  <c r="K112" i="2"/>
  <c r="L112" i="2" s="1"/>
  <c r="K104" i="2"/>
  <c r="L104" i="2" s="1"/>
  <c r="K96" i="2"/>
  <c r="L96" i="2" s="1"/>
  <c r="K88" i="2"/>
  <c r="L88" i="2" s="1"/>
  <c r="K80" i="2"/>
  <c r="L80" i="2" s="1"/>
  <c r="K73" i="2"/>
  <c r="L73" i="2" s="1"/>
  <c r="K66" i="2"/>
  <c r="L66" i="2" s="1"/>
  <c r="K58" i="2"/>
  <c r="L58" i="2" s="1"/>
  <c r="K50" i="2"/>
  <c r="L50" i="2" s="1"/>
  <c r="K43" i="2"/>
  <c r="L43" i="2" s="1"/>
  <c r="K35" i="2"/>
  <c r="L35" i="2" s="1"/>
  <c r="K29" i="2"/>
  <c r="L29" i="2" s="1"/>
  <c r="K21" i="2"/>
  <c r="L21" i="2" s="1"/>
  <c r="K13" i="2"/>
  <c r="L13" i="2" s="1"/>
  <c r="K6" i="2"/>
  <c r="L6" i="2" s="1"/>
  <c r="Y209" i="2"/>
  <c r="AH209" i="2" s="1"/>
  <c r="Y202" i="2"/>
  <c r="AH202" i="2" s="1"/>
  <c r="Y195" i="2"/>
  <c r="AH195" i="2" s="1"/>
  <c r="Y187" i="2"/>
  <c r="AH187" i="2" s="1"/>
  <c r="Y180" i="2"/>
  <c r="AH180" i="2" s="1"/>
  <c r="Y173" i="2"/>
  <c r="AH173" i="2" s="1"/>
  <c r="Y166" i="2"/>
  <c r="AH166" i="2" s="1"/>
  <c r="Y158" i="2"/>
  <c r="AH158" i="2" s="1"/>
  <c r="AA152" i="2"/>
  <c r="W136" i="2"/>
  <c r="AF136" i="2" s="1"/>
  <c r="AA131" i="2"/>
  <c r="W122" i="2"/>
  <c r="AF122" i="2" s="1"/>
  <c r="AA116" i="2"/>
  <c r="W106" i="2"/>
  <c r="AF106" i="2" s="1"/>
  <c r="AA100" i="2"/>
  <c r="W90" i="2"/>
  <c r="AF90" i="2" s="1"/>
  <c r="Y4" i="2"/>
  <c r="AH4" i="2" s="1"/>
  <c r="W72" i="2"/>
  <c r="AF72" i="2" s="1"/>
  <c r="K72" i="2"/>
  <c r="L72" i="2" s="1"/>
  <c r="W65" i="2"/>
  <c r="AF65" i="2" s="1"/>
  <c r="K65" i="2"/>
  <c r="L65" i="2" s="1"/>
  <c r="W57" i="2"/>
  <c r="AF57" i="2" s="1"/>
  <c r="K57" i="2"/>
  <c r="L57" i="2" s="1"/>
  <c r="W49" i="2"/>
  <c r="AF49" i="2" s="1"/>
  <c r="K49" i="2"/>
  <c r="L49" i="2" s="1"/>
  <c r="W42" i="2"/>
  <c r="AF42" i="2" s="1"/>
  <c r="K42" i="2"/>
  <c r="L42" i="2" s="1"/>
  <c r="W34" i="2"/>
  <c r="AF34" i="2" s="1"/>
  <c r="K34" i="2"/>
  <c r="L34" i="2" s="1"/>
  <c r="W28" i="2"/>
  <c r="AF28" i="2" s="1"/>
  <c r="K28" i="2"/>
  <c r="L28" i="2" s="1"/>
  <c r="W20" i="2"/>
  <c r="AF20" i="2" s="1"/>
  <c r="K20" i="2"/>
  <c r="L20" i="2" s="1"/>
  <c r="W12" i="2"/>
  <c r="AF12" i="2" s="1"/>
  <c r="K12" i="2"/>
  <c r="L12" i="2" s="1"/>
  <c r="W5" i="2"/>
  <c r="AF5" i="2" s="1"/>
  <c r="K5" i="2"/>
  <c r="L5" i="2" s="1"/>
  <c r="AA80" i="2"/>
  <c r="AA73" i="2"/>
  <c r="Z84" i="2"/>
  <c r="Z80" i="2"/>
  <c r="Z77" i="2"/>
  <c r="Z73" i="2"/>
  <c r="Z70" i="2"/>
  <c r="Z66" i="2"/>
  <c r="Z62" i="2"/>
  <c r="Z58" i="2"/>
  <c r="Z54" i="2"/>
  <c r="Z50" i="2"/>
  <c r="Z46" i="2"/>
  <c r="Z43" i="2"/>
  <c r="Z39" i="2"/>
  <c r="Z35" i="2"/>
  <c r="Z32" i="2"/>
  <c r="AI32" i="2" s="1"/>
  <c r="Z29" i="2"/>
  <c r="Z25" i="2"/>
  <c r="Z21" i="2"/>
  <c r="Z17" i="2"/>
  <c r="Z13" i="2"/>
  <c r="Z10" i="2"/>
  <c r="Z6" i="2"/>
  <c r="K79" i="2"/>
  <c r="L79" i="2" s="1"/>
  <c r="K71" i="2"/>
  <c r="L71" i="2" s="1"/>
  <c r="K64" i="2"/>
  <c r="L64" i="2" s="1"/>
  <c r="K56" i="2"/>
  <c r="L56" i="2" s="1"/>
  <c r="K48" i="2"/>
  <c r="L48" i="2" s="1"/>
  <c r="K41" i="2"/>
  <c r="L41" i="2" s="1"/>
  <c r="K33" i="2"/>
  <c r="L33" i="2" s="1"/>
  <c r="K27" i="2"/>
  <c r="L27" i="2" s="1"/>
  <c r="K19" i="2"/>
  <c r="L19" i="2" s="1"/>
  <c r="K11" i="2"/>
  <c r="W68" i="2"/>
  <c r="AF68" i="2" s="1"/>
  <c r="Y57" i="2"/>
  <c r="AH57" i="2" s="1"/>
  <c r="W37" i="2"/>
  <c r="AF37" i="2" s="1"/>
  <c r="P98" i="1"/>
  <c r="W79" i="2"/>
  <c r="AF79" i="2" s="1"/>
  <c r="W71" i="2"/>
  <c r="AF71" i="2" s="1"/>
  <c r="W64" i="2"/>
  <c r="AF64" i="2" s="1"/>
  <c r="W56" i="2"/>
  <c r="AF56" i="2" s="1"/>
  <c r="W48" i="2"/>
  <c r="AF48" i="2" s="1"/>
  <c r="W41" i="2"/>
  <c r="AF41" i="2" s="1"/>
  <c r="W33" i="2"/>
  <c r="AF33" i="2" s="1"/>
  <c r="W30" i="2"/>
  <c r="AF30" i="2" s="1"/>
  <c r="W27" i="2"/>
  <c r="AF27" i="2" s="1"/>
  <c r="W23" i="2"/>
  <c r="AF23" i="2" s="1"/>
  <c r="W19" i="2"/>
  <c r="AF19" i="2" s="1"/>
  <c r="W15" i="2"/>
  <c r="AF15" i="2" s="1"/>
  <c r="W11" i="2"/>
  <c r="AF11" i="2" s="1"/>
  <c r="W8" i="2"/>
  <c r="AF8" i="2" s="1"/>
  <c r="W4" i="2"/>
  <c r="AF4" i="2" s="1"/>
  <c r="AA83" i="2"/>
  <c r="Y81" i="2"/>
  <c r="AH81" i="2" s="1"/>
  <c r="Y78" i="2"/>
  <c r="AH78" i="2" s="1"/>
  <c r="AA76" i="2"/>
  <c r="Y74" i="2"/>
  <c r="AH74" i="2" s="1"/>
  <c r="AA72" i="2"/>
  <c r="AA69" i="2"/>
  <c r="Y67" i="2"/>
  <c r="AH67" i="2" s="1"/>
  <c r="AA65" i="2"/>
  <c r="Y63" i="2"/>
  <c r="AH63" i="2" s="1"/>
  <c r="AA61" i="2"/>
  <c r="Y59" i="2"/>
  <c r="AH59" i="2" s="1"/>
  <c r="AA57" i="2"/>
  <c r="Y55" i="2"/>
  <c r="AH55" i="2" s="1"/>
  <c r="AA53" i="2"/>
  <c r="Y51" i="2"/>
  <c r="AH51" i="2" s="1"/>
  <c r="AA49" i="2"/>
  <c r="Y47" i="2"/>
  <c r="AH47" i="2" s="1"/>
  <c r="AA45" i="2"/>
  <c r="AA42" i="2"/>
  <c r="Y40" i="2"/>
  <c r="AH40" i="2" s="1"/>
  <c r="AA38" i="2"/>
  <c r="AA34" i="2"/>
  <c r="AA31" i="2"/>
  <c r="AA28" i="2"/>
  <c r="Y26" i="2"/>
  <c r="AH26" i="2" s="1"/>
  <c r="Y22" i="2"/>
  <c r="AH22" i="2" s="1"/>
  <c r="AA20" i="2"/>
  <c r="Y18" i="2"/>
  <c r="AH18" i="2" s="1"/>
  <c r="AA16" i="2"/>
  <c r="Y14" i="2"/>
  <c r="AH14" i="2" s="1"/>
  <c r="AA12" i="2"/>
  <c r="Y7" i="2"/>
  <c r="AH7" i="2" s="1"/>
  <c r="AA5" i="2"/>
  <c r="X210" i="2"/>
  <c r="AG210" i="2" s="1"/>
  <c r="X208" i="2"/>
  <c r="AG208" i="2" s="1"/>
  <c r="X206" i="2"/>
  <c r="AG206" i="2" s="1"/>
  <c r="X204" i="2"/>
  <c r="AG204" i="2" s="1"/>
  <c r="X200" i="2"/>
  <c r="AG200" i="2" s="1"/>
  <c r="X198" i="2"/>
  <c r="AG198" i="2" s="1"/>
  <c r="X196" i="2"/>
  <c r="AG196" i="2" s="1"/>
  <c r="X194" i="2"/>
  <c r="AG194" i="2" s="1"/>
  <c r="X192" i="2"/>
  <c r="AG192" i="2" s="1"/>
  <c r="X190" i="2"/>
  <c r="AG190" i="2" s="1"/>
  <c r="X188" i="2"/>
  <c r="AG188" i="2" s="1"/>
  <c r="X186" i="2"/>
  <c r="AG186" i="2" s="1"/>
  <c r="X185" i="2"/>
  <c r="AG185" i="2" s="1"/>
  <c r="X183" i="2"/>
  <c r="AG183" i="2" s="1"/>
  <c r="X181" i="2"/>
  <c r="AG181" i="2" s="1"/>
  <c r="X178" i="2"/>
  <c r="AG178" i="2" s="1"/>
  <c r="X176" i="2"/>
  <c r="AG176" i="2" s="1"/>
  <c r="X174" i="2"/>
  <c r="AG174" i="2" s="1"/>
  <c r="X172" i="2"/>
  <c r="AG172" i="2" s="1"/>
  <c r="X169" i="2"/>
  <c r="AG169" i="2" s="1"/>
  <c r="X167" i="2"/>
  <c r="AG167" i="2" s="1"/>
  <c r="X165" i="2"/>
  <c r="AG165" i="2" s="1"/>
  <c r="X163" i="2"/>
  <c r="AG163" i="2" s="1"/>
  <c r="X161" i="2"/>
  <c r="AG161" i="2" s="1"/>
  <c r="X159" i="2"/>
  <c r="AG159" i="2" s="1"/>
  <c r="X157" i="2"/>
  <c r="AG157" i="2" s="1"/>
  <c r="X155" i="2"/>
  <c r="AG155" i="2" s="1"/>
  <c r="X153" i="2"/>
  <c r="AG153" i="2" s="1"/>
  <c r="X151" i="2"/>
  <c r="AG151" i="2" s="1"/>
  <c r="X147" i="2"/>
  <c r="AG147" i="2" s="1"/>
  <c r="X145" i="2"/>
  <c r="AG145" i="2" s="1"/>
  <c r="X143" i="2"/>
  <c r="AG143" i="2" s="1"/>
  <c r="X141" i="2"/>
  <c r="AG141" i="2" s="1"/>
  <c r="X139" i="2"/>
  <c r="AG139" i="2" s="1"/>
  <c r="X137" i="2"/>
  <c r="AG137" i="2" s="1"/>
  <c r="X135" i="2"/>
  <c r="AG135" i="2" s="1"/>
  <c r="X132" i="2"/>
  <c r="AG132" i="2" s="1"/>
  <c r="X130" i="2"/>
  <c r="AG130" i="2" s="1"/>
  <c r="X128" i="2"/>
  <c r="AG128" i="2" s="1"/>
  <c r="X126" i="2"/>
  <c r="AG126" i="2" s="1"/>
  <c r="X124" i="2"/>
  <c r="AG124" i="2" s="1"/>
  <c r="X121" i="2"/>
  <c r="AG121" i="2" s="1"/>
  <c r="X119" i="2"/>
  <c r="AG119" i="2" s="1"/>
  <c r="X117" i="2"/>
  <c r="AG117" i="2" s="1"/>
  <c r="X113" i="2"/>
  <c r="AG113" i="2" s="1"/>
  <c r="X111" i="2"/>
  <c r="AG111" i="2" s="1"/>
  <c r="X109" i="2"/>
  <c r="AG109" i="2" s="1"/>
  <c r="X107" i="2"/>
  <c r="AG107" i="2" s="1"/>
  <c r="X103" i="2"/>
  <c r="AG103" i="2" s="1"/>
  <c r="X101" i="2"/>
  <c r="AG101" i="2" s="1"/>
  <c r="X99" i="2"/>
  <c r="AG99" i="2" s="1"/>
  <c r="X97" i="2"/>
  <c r="AG97" i="2" s="1"/>
  <c r="X95" i="2"/>
  <c r="AG95" i="2" s="1"/>
  <c r="X93" i="2"/>
  <c r="AG93" i="2" s="1"/>
  <c r="X91" i="2"/>
  <c r="AG91" i="2" s="1"/>
  <c r="X89" i="2"/>
  <c r="AG89" i="2" s="1"/>
  <c r="X87" i="2"/>
  <c r="AG87" i="2" s="1"/>
  <c r="X85" i="2"/>
  <c r="AG85" i="2" s="1"/>
  <c r="AB82" i="2"/>
  <c r="AB79" i="2"/>
  <c r="AB75" i="2"/>
  <c r="AB71" i="2"/>
  <c r="AB68" i="2"/>
  <c r="X66" i="2"/>
  <c r="AG66" i="2" s="1"/>
  <c r="AB64" i="2"/>
  <c r="X62" i="2"/>
  <c r="AG62" i="2" s="1"/>
  <c r="AB60" i="2"/>
  <c r="X58" i="2"/>
  <c r="AG58" i="2" s="1"/>
  <c r="AB56" i="2"/>
  <c r="X54" i="2"/>
  <c r="AG54" i="2" s="1"/>
  <c r="AB52" i="2"/>
  <c r="X50" i="2"/>
  <c r="AG50" i="2" s="1"/>
  <c r="AB48" i="2"/>
  <c r="X46" i="2"/>
  <c r="AG46" i="2" s="1"/>
  <c r="AB44" i="2"/>
  <c r="X43" i="2"/>
  <c r="AG43" i="2" s="1"/>
  <c r="AB41" i="2"/>
  <c r="X39" i="2"/>
  <c r="AG39" i="2" s="1"/>
  <c r="AB37" i="2"/>
  <c r="X35" i="2"/>
  <c r="AG35" i="2" s="1"/>
  <c r="AB33" i="2"/>
  <c r="X32" i="2"/>
  <c r="AG32" i="2" s="1"/>
  <c r="AB30" i="2"/>
  <c r="X29" i="2"/>
  <c r="AG29" i="2" s="1"/>
  <c r="AB27" i="2"/>
  <c r="X25" i="2"/>
  <c r="AG25" i="2" s="1"/>
  <c r="AB23" i="2"/>
  <c r="X21" i="2"/>
  <c r="AG21" i="2" s="1"/>
  <c r="AB19" i="2"/>
  <c r="X17" i="2"/>
  <c r="AG17" i="2" s="1"/>
  <c r="AB15" i="2"/>
  <c r="X13" i="2"/>
  <c r="AG13" i="2" s="1"/>
  <c r="AB11" i="2"/>
  <c r="X10" i="2"/>
  <c r="AG10" i="2" s="1"/>
  <c r="AB8" i="2"/>
  <c r="X6" i="2"/>
  <c r="AG6" i="2" s="1"/>
  <c r="AB4" i="2"/>
  <c r="K207" i="2"/>
  <c r="L207" i="2" s="1"/>
  <c r="K203" i="2"/>
  <c r="L203" i="2" s="1"/>
  <c r="K201" i="2"/>
  <c r="L201" i="2" s="1"/>
  <c r="K197" i="2"/>
  <c r="L197" i="2" s="1"/>
  <c r="K193" i="2"/>
  <c r="L193" i="2" s="1"/>
  <c r="K189" i="2"/>
  <c r="L189" i="2" s="1"/>
  <c r="K182" i="2"/>
  <c r="L182" i="2" s="1"/>
  <c r="K179" i="2"/>
  <c r="L179" i="2" s="1"/>
  <c r="K175" i="2"/>
  <c r="L175" i="2" s="1"/>
  <c r="K171" i="2"/>
  <c r="L171" i="2" s="1"/>
  <c r="K168" i="2"/>
  <c r="L168" i="2" s="1"/>
  <c r="K144" i="2"/>
  <c r="L144" i="2" s="1"/>
  <c r="K125" i="2"/>
  <c r="L125" i="2" s="1"/>
  <c r="AA210" i="2"/>
  <c r="W208" i="2"/>
  <c r="AF208" i="2" s="1"/>
  <c r="Y205" i="2"/>
  <c r="AH205" i="2" s="1"/>
  <c r="Y199" i="2"/>
  <c r="AH199" i="2" s="1"/>
  <c r="AA196" i="2"/>
  <c r="W194" i="2"/>
  <c r="AF194" i="2" s="1"/>
  <c r="Y191" i="2"/>
  <c r="AH191" i="2" s="1"/>
  <c r="AA188" i="2"/>
  <c r="W186" i="2"/>
  <c r="AF186" i="2" s="1"/>
  <c r="AA181" i="2"/>
  <c r="Y177" i="2"/>
  <c r="AH177" i="2" s="1"/>
  <c r="AA174" i="2"/>
  <c r="W172" i="2"/>
  <c r="AF172" i="2" s="1"/>
  <c r="Y170" i="2"/>
  <c r="AH170" i="2" s="1"/>
  <c r="AA167" i="2"/>
  <c r="W165" i="2"/>
  <c r="AF165" i="2" s="1"/>
  <c r="AA159" i="2"/>
  <c r="W157" i="2"/>
  <c r="AF157" i="2" s="1"/>
  <c r="Y154" i="2"/>
  <c r="AH154" i="2" s="1"/>
  <c r="W151" i="2"/>
  <c r="AF151" i="2" s="1"/>
  <c r="Y147" i="2"/>
  <c r="AH147" i="2" s="1"/>
  <c r="AA138" i="2"/>
  <c r="W129" i="2"/>
  <c r="AF129" i="2" s="1"/>
  <c r="AA123" i="2"/>
  <c r="Y119" i="2"/>
  <c r="AH119" i="2" s="1"/>
  <c r="W114" i="2"/>
  <c r="AF114" i="2" s="1"/>
  <c r="AA108" i="2"/>
  <c r="Y103" i="2"/>
  <c r="AH103" i="2" s="1"/>
  <c r="W98" i="2"/>
  <c r="AF98" i="2" s="1"/>
  <c r="AA92" i="2"/>
  <c r="W14" i="2"/>
  <c r="AF14" i="2" s="1"/>
  <c r="Y153" i="2"/>
  <c r="AH153" i="2" s="1"/>
  <c r="K152" i="2"/>
  <c r="L152" i="2" s="1"/>
  <c r="W152" i="2"/>
  <c r="AF152" i="2" s="1"/>
  <c r="AA150" i="2"/>
  <c r="K150" i="2"/>
  <c r="L150" i="2" s="1"/>
  <c r="Y149" i="2"/>
  <c r="AH149" i="2" s="1"/>
  <c r="W148" i="2"/>
  <c r="AF148" i="2" s="1"/>
  <c r="K148" i="2"/>
  <c r="L148" i="2" s="1"/>
  <c r="AA146" i="2"/>
  <c r="K146" i="2"/>
  <c r="L146" i="2" s="1"/>
  <c r="Y145" i="2"/>
  <c r="AH145" i="2" s="1"/>
  <c r="W144" i="2"/>
  <c r="AF144" i="2" s="1"/>
  <c r="K136" i="2"/>
  <c r="L136" i="2" s="1"/>
  <c r="K134" i="2"/>
  <c r="L134" i="2" s="1"/>
  <c r="K133" i="2"/>
  <c r="L133" i="2" s="1"/>
  <c r="K131" i="2"/>
  <c r="L131" i="2" s="1"/>
  <c r="K122" i="2"/>
  <c r="L122" i="2" s="1"/>
  <c r="K120" i="2"/>
  <c r="L120" i="2" s="1"/>
  <c r="K118" i="2"/>
  <c r="L118" i="2" s="1"/>
  <c r="K116" i="2"/>
  <c r="L116" i="2" s="1"/>
  <c r="K108" i="2"/>
  <c r="L108" i="2" s="1"/>
  <c r="K100" i="2"/>
  <c r="L100" i="2" s="1"/>
  <c r="K92" i="2"/>
  <c r="L92" i="2" s="1"/>
  <c r="K160" i="2"/>
  <c r="L160" i="2" s="1"/>
  <c r="K158" i="2"/>
  <c r="L158" i="2" s="1"/>
  <c r="K147" i="2"/>
  <c r="L147" i="2" s="1"/>
  <c r="K138" i="2"/>
  <c r="L138" i="2" s="1"/>
  <c r="W154" i="2"/>
  <c r="AF154" i="2" s="1"/>
  <c r="W131" i="2"/>
  <c r="AF131" i="2" s="1"/>
  <c r="W116" i="2"/>
  <c r="AF116" i="2" s="1"/>
  <c r="W108" i="2"/>
  <c r="AF108" i="2" s="1"/>
  <c r="W100" i="2"/>
  <c r="AF100" i="2" s="1"/>
  <c r="W92" i="2"/>
  <c r="AF92" i="2" s="1"/>
  <c r="W153" i="2"/>
  <c r="AF153" i="2" s="1"/>
  <c r="AA151" i="2"/>
  <c r="Y150" i="2"/>
  <c r="AH150" i="2" s="1"/>
  <c r="W149" i="2"/>
  <c r="AF149" i="2" s="1"/>
  <c r="AA147" i="2"/>
  <c r="Y146" i="2"/>
  <c r="AH146" i="2" s="1"/>
  <c r="K145" i="2"/>
  <c r="L145" i="2" s="1"/>
  <c r="W145" i="2"/>
  <c r="AF145" i="2" s="1"/>
  <c r="AA143" i="2"/>
  <c r="W143" i="2"/>
  <c r="AF143" i="2" s="1"/>
  <c r="K143" i="2"/>
  <c r="L143" i="2" s="1"/>
  <c r="Y142" i="2"/>
  <c r="AH142" i="2" s="1"/>
  <c r="AA141" i="2"/>
  <c r="W141" i="2"/>
  <c r="AF141" i="2" s="1"/>
  <c r="K141" i="2"/>
  <c r="L141" i="2" s="1"/>
  <c r="Y140" i="2"/>
  <c r="AH140" i="2" s="1"/>
  <c r="AA139" i="2"/>
  <c r="K139" i="2"/>
  <c r="L139" i="2" s="1"/>
  <c r="W139" i="2"/>
  <c r="AF139" i="2" s="1"/>
  <c r="Y138" i="2"/>
  <c r="AH138" i="2" s="1"/>
  <c r="AA137" i="2"/>
  <c r="W137" i="2"/>
  <c r="AF137" i="2" s="1"/>
  <c r="Y136" i="2"/>
  <c r="AH136" i="2" s="1"/>
  <c r="AA135" i="2"/>
  <c r="W135" i="2"/>
  <c r="AF135" i="2" s="1"/>
  <c r="Y134" i="2"/>
  <c r="AH134" i="2" s="1"/>
  <c r="Y133" i="2"/>
  <c r="AH133" i="2" s="1"/>
  <c r="AA132" i="2"/>
  <c r="W132" i="2"/>
  <c r="AF132" i="2" s="1"/>
  <c r="Y131" i="2"/>
  <c r="AH131" i="2" s="1"/>
  <c r="AA130" i="2"/>
  <c r="W130" i="2"/>
  <c r="AF130" i="2" s="1"/>
  <c r="K130" i="2"/>
  <c r="L130" i="2" s="1"/>
  <c r="Y129" i="2"/>
  <c r="AH129" i="2" s="1"/>
  <c r="AA128" i="2"/>
  <c r="K128" i="2"/>
  <c r="L128" i="2" s="1"/>
  <c r="W128" i="2"/>
  <c r="AF128" i="2" s="1"/>
  <c r="Y127" i="2"/>
  <c r="AH127" i="2" s="1"/>
  <c r="AA126" i="2"/>
  <c r="W126" i="2"/>
  <c r="AF126" i="2" s="1"/>
  <c r="K126" i="2"/>
  <c r="L126" i="2" s="1"/>
  <c r="Y125" i="2"/>
  <c r="AH125" i="2" s="1"/>
  <c r="AA124" i="2"/>
  <c r="W124" i="2"/>
  <c r="AF124" i="2" s="1"/>
  <c r="K124" i="2"/>
  <c r="L124" i="2" s="1"/>
  <c r="Y123" i="2"/>
  <c r="AH123" i="2" s="1"/>
  <c r="Y122" i="2"/>
  <c r="AH122" i="2" s="1"/>
  <c r="AA121" i="2"/>
  <c r="W121" i="2"/>
  <c r="AF121" i="2" s="1"/>
  <c r="Y120" i="2"/>
  <c r="AH120" i="2" s="1"/>
  <c r="AA119" i="2"/>
  <c r="W119" i="2"/>
  <c r="AF119" i="2" s="1"/>
  <c r="Y118" i="2"/>
  <c r="AH118" i="2" s="1"/>
  <c r="AA117" i="2"/>
  <c r="W117" i="2"/>
  <c r="AF117" i="2" s="1"/>
  <c r="Y116" i="2"/>
  <c r="AH116" i="2" s="1"/>
  <c r="K115" i="2"/>
  <c r="L115" i="2" s="1"/>
  <c r="Y114" i="2"/>
  <c r="AH114" i="2" s="1"/>
  <c r="AA113" i="2"/>
  <c r="W113" i="2"/>
  <c r="AF113" i="2" s="1"/>
  <c r="K113" i="2"/>
  <c r="L113" i="2" s="1"/>
  <c r="Y112" i="2"/>
  <c r="AH112" i="2" s="1"/>
  <c r="AA111" i="2"/>
  <c r="W111" i="2"/>
  <c r="AF111" i="2" s="1"/>
  <c r="Y110" i="2"/>
  <c r="AH110" i="2" s="1"/>
  <c r="AA109" i="2"/>
  <c r="W109" i="2"/>
  <c r="AF109" i="2" s="1"/>
  <c r="Y108" i="2"/>
  <c r="AH108" i="2" s="1"/>
  <c r="AA107" i="2"/>
  <c r="W107" i="2"/>
  <c r="AF107" i="2" s="1"/>
  <c r="Y106" i="2"/>
  <c r="AH106" i="2" s="1"/>
  <c r="Y104" i="2"/>
  <c r="AH104" i="2" s="1"/>
  <c r="AA103" i="2"/>
  <c r="W103" i="2"/>
  <c r="AF103" i="2" s="1"/>
  <c r="Y102" i="2"/>
  <c r="AH102" i="2" s="1"/>
  <c r="AA101" i="2"/>
  <c r="W101" i="2"/>
  <c r="AF101" i="2" s="1"/>
  <c r="Y100" i="2"/>
  <c r="AH100" i="2" s="1"/>
  <c r="AA99" i="2"/>
  <c r="W99" i="2"/>
  <c r="AF99" i="2" s="1"/>
  <c r="Y98" i="2"/>
  <c r="AH98" i="2" s="1"/>
  <c r="AA97" i="2"/>
  <c r="W97" i="2"/>
  <c r="AF97" i="2" s="1"/>
  <c r="K97" i="2"/>
  <c r="L97" i="2" s="1"/>
  <c r="Y96" i="2"/>
  <c r="AH96" i="2" s="1"/>
  <c r="AA95" i="2"/>
  <c r="W95" i="2"/>
  <c r="AF95" i="2" s="1"/>
  <c r="Y94" i="2"/>
  <c r="AH94" i="2" s="1"/>
  <c r="AA93" i="2"/>
  <c r="W93" i="2"/>
  <c r="AF93" i="2" s="1"/>
  <c r="Y92" i="2"/>
  <c r="AH92" i="2" s="1"/>
  <c r="AA91" i="2"/>
  <c r="W91" i="2"/>
  <c r="AF91" i="2" s="1"/>
  <c r="Y90" i="2"/>
  <c r="AH90" i="2" s="1"/>
  <c r="AA89" i="2"/>
  <c r="W89" i="2"/>
  <c r="AF89" i="2" s="1"/>
  <c r="K89" i="2"/>
  <c r="L89" i="2" s="1"/>
  <c r="Y88" i="2"/>
  <c r="AH88" i="2" s="1"/>
  <c r="AA87" i="2"/>
  <c r="W87" i="2"/>
  <c r="AF87" i="2" s="1"/>
  <c r="Y86" i="2"/>
  <c r="AH86" i="2" s="1"/>
  <c r="AA85" i="2"/>
  <c r="W85" i="2"/>
  <c r="AF85" i="2" s="1"/>
  <c r="K135" i="2"/>
  <c r="L135" i="2" s="1"/>
  <c r="K127" i="2"/>
  <c r="L127" i="2" s="1"/>
  <c r="K117" i="2"/>
  <c r="L117" i="2" s="1"/>
  <c r="K109" i="2"/>
  <c r="L109" i="2" s="1"/>
  <c r="K101" i="2"/>
  <c r="L101" i="2" s="1"/>
  <c r="K93" i="2"/>
  <c r="L93" i="2" s="1"/>
  <c r="K85" i="2"/>
  <c r="L85" i="2" s="1"/>
  <c r="W146" i="2"/>
  <c r="AF146" i="2" s="1"/>
  <c r="W134" i="2"/>
  <c r="AF134" i="2" s="1"/>
  <c r="W120" i="2"/>
  <c r="AF120" i="2" s="1"/>
  <c r="Q103" i="1"/>
  <c r="R103" i="1" s="1"/>
  <c r="S103" i="1" s="1"/>
  <c r="P189" i="1"/>
  <c r="Q189" i="1"/>
  <c r="R189" i="1" s="1"/>
  <c r="S189" i="1" s="1"/>
  <c r="Q177" i="1"/>
  <c r="R177" i="1" s="1"/>
  <c r="S177" i="1" s="1"/>
  <c r="P177" i="1"/>
  <c r="P196" i="1"/>
  <c r="Q196" i="1"/>
  <c r="R196" i="1" s="1"/>
  <c r="S196" i="1" s="1"/>
  <c r="Q129" i="1"/>
  <c r="R129" i="1" s="1"/>
  <c r="S129" i="1" s="1"/>
  <c r="P129" i="1"/>
  <c r="Q197" i="1"/>
  <c r="R197" i="1" s="1"/>
  <c r="S197" i="1" s="1"/>
  <c r="P197" i="1"/>
  <c r="P178" i="1"/>
  <c r="Q178" i="1"/>
  <c r="R178" i="1" s="1"/>
  <c r="S178" i="1" s="1"/>
  <c r="P152" i="1"/>
  <c r="P118" i="1"/>
  <c r="Q113" i="1"/>
  <c r="R113" i="1" s="1"/>
  <c r="S113" i="1" s="1"/>
  <c r="Q95" i="1"/>
  <c r="R95" i="1" s="1"/>
  <c r="S95" i="1" s="1"/>
  <c r="Q174" i="1"/>
  <c r="R174" i="1" s="1"/>
  <c r="S174" i="1" s="1"/>
  <c r="Q164" i="1"/>
  <c r="R164" i="1" s="1"/>
  <c r="S164" i="1" s="1"/>
  <c r="Q125" i="1"/>
  <c r="R125" i="1" s="1"/>
  <c r="S125" i="1" s="1"/>
  <c r="Q141" i="1"/>
  <c r="R141" i="1" s="1"/>
  <c r="S141" i="1" s="1"/>
  <c r="P169" i="1"/>
  <c r="Q169" i="1"/>
  <c r="R169" i="1" s="1"/>
  <c r="S169" i="1" s="1"/>
  <c r="Q162" i="1"/>
  <c r="R162" i="1" s="1"/>
  <c r="S162" i="1" s="1"/>
  <c r="P162" i="1"/>
  <c r="Q161" i="1"/>
  <c r="R161" i="1" s="1"/>
  <c r="S161" i="1" s="1"/>
  <c r="Q145" i="1"/>
  <c r="R145" i="1" s="1"/>
  <c r="S145" i="1" s="1"/>
  <c r="Q109" i="1"/>
  <c r="R109" i="1" s="1"/>
  <c r="S109" i="1" s="1"/>
  <c r="P154" i="1"/>
  <c r="Q117" i="1"/>
  <c r="R117" i="1" s="1"/>
  <c r="S117" i="1" s="1"/>
  <c r="AD36" i="2" l="1"/>
  <c r="AJ36" i="2"/>
  <c r="L156" i="2"/>
  <c r="N156" i="2"/>
  <c r="M156" i="2"/>
  <c r="AD105" i="2"/>
  <c r="L105" i="2"/>
  <c r="N105" i="2"/>
  <c r="M105" i="2"/>
  <c r="AD115" i="2"/>
  <c r="AJ115" i="2"/>
  <c r="M71" i="2"/>
  <c r="M183" i="2"/>
  <c r="M100" i="2"/>
  <c r="M167" i="2"/>
  <c r="M116" i="2"/>
  <c r="M41" i="2"/>
  <c r="M28" i="2"/>
  <c r="M146" i="2"/>
  <c r="M111" i="2"/>
  <c r="M5" i="2"/>
  <c r="M178" i="2"/>
  <c r="M8" i="2"/>
  <c r="M68" i="2"/>
  <c r="M149" i="2"/>
  <c r="M159" i="2"/>
  <c r="M16" i="2"/>
  <c r="M74" i="2"/>
  <c r="M125" i="2"/>
  <c r="M72" i="2"/>
  <c r="M134" i="2"/>
  <c r="M177" i="2"/>
  <c r="M77" i="2"/>
  <c r="M132" i="2"/>
  <c r="M17" i="2"/>
  <c r="M157" i="2"/>
  <c r="M89" i="2"/>
  <c r="M192" i="2"/>
  <c r="M21" i="2"/>
  <c r="M52" i="2"/>
  <c r="M86" i="2"/>
  <c r="M126" i="2"/>
  <c r="M128" i="2"/>
  <c r="M189" i="2"/>
  <c r="M97" i="2"/>
  <c r="M144" i="2"/>
  <c r="M186" i="2"/>
  <c r="M42" i="2"/>
  <c r="M120" i="2"/>
  <c r="M166" i="2"/>
  <c r="M109" i="2"/>
  <c r="M147" i="2"/>
  <c r="M193" i="2"/>
  <c r="M139" i="2"/>
  <c r="M33" i="2"/>
  <c r="M64" i="2"/>
  <c r="M141" i="2"/>
  <c r="M135" i="2"/>
  <c r="M12" i="2"/>
  <c r="M59" i="2"/>
  <c r="M106" i="2"/>
  <c r="M152" i="2"/>
  <c r="M198" i="2"/>
  <c r="M57" i="2"/>
  <c r="M131" i="2"/>
  <c r="M170" i="2"/>
  <c r="M46" i="2"/>
  <c r="M117" i="2"/>
  <c r="M207" i="2"/>
  <c r="N123" i="2"/>
  <c r="P123" i="2" s="1"/>
  <c r="S123" i="2" s="1"/>
  <c r="L123" i="2"/>
  <c r="N154" i="2"/>
  <c r="O154" i="2" s="1"/>
  <c r="R154" i="2" s="1"/>
  <c r="L154" i="2"/>
  <c r="N164" i="2"/>
  <c r="P164" i="2" s="1"/>
  <c r="S164" i="2" s="1"/>
  <c r="L164" i="2"/>
  <c r="N206" i="2"/>
  <c r="P206" i="2" s="1"/>
  <c r="S206" i="2" s="1"/>
  <c r="L206" i="2"/>
  <c r="M48" i="2"/>
  <c r="M79" i="2"/>
  <c r="M172" i="2"/>
  <c r="M187" i="2"/>
  <c r="M202" i="2"/>
  <c r="M35" i="2"/>
  <c r="M66" i="2"/>
  <c r="M96" i="2"/>
  <c r="M122" i="2"/>
  <c r="M136" i="2"/>
  <c r="M168" i="2"/>
  <c r="M22" i="2"/>
  <c r="M38" i="2"/>
  <c r="M53" i="2"/>
  <c r="M69" i="2"/>
  <c r="M83" i="2"/>
  <c r="M99" i="2"/>
  <c r="M162" i="2"/>
  <c r="M206" i="2"/>
  <c r="M15" i="2"/>
  <c r="M39" i="2"/>
  <c r="M70" i="2"/>
  <c r="AG203" i="2"/>
  <c r="N90" i="2"/>
  <c r="P90" i="2" s="1"/>
  <c r="S90" i="2" s="1"/>
  <c r="L90" i="2"/>
  <c r="N163" i="2"/>
  <c r="P163" i="2" s="1"/>
  <c r="S163" i="2" s="1"/>
  <c r="L163" i="2"/>
  <c r="AH203" i="2"/>
  <c r="N23" i="2"/>
  <c r="O23" i="2" s="1"/>
  <c r="R23" i="2" s="1"/>
  <c r="L23" i="2"/>
  <c r="N114" i="2"/>
  <c r="P114" i="2" s="1"/>
  <c r="S114" i="2" s="1"/>
  <c r="L114" i="2"/>
  <c r="M4" i="2"/>
  <c r="M82" i="2"/>
  <c r="M115" i="2"/>
  <c r="M130" i="2"/>
  <c r="M145" i="2"/>
  <c r="M161" i="2"/>
  <c r="M176" i="2"/>
  <c r="M191" i="2"/>
  <c r="M205" i="2"/>
  <c r="M43" i="2"/>
  <c r="M73" i="2"/>
  <c r="M104" i="2"/>
  <c r="M197" i="2"/>
  <c r="M32" i="2"/>
  <c r="M47" i="2"/>
  <c r="M63" i="2"/>
  <c r="M78" i="2"/>
  <c r="M93" i="2"/>
  <c r="M110" i="2"/>
  <c r="M171" i="2"/>
  <c r="M9" i="2"/>
  <c r="M26" i="2"/>
  <c r="M87" i="2"/>
  <c r="M103" i="2"/>
  <c r="M150" i="2"/>
  <c r="M181" i="2"/>
  <c r="M196" i="2"/>
  <c r="M19" i="2"/>
  <c r="M201" i="2"/>
  <c r="N129" i="2"/>
  <c r="P129" i="2" s="1"/>
  <c r="S129" i="2" s="1"/>
  <c r="L129" i="2"/>
  <c r="N140" i="2"/>
  <c r="O140" i="2" s="1"/>
  <c r="R140" i="2" s="1"/>
  <c r="L140" i="2"/>
  <c r="N174" i="2"/>
  <c r="P174" i="2" s="1"/>
  <c r="S174" i="2" s="1"/>
  <c r="L174" i="2"/>
  <c r="N210" i="2"/>
  <c r="Q210" i="2" s="1"/>
  <c r="L210" i="2"/>
  <c r="M25" i="2"/>
  <c r="M56" i="2"/>
  <c r="M102" i="2"/>
  <c r="M119" i="2"/>
  <c r="M165" i="2"/>
  <c r="M180" i="2"/>
  <c r="M195" i="2"/>
  <c r="M209" i="2"/>
  <c r="M50" i="2"/>
  <c r="M80" i="2"/>
  <c r="M113" i="2"/>
  <c r="M143" i="2"/>
  <c r="M174" i="2"/>
  <c r="M203" i="2"/>
  <c r="M20" i="2"/>
  <c r="M36" i="2"/>
  <c r="M51" i="2"/>
  <c r="M67" i="2"/>
  <c r="M81" i="2"/>
  <c r="M114" i="2"/>
  <c r="M129" i="2"/>
  <c r="M160" i="2"/>
  <c r="M175" i="2"/>
  <c r="M190" i="2"/>
  <c r="M204" i="2"/>
  <c r="M14" i="2"/>
  <c r="M30" i="2"/>
  <c r="M45" i="2"/>
  <c r="M61" i="2"/>
  <c r="M76" i="2"/>
  <c r="M91" i="2"/>
  <c r="M108" i="2"/>
  <c r="M123" i="2"/>
  <c r="M138" i="2"/>
  <c r="M154" i="2"/>
  <c r="M185" i="2"/>
  <c r="M200" i="2"/>
  <c r="M6" i="2"/>
  <c r="M23" i="2"/>
  <c r="M54" i="2"/>
  <c r="M84" i="2"/>
  <c r="L11" i="2"/>
  <c r="M11" i="2"/>
  <c r="N94" i="2"/>
  <c r="Q94" i="2" s="1"/>
  <c r="L94" i="2"/>
  <c r="AF203" i="2"/>
  <c r="N37" i="2"/>
  <c r="O37" i="2" s="1"/>
  <c r="R37" i="2" s="1"/>
  <c r="L37" i="2"/>
  <c r="N98" i="2"/>
  <c r="P98" i="2" s="1"/>
  <c r="S98" i="2" s="1"/>
  <c r="L98" i="2"/>
  <c r="M13" i="2"/>
  <c r="M29" i="2"/>
  <c r="M44" i="2"/>
  <c r="M60" i="2"/>
  <c r="M75" i="2"/>
  <c r="M90" i="2"/>
  <c r="M107" i="2"/>
  <c r="M137" i="2"/>
  <c r="M153" i="2"/>
  <c r="M169" i="2"/>
  <c r="M184" i="2"/>
  <c r="M199" i="2"/>
  <c r="M27" i="2"/>
  <c r="M58" i="2"/>
  <c r="M88" i="2"/>
  <c r="M121" i="2"/>
  <c r="M151" i="2"/>
  <c r="M182" i="2"/>
  <c r="M7" i="2"/>
  <c r="M24" i="2"/>
  <c r="M40" i="2"/>
  <c r="M55" i="2"/>
  <c r="M85" i="2"/>
  <c r="M101" i="2"/>
  <c r="M118" i="2"/>
  <c r="M133" i="2"/>
  <c r="M148" i="2"/>
  <c r="M164" i="2"/>
  <c r="M179" i="2"/>
  <c r="M194" i="2"/>
  <c r="M208" i="2"/>
  <c r="M18" i="2"/>
  <c r="M34" i="2"/>
  <c r="M49" i="2"/>
  <c r="M65" i="2"/>
  <c r="M95" i="2"/>
  <c r="M112" i="2"/>
  <c r="M127" i="2"/>
  <c r="M142" i="2"/>
  <c r="M158" i="2"/>
  <c r="M173" i="2"/>
  <c r="M188" i="2"/>
  <c r="M10" i="2"/>
  <c r="M31" i="2"/>
  <c r="M62" i="2"/>
  <c r="M92" i="2"/>
  <c r="M124" i="2"/>
  <c r="M155" i="2"/>
  <c r="AJ87" i="2"/>
  <c r="AD87" i="2"/>
  <c r="AJ99" i="2"/>
  <c r="AD99" i="2"/>
  <c r="AJ109" i="2"/>
  <c r="AD109" i="2"/>
  <c r="AJ135" i="2"/>
  <c r="AD135" i="2"/>
  <c r="AJ146" i="2"/>
  <c r="AD146" i="2"/>
  <c r="AJ196" i="2"/>
  <c r="AD196" i="2"/>
  <c r="AJ80" i="2"/>
  <c r="AD80" i="2"/>
  <c r="AJ47" i="2"/>
  <c r="AD47" i="2"/>
  <c r="AJ59" i="2"/>
  <c r="AD59" i="2"/>
  <c r="AJ78" i="2"/>
  <c r="AD78" i="2"/>
  <c r="AJ168" i="2"/>
  <c r="AD168" i="2"/>
  <c r="AJ96" i="2"/>
  <c r="AD96" i="2"/>
  <c r="AJ185" i="2"/>
  <c r="AD185" i="2"/>
  <c r="AJ206" i="2"/>
  <c r="AD206" i="2"/>
  <c r="AJ202" i="2"/>
  <c r="AD202" i="2"/>
  <c r="AJ208" i="2"/>
  <c r="AD208" i="2"/>
  <c r="AJ85" i="2"/>
  <c r="AD85" i="2"/>
  <c r="AJ95" i="2"/>
  <c r="AD95" i="2"/>
  <c r="AJ119" i="2"/>
  <c r="AD119" i="2"/>
  <c r="AJ108" i="2"/>
  <c r="AD108" i="2"/>
  <c r="AJ188" i="2"/>
  <c r="AD188" i="2"/>
  <c r="AJ210" i="2"/>
  <c r="AD210" i="2"/>
  <c r="AM210" i="2" s="1"/>
  <c r="AJ34" i="2"/>
  <c r="AD34" i="2"/>
  <c r="AJ57" i="2"/>
  <c r="AD57" i="2"/>
  <c r="AJ65" i="2"/>
  <c r="AD65" i="2"/>
  <c r="AJ100" i="2"/>
  <c r="AD100" i="2"/>
  <c r="AJ26" i="2"/>
  <c r="AD26" i="2"/>
  <c r="AJ51" i="2"/>
  <c r="AD51" i="2"/>
  <c r="AJ81" i="2"/>
  <c r="AD81" i="2"/>
  <c r="AJ15" i="2"/>
  <c r="AD15" i="2"/>
  <c r="AJ93" i="2"/>
  <c r="AD93" i="2"/>
  <c r="AJ103" i="2"/>
  <c r="AD103" i="2"/>
  <c r="AJ117" i="2"/>
  <c r="AD117" i="2"/>
  <c r="AJ132" i="2"/>
  <c r="AD132" i="2"/>
  <c r="AJ92" i="2"/>
  <c r="AD92" i="2"/>
  <c r="AJ167" i="2"/>
  <c r="AD167" i="2"/>
  <c r="AJ20" i="2"/>
  <c r="AD20" i="2"/>
  <c r="AJ74" i="2"/>
  <c r="AD74" i="2"/>
  <c r="AJ9" i="2"/>
  <c r="AD9" i="2"/>
  <c r="AJ91" i="2"/>
  <c r="AD91" i="2"/>
  <c r="AJ101" i="2"/>
  <c r="AD101" i="2"/>
  <c r="AJ111" i="2"/>
  <c r="AD111" i="2"/>
  <c r="AJ113" i="2"/>
  <c r="AD113" i="2"/>
  <c r="AJ124" i="2"/>
  <c r="AD124" i="2"/>
  <c r="AJ126" i="2"/>
  <c r="AD126" i="2"/>
  <c r="AJ128" i="2"/>
  <c r="AD128" i="2"/>
  <c r="AJ130" i="2"/>
  <c r="AD130" i="2"/>
  <c r="AJ137" i="2"/>
  <c r="AD137" i="2"/>
  <c r="AJ139" i="2"/>
  <c r="AD139" i="2"/>
  <c r="AJ141" i="2"/>
  <c r="AD141" i="2"/>
  <c r="AJ143" i="2"/>
  <c r="AD143" i="2"/>
  <c r="AJ147" i="2"/>
  <c r="AD147" i="2"/>
  <c r="AJ138" i="2"/>
  <c r="AD138" i="2"/>
  <c r="AJ181" i="2"/>
  <c r="AD181" i="2"/>
  <c r="AJ5" i="2"/>
  <c r="AD5" i="2"/>
  <c r="AJ31" i="2"/>
  <c r="AD31" i="2"/>
  <c r="AJ38" i="2"/>
  <c r="AD38" i="2"/>
  <c r="AJ45" i="2"/>
  <c r="AD45" i="2"/>
  <c r="AJ53" i="2"/>
  <c r="AD53" i="2"/>
  <c r="AJ61" i="2"/>
  <c r="AD61" i="2"/>
  <c r="AJ69" i="2"/>
  <c r="AD69" i="2"/>
  <c r="AJ76" i="2"/>
  <c r="AD76" i="2"/>
  <c r="AJ83" i="2"/>
  <c r="AD83" i="2"/>
  <c r="AJ73" i="2"/>
  <c r="AD73" i="2"/>
  <c r="AJ116" i="2"/>
  <c r="AD116" i="2"/>
  <c r="AJ152" i="2"/>
  <c r="AD152" i="2"/>
  <c r="AJ88" i="2"/>
  <c r="AD88" i="2"/>
  <c r="AJ7" i="2"/>
  <c r="AD7" i="2"/>
  <c r="AJ14" i="2"/>
  <c r="AD14" i="2"/>
  <c r="AJ22" i="2"/>
  <c r="AD22" i="2"/>
  <c r="AJ55" i="2"/>
  <c r="AD55" i="2"/>
  <c r="AJ67" i="2"/>
  <c r="AD67" i="2"/>
  <c r="AJ4" i="2"/>
  <c r="AD4" i="2"/>
  <c r="AJ11" i="2"/>
  <c r="AD11" i="2"/>
  <c r="AJ19" i="2"/>
  <c r="AD19" i="2"/>
  <c r="AJ27" i="2"/>
  <c r="AD27" i="2"/>
  <c r="AJ33" i="2"/>
  <c r="AD33" i="2"/>
  <c r="AJ41" i="2"/>
  <c r="AD41" i="2"/>
  <c r="AJ48" i="2"/>
  <c r="AD48" i="2"/>
  <c r="AJ56" i="2"/>
  <c r="AD56" i="2"/>
  <c r="AJ64" i="2"/>
  <c r="AD64" i="2"/>
  <c r="AJ71" i="2"/>
  <c r="AD71" i="2"/>
  <c r="AJ79" i="2"/>
  <c r="AD79" i="2"/>
  <c r="AJ24" i="2"/>
  <c r="AD24" i="2"/>
  <c r="AJ94" i="2"/>
  <c r="AD94" i="2"/>
  <c r="AJ106" i="2"/>
  <c r="AD106" i="2"/>
  <c r="AJ125" i="2"/>
  <c r="AD125" i="2"/>
  <c r="AJ129" i="2"/>
  <c r="AD129" i="2"/>
  <c r="AJ136" i="2"/>
  <c r="AD136" i="2"/>
  <c r="AJ140" i="2"/>
  <c r="AD140" i="2"/>
  <c r="AJ158" i="2"/>
  <c r="AD158" i="2"/>
  <c r="AJ170" i="2"/>
  <c r="AD170" i="2"/>
  <c r="AJ177" i="2"/>
  <c r="AD177" i="2"/>
  <c r="AJ182" i="2"/>
  <c r="AD182" i="2"/>
  <c r="AJ193" i="2"/>
  <c r="AD193" i="2"/>
  <c r="AJ10" i="2"/>
  <c r="AD10" i="2"/>
  <c r="AJ17" i="2"/>
  <c r="AD17" i="2"/>
  <c r="AJ25" i="2"/>
  <c r="AD25" i="2"/>
  <c r="AJ32" i="2"/>
  <c r="AD32" i="2"/>
  <c r="AJ39" i="2"/>
  <c r="AD39" i="2"/>
  <c r="AJ46" i="2"/>
  <c r="AD46" i="2"/>
  <c r="AJ54" i="2"/>
  <c r="AD54" i="2"/>
  <c r="AJ62" i="2"/>
  <c r="AD62" i="2"/>
  <c r="AJ70" i="2"/>
  <c r="AD70" i="2"/>
  <c r="AJ155" i="2"/>
  <c r="AD155" i="2"/>
  <c r="AJ201" i="2"/>
  <c r="AD201" i="2"/>
  <c r="AJ207" i="2"/>
  <c r="AD207" i="2"/>
  <c r="AJ186" i="2"/>
  <c r="AD186" i="2"/>
  <c r="AJ204" i="2"/>
  <c r="AD204" i="2"/>
  <c r="AJ161" i="2"/>
  <c r="AD161" i="2"/>
  <c r="AJ198" i="2"/>
  <c r="AD198" i="2"/>
  <c r="AJ134" i="2"/>
  <c r="AD134" i="2"/>
  <c r="AJ184" i="2"/>
  <c r="AD184" i="2"/>
  <c r="AJ89" i="2"/>
  <c r="AD89" i="2"/>
  <c r="AJ159" i="2"/>
  <c r="AD159" i="2"/>
  <c r="AJ16" i="2"/>
  <c r="AD16" i="2"/>
  <c r="AJ102" i="2"/>
  <c r="AD102" i="2"/>
  <c r="AJ114" i="2"/>
  <c r="AD114" i="2"/>
  <c r="AJ122" i="2"/>
  <c r="AD122" i="2"/>
  <c r="AJ156" i="2"/>
  <c r="AD156" i="2"/>
  <c r="AJ112" i="2"/>
  <c r="AD112" i="2"/>
  <c r="AJ175" i="2"/>
  <c r="AD175" i="2"/>
  <c r="AJ163" i="2"/>
  <c r="AD163" i="2"/>
  <c r="AJ200" i="2"/>
  <c r="AD200" i="2"/>
  <c r="AJ209" i="2"/>
  <c r="AD209" i="2"/>
  <c r="AJ169" i="2"/>
  <c r="AD169" i="2"/>
  <c r="AJ165" i="2"/>
  <c r="AD165" i="2"/>
  <c r="AJ97" i="2"/>
  <c r="AD97" i="2"/>
  <c r="AJ107" i="2"/>
  <c r="AD107" i="2"/>
  <c r="AJ28" i="2"/>
  <c r="AD28" i="2"/>
  <c r="AJ49" i="2"/>
  <c r="AD49" i="2"/>
  <c r="AJ72" i="2"/>
  <c r="AD72" i="2"/>
  <c r="AJ131" i="2"/>
  <c r="AD131" i="2"/>
  <c r="AJ8" i="2"/>
  <c r="AD8" i="2"/>
  <c r="AJ30" i="2"/>
  <c r="AD30" i="2"/>
  <c r="AJ37" i="2"/>
  <c r="AD37" i="2"/>
  <c r="AJ44" i="2"/>
  <c r="AD44" i="2"/>
  <c r="AJ52" i="2"/>
  <c r="AD52" i="2"/>
  <c r="AJ60" i="2"/>
  <c r="AD60" i="2"/>
  <c r="AJ68" i="2"/>
  <c r="AD68" i="2"/>
  <c r="AJ75" i="2"/>
  <c r="AD75" i="2"/>
  <c r="AJ82" i="2"/>
  <c r="AD82" i="2"/>
  <c r="AJ90" i="2"/>
  <c r="AD90" i="2"/>
  <c r="AJ110" i="2"/>
  <c r="AD110" i="2"/>
  <c r="AJ133" i="2"/>
  <c r="AD133" i="2"/>
  <c r="AJ154" i="2"/>
  <c r="AD154" i="2"/>
  <c r="AJ120" i="2"/>
  <c r="AD120" i="2"/>
  <c r="AJ142" i="2"/>
  <c r="AD142" i="2"/>
  <c r="AJ166" i="2"/>
  <c r="AD166" i="2"/>
  <c r="AJ173" i="2"/>
  <c r="AD173" i="2"/>
  <c r="AJ189" i="2"/>
  <c r="AD189" i="2"/>
  <c r="AJ6" i="2"/>
  <c r="AD6" i="2"/>
  <c r="AJ13" i="2"/>
  <c r="AD13" i="2"/>
  <c r="AJ21" i="2"/>
  <c r="AD21" i="2"/>
  <c r="AJ29" i="2"/>
  <c r="AD29" i="2"/>
  <c r="AJ35" i="2"/>
  <c r="AD35" i="2"/>
  <c r="AJ43" i="2"/>
  <c r="AD43" i="2"/>
  <c r="AJ50" i="2"/>
  <c r="AD50" i="2"/>
  <c r="AJ58" i="2"/>
  <c r="AD58" i="2"/>
  <c r="AJ66" i="2"/>
  <c r="AD66" i="2"/>
  <c r="AJ84" i="2"/>
  <c r="AD84" i="2"/>
  <c r="AJ197" i="2"/>
  <c r="AD197" i="2"/>
  <c r="AJ203" i="2"/>
  <c r="AD203" i="2"/>
  <c r="AJ172" i="2"/>
  <c r="AD172" i="2"/>
  <c r="AJ183" i="2"/>
  <c r="AD183" i="2"/>
  <c r="AJ153" i="2"/>
  <c r="AD153" i="2"/>
  <c r="AJ190" i="2"/>
  <c r="AD190" i="2"/>
  <c r="AJ121" i="2"/>
  <c r="AD121" i="2"/>
  <c r="AJ123" i="2"/>
  <c r="AD123" i="2"/>
  <c r="AJ180" i="2"/>
  <c r="AD180" i="2"/>
  <c r="AJ191" i="2"/>
  <c r="AD191" i="2"/>
  <c r="AJ144" i="2"/>
  <c r="AD144" i="2"/>
  <c r="AJ145" i="2"/>
  <c r="AD145" i="2"/>
  <c r="AJ178" i="2"/>
  <c r="AD178" i="2"/>
  <c r="AJ150" i="2"/>
  <c r="AD150" i="2"/>
  <c r="AJ174" i="2"/>
  <c r="AD174" i="2"/>
  <c r="AJ42" i="2"/>
  <c r="AD42" i="2"/>
  <c r="AJ18" i="2"/>
  <c r="AD18" i="2"/>
  <c r="AJ40" i="2"/>
  <c r="AD40" i="2"/>
  <c r="AJ23" i="2"/>
  <c r="AD23" i="2"/>
  <c r="AJ151" i="2"/>
  <c r="AD151" i="2"/>
  <c r="AJ12" i="2"/>
  <c r="AD12" i="2"/>
  <c r="AJ63" i="2"/>
  <c r="AD63" i="2"/>
  <c r="AJ86" i="2"/>
  <c r="AD86" i="2"/>
  <c r="AJ98" i="2"/>
  <c r="AD98" i="2"/>
  <c r="AJ118" i="2"/>
  <c r="AD118" i="2"/>
  <c r="AJ148" i="2"/>
  <c r="AD148" i="2"/>
  <c r="AJ160" i="2"/>
  <c r="AD160" i="2"/>
  <c r="AJ164" i="2"/>
  <c r="AD164" i="2"/>
  <c r="AJ171" i="2"/>
  <c r="AD171" i="2"/>
  <c r="AJ179" i="2"/>
  <c r="AD179" i="2"/>
  <c r="AJ187" i="2"/>
  <c r="AD187" i="2"/>
  <c r="AJ195" i="2"/>
  <c r="AD195" i="2"/>
  <c r="AJ77" i="2"/>
  <c r="AD77" i="2"/>
  <c r="AJ192" i="2"/>
  <c r="AD192" i="2"/>
  <c r="AJ199" i="2"/>
  <c r="AD199" i="2"/>
  <c r="AJ205" i="2"/>
  <c r="AD205" i="2"/>
  <c r="AJ149" i="2"/>
  <c r="AD149" i="2"/>
  <c r="AJ176" i="2"/>
  <c r="AD176" i="2"/>
  <c r="AJ157" i="2"/>
  <c r="AD157" i="2"/>
  <c r="AJ194" i="2"/>
  <c r="AD194" i="2"/>
  <c r="AJ104" i="2"/>
  <c r="AD104" i="2"/>
  <c r="AJ127" i="2"/>
  <c r="AD127" i="2"/>
  <c r="AJ162" i="2"/>
  <c r="AD162" i="2"/>
  <c r="AI58" i="2"/>
  <c r="AI103" i="2"/>
  <c r="AI111" i="2"/>
  <c r="AI119" i="2"/>
  <c r="AI126" i="2"/>
  <c r="AI141" i="2"/>
  <c r="AI176" i="2"/>
  <c r="AI192" i="2"/>
  <c r="AI200" i="2"/>
  <c r="AI204" i="2"/>
  <c r="AI27" i="2"/>
  <c r="AI71" i="2"/>
  <c r="AI18" i="2"/>
  <c r="AI47" i="2"/>
  <c r="AI63" i="2"/>
  <c r="AI116" i="2"/>
  <c r="AI120" i="2"/>
  <c r="AI129" i="2"/>
  <c r="AI133" i="2"/>
  <c r="AI144" i="2"/>
  <c r="AI148" i="2"/>
  <c r="AI158" i="2"/>
  <c r="AI177" i="2"/>
  <c r="AI180" i="2"/>
  <c r="AI199" i="2"/>
  <c r="AI202" i="2"/>
  <c r="AI205" i="2"/>
  <c r="AI16" i="2"/>
  <c r="AI24" i="2"/>
  <c r="AI31" i="2"/>
  <c r="AI49" i="2"/>
  <c r="AI57" i="2"/>
  <c r="AI65" i="2"/>
  <c r="AI146" i="2"/>
  <c r="AI17" i="2"/>
  <c r="AI46" i="2"/>
  <c r="AI62" i="2"/>
  <c r="AI77" i="2"/>
  <c r="AI93" i="2"/>
  <c r="AI101" i="2"/>
  <c r="AI109" i="2"/>
  <c r="AI117" i="2"/>
  <c r="AI124" i="2"/>
  <c r="AI132" i="2"/>
  <c r="AI139" i="2"/>
  <c r="AI147" i="2"/>
  <c r="AI155" i="2"/>
  <c r="AI167" i="2"/>
  <c r="AI174" i="2"/>
  <c r="AI190" i="2"/>
  <c r="AI198" i="2"/>
  <c r="AI210" i="2"/>
  <c r="AI15" i="2"/>
  <c r="AI30" i="2"/>
  <c r="AI44" i="2"/>
  <c r="AI60" i="2"/>
  <c r="AI75" i="2"/>
  <c r="AI14" i="2"/>
  <c r="AI59" i="2"/>
  <c r="AI74" i="2"/>
  <c r="AI123" i="2"/>
  <c r="AI134" i="2"/>
  <c r="AI138" i="2"/>
  <c r="AI152" i="2"/>
  <c r="AI166" i="2"/>
  <c r="AI171" i="2"/>
  <c r="AI175" i="2"/>
  <c r="AI187" i="2"/>
  <c r="AI193" i="2"/>
  <c r="AI197" i="2"/>
  <c r="AI203" i="2"/>
  <c r="AI209" i="2"/>
  <c r="AI9" i="2"/>
  <c r="AI42" i="2"/>
  <c r="AI76" i="2"/>
  <c r="AI83" i="2"/>
  <c r="AI88" i="2"/>
  <c r="AI92" i="2"/>
  <c r="AI96" i="2"/>
  <c r="AI100" i="2"/>
  <c r="AI104" i="2"/>
  <c r="AI108" i="2"/>
  <c r="AI112" i="2"/>
  <c r="AI184" i="2"/>
  <c r="AI162" i="2"/>
  <c r="AI29" i="2"/>
  <c r="AI21" i="2"/>
  <c r="AI66" i="2"/>
  <c r="AI99" i="2"/>
  <c r="AI145" i="2"/>
  <c r="AI153" i="2"/>
  <c r="AI165" i="2"/>
  <c r="AI172" i="2"/>
  <c r="AI196" i="2"/>
  <c r="AI19" i="2"/>
  <c r="AI64" i="2"/>
  <c r="AI26" i="2"/>
  <c r="AI40" i="2"/>
  <c r="AI55" i="2"/>
  <c r="AI81" i="2"/>
  <c r="AI118" i="2"/>
  <c r="AI127" i="2"/>
  <c r="AI131" i="2"/>
  <c r="AI142" i="2"/>
  <c r="AI156" i="2"/>
  <c r="AI160" i="2"/>
  <c r="AI170" i="2"/>
  <c r="AI182" i="2"/>
  <c r="AI12" i="2"/>
  <c r="AI20" i="2"/>
  <c r="AI28" i="2"/>
  <c r="AI34" i="2"/>
  <c r="AI45" i="2"/>
  <c r="AI53" i="2"/>
  <c r="AI61" i="2"/>
  <c r="AI69" i="2"/>
  <c r="AI13" i="2"/>
  <c r="AI43" i="2"/>
  <c r="AI73" i="2"/>
  <c r="AI95" i="2"/>
  <c r="AI149" i="2"/>
  <c r="AI157" i="2"/>
  <c r="AI169" i="2"/>
  <c r="AI181" i="2"/>
  <c r="AI185" i="2"/>
  <c r="AI11" i="2"/>
  <c r="AI41" i="2"/>
  <c r="AI56" i="2"/>
  <c r="AI78" i="2"/>
  <c r="AI6" i="2"/>
  <c r="AI35" i="2"/>
  <c r="AI50" i="2"/>
  <c r="AI80" i="2"/>
  <c r="AI91" i="2"/>
  <c r="AI107" i="2"/>
  <c r="AI130" i="2"/>
  <c r="AI137" i="2"/>
  <c r="AI161" i="2"/>
  <c r="AI188" i="2"/>
  <c r="AI208" i="2"/>
  <c r="AI4" i="2"/>
  <c r="AI33" i="2"/>
  <c r="AI48" i="2"/>
  <c r="AI79" i="2"/>
  <c r="AI10" i="2"/>
  <c r="AI25" i="2"/>
  <c r="AI39" i="2"/>
  <c r="AI54" i="2"/>
  <c r="AI70" i="2"/>
  <c r="AI84" i="2"/>
  <c r="AI85" i="2"/>
  <c r="AI87" i="2"/>
  <c r="AI89" i="2"/>
  <c r="AI97" i="2"/>
  <c r="AI113" i="2"/>
  <c r="AI121" i="2"/>
  <c r="AI128" i="2"/>
  <c r="AI135" i="2"/>
  <c r="AI143" i="2"/>
  <c r="AI151" i="2"/>
  <c r="AI159" i="2"/>
  <c r="AI163" i="2"/>
  <c r="AI178" i="2"/>
  <c r="AI183" i="2"/>
  <c r="AI186" i="2"/>
  <c r="AI194" i="2"/>
  <c r="AI206" i="2"/>
  <c r="AI8" i="2"/>
  <c r="AI23" i="2"/>
  <c r="AI37" i="2"/>
  <c r="AI52" i="2"/>
  <c r="AI68" i="2"/>
  <c r="AI82" i="2"/>
  <c r="AI7" i="2"/>
  <c r="AI22" i="2"/>
  <c r="AI51" i="2"/>
  <c r="AI67" i="2"/>
  <c r="AI114" i="2"/>
  <c r="AI122" i="2"/>
  <c r="AI125" i="2"/>
  <c r="AI136" i="2"/>
  <c r="AI140" i="2"/>
  <c r="AI150" i="2"/>
  <c r="AI154" i="2"/>
  <c r="AI164" i="2"/>
  <c r="AI168" i="2"/>
  <c r="AI173" i="2"/>
  <c r="AI179" i="2"/>
  <c r="AI189" i="2"/>
  <c r="AI195" i="2"/>
  <c r="AI201" i="2"/>
  <c r="AI207" i="2"/>
  <c r="AI5" i="2"/>
  <c r="AI38" i="2"/>
  <c r="AI72" i="2"/>
  <c r="AI86" i="2"/>
  <c r="AI90" i="2"/>
  <c r="AI94" i="2"/>
  <c r="AI98" i="2"/>
  <c r="AI102" i="2"/>
  <c r="AI106" i="2"/>
  <c r="AI110" i="2"/>
  <c r="AK184" i="2"/>
  <c r="AK162" i="2"/>
  <c r="AK78" i="2"/>
  <c r="AK204" i="2"/>
  <c r="N142" i="2"/>
  <c r="N194" i="2"/>
  <c r="N157" i="2"/>
  <c r="AK141" i="2"/>
  <c r="AK59" i="2"/>
  <c r="N111" i="2"/>
  <c r="AK165" i="2"/>
  <c r="N188" i="2"/>
  <c r="AK128" i="2"/>
  <c r="N15" i="2"/>
  <c r="N119" i="2"/>
  <c r="AK132" i="2"/>
  <c r="AK198" i="2"/>
  <c r="AK210" i="2"/>
  <c r="AK111" i="2"/>
  <c r="N132" i="2"/>
  <c r="AK77" i="2"/>
  <c r="AK119" i="2"/>
  <c r="N198" i="2"/>
  <c r="AK115" i="2"/>
  <c r="N190" i="2"/>
  <c r="N162" i="2"/>
  <c r="N200" i="2"/>
  <c r="N204" i="2"/>
  <c r="N181" i="2"/>
  <c r="N165" i="2"/>
  <c r="AK192" i="2"/>
  <c r="N107" i="2"/>
  <c r="N86" i="2"/>
  <c r="N95" i="2"/>
  <c r="N196" i="2"/>
  <c r="AK18" i="2"/>
  <c r="AK169" i="2"/>
  <c r="N102" i="2"/>
  <c r="AK81" i="2"/>
  <c r="AK147" i="2"/>
  <c r="AK196" i="2"/>
  <c r="N186" i="2"/>
  <c r="AK109" i="2"/>
  <c r="AK188" i="2"/>
  <c r="N4" i="2"/>
  <c r="N87" i="2"/>
  <c r="N153" i="2"/>
  <c r="N192" i="2"/>
  <c r="AK36" i="2"/>
  <c r="N8" i="2"/>
  <c r="N68" i="2"/>
  <c r="AK89" i="2"/>
  <c r="N172" i="2"/>
  <c r="AK200" i="2"/>
  <c r="N103" i="2"/>
  <c r="AK121" i="2"/>
  <c r="AK124" i="2"/>
  <c r="N151" i="2"/>
  <c r="N178" i="2"/>
  <c r="N99" i="2"/>
  <c r="N185" i="2"/>
  <c r="AK70" i="2"/>
  <c r="N121" i="2"/>
  <c r="N30" i="2"/>
  <c r="AK117" i="2"/>
  <c r="AK130" i="2"/>
  <c r="AK137" i="2"/>
  <c r="AK161" i="2"/>
  <c r="N183" i="2"/>
  <c r="N167" i="2"/>
  <c r="AK80" i="2"/>
  <c r="AK143" i="2"/>
  <c r="AK26" i="2"/>
  <c r="AK40" i="2"/>
  <c r="AK55" i="2"/>
  <c r="AK185" i="2"/>
  <c r="N208" i="2"/>
  <c r="N137" i="2"/>
  <c r="N110" i="2"/>
  <c r="N159" i="2"/>
  <c r="AK172" i="2"/>
  <c r="N106" i="2"/>
  <c r="AK157" i="2"/>
  <c r="AK186" i="2"/>
  <c r="N91" i="2"/>
  <c r="N169" i="2"/>
  <c r="N176" i="2"/>
  <c r="AK126" i="2"/>
  <c r="N135" i="2"/>
  <c r="N143" i="2"/>
  <c r="N147" i="2"/>
  <c r="N131" i="2"/>
  <c r="N148" i="2"/>
  <c r="N125" i="2"/>
  <c r="N171" i="2"/>
  <c r="N201" i="2"/>
  <c r="AK4" i="2"/>
  <c r="AK11" i="2"/>
  <c r="AK19" i="2"/>
  <c r="AK27" i="2"/>
  <c r="AK33" i="2"/>
  <c r="AK41" i="2"/>
  <c r="AK48" i="2"/>
  <c r="AK56" i="2"/>
  <c r="AK64" i="2"/>
  <c r="AK75" i="2"/>
  <c r="N27" i="2"/>
  <c r="N56" i="2"/>
  <c r="N5" i="2"/>
  <c r="N20" i="2"/>
  <c r="N34" i="2"/>
  <c r="N49" i="2"/>
  <c r="N65" i="2"/>
  <c r="N29" i="2"/>
  <c r="N58" i="2"/>
  <c r="N88" i="2"/>
  <c r="N166" i="2"/>
  <c r="N180" i="2"/>
  <c r="N195" i="2"/>
  <c r="N209" i="2"/>
  <c r="AK86" i="2"/>
  <c r="AK88" i="2"/>
  <c r="AK96" i="2"/>
  <c r="AK104" i="2"/>
  <c r="AK112" i="2"/>
  <c r="AK120" i="2"/>
  <c r="AK127" i="2"/>
  <c r="AK134" i="2"/>
  <c r="AK142" i="2"/>
  <c r="AK150" i="2"/>
  <c r="AK158" i="2"/>
  <c r="AK166" i="2"/>
  <c r="AK173" i="2"/>
  <c r="AK180" i="2"/>
  <c r="AK187" i="2"/>
  <c r="AK195" i="2"/>
  <c r="AK202" i="2"/>
  <c r="AK209" i="2"/>
  <c r="N10" i="2"/>
  <c r="N46" i="2"/>
  <c r="N77" i="2"/>
  <c r="N44" i="2"/>
  <c r="N82" i="2"/>
  <c r="N14" i="2"/>
  <c r="N22" i="2"/>
  <c r="N40" i="2"/>
  <c r="N47" i="2"/>
  <c r="N55" i="2"/>
  <c r="N63" i="2"/>
  <c r="N78" i="2"/>
  <c r="N9" i="2"/>
  <c r="N24" i="2"/>
  <c r="N38" i="2"/>
  <c r="N53" i="2"/>
  <c r="N69" i="2"/>
  <c r="N83" i="2"/>
  <c r="AK12" i="2"/>
  <c r="AK28" i="2"/>
  <c r="AK42" i="2"/>
  <c r="AK57" i="2"/>
  <c r="AK72" i="2"/>
  <c r="N85" i="2"/>
  <c r="N101" i="2"/>
  <c r="N117" i="2"/>
  <c r="N89" i="2"/>
  <c r="N128" i="2"/>
  <c r="N139" i="2"/>
  <c r="N92" i="2"/>
  <c r="N118" i="2"/>
  <c r="N133" i="2"/>
  <c r="N144" i="2"/>
  <c r="N175" i="2"/>
  <c r="N189" i="2"/>
  <c r="N203" i="2"/>
  <c r="AK79" i="2"/>
  <c r="N33" i="2"/>
  <c r="N64" i="2"/>
  <c r="N6" i="2"/>
  <c r="N35" i="2"/>
  <c r="N66" i="2"/>
  <c r="N96" i="2"/>
  <c r="N149" i="2"/>
  <c r="N170" i="2"/>
  <c r="N184" i="2"/>
  <c r="N199" i="2"/>
  <c r="AK10" i="2"/>
  <c r="AK17" i="2"/>
  <c r="AK25" i="2"/>
  <c r="AK32" i="2"/>
  <c r="AK39" i="2"/>
  <c r="AK46" i="2"/>
  <c r="AK54" i="2"/>
  <c r="AK62" i="2"/>
  <c r="AK94" i="2"/>
  <c r="AK102" i="2"/>
  <c r="AK110" i="2"/>
  <c r="AK118" i="2"/>
  <c r="AK125" i="2"/>
  <c r="AK133" i="2"/>
  <c r="AK140" i="2"/>
  <c r="AK148" i="2"/>
  <c r="AK156" i="2"/>
  <c r="AK164" i="2"/>
  <c r="AK171" i="2"/>
  <c r="AK179" i="2"/>
  <c r="AK193" i="2"/>
  <c r="AK201" i="2"/>
  <c r="AK207" i="2"/>
  <c r="N32" i="2"/>
  <c r="N39" i="2"/>
  <c r="N70" i="2"/>
  <c r="N52" i="2"/>
  <c r="N7" i="2"/>
  <c r="N26" i="2"/>
  <c r="AK9" i="2"/>
  <c r="AK24" i="2"/>
  <c r="AK38" i="2"/>
  <c r="AK53" i="2"/>
  <c r="AK69" i="2"/>
  <c r="AK83" i="2"/>
  <c r="N113" i="2"/>
  <c r="N115" i="2"/>
  <c r="N124" i="2"/>
  <c r="N126" i="2"/>
  <c r="N130" i="2"/>
  <c r="N141" i="2"/>
  <c r="N145" i="2"/>
  <c r="N116" i="2"/>
  <c r="N97" i="2"/>
  <c r="N138" i="2"/>
  <c r="N158" i="2"/>
  <c r="N100" i="2"/>
  <c r="N120" i="2"/>
  <c r="N134" i="2"/>
  <c r="N146" i="2"/>
  <c r="N152" i="2"/>
  <c r="N179" i="2"/>
  <c r="N193" i="2"/>
  <c r="N207" i="2"/>
  <c r="AK8" i="2"/>
  <c r="AK15" i="2"/>
  <c r="AK23" i="2"/>
  <c r="AK30" i="2"/>
  <c r="AK37" i="2"/>
  <c r="AK44" i="2"/>
  <c r="AK52" i="2"/>
  <c r="AK60" i="2"/>
  <c r="AK68" i="2"/>
  <c r="AK82" i="2"/>
  <c r="N11" i="2"/>
  <c r="N41" i="2"/>
  <c r="N71" i="2"/>
  <c r="N12" i="2"/>
  <c r="N28" i="2"/>
  <c r="N42" i="2"/>
  <c r="N57" i="2"/>
  <c r="N72" i="2"/>
  <c r="N13" i="2"/>
  <c r="N43" i="2"/>
  <c r="N73" i="2"/>
  <c r="N104" i="2"/>
  <c r="N155" i="2"/>
  <c r="N173" i="2"/>
  <c r="N187" i="2"/>
  <c r="N202" i="2"/>
  <c r="AK92" i="2"/>
  <c r="AK100" i="2"/>
  <c r="AK108" i="2"/>
  <c r="AK116" i="2"/>
  <c r="AK123" i="2"/>
  <c r="AK131" i="2"/>
  <c r="AK138" i="2"/>
  <c r="AK146" i="2"/>
  <c r="AK154" i="2"/>
  <c r="AK170" i="2"/>
  <c r="AK177" i="2"/>
  <c r="AK191" i="2"/>
  <c r="AK199" i="2"/>
  <c r="AK205" i="2"/>
  <c r="N25" i="2"/>
  <c r="N62" i="2"/>
  <c r="N60" i="2"/>
  <c r="N18" i="2"/>
  <c r="N36" i="2"/>
  <c r="N51" i="2"/>
  <c r="N59" i="2"/>
  <c r="N67" i="2"/>
  <c r="N74" i="2"/>
  <c r="N81" i="2"/>
  <c r="N16" i="2"/>
  <c r="N31" i="2"/>
  <c r="N45" i="2"/>
  <c r="N61" i="2"/>
  <c r="N76" i="2"/>
  <c r="AK5" i="2"/>
  <c r="AK20" i="2"/>
  <c r="AK34" i="2"/>
  <c r="AK49" i="2"/>
  <c r="AK65" i="2"/>
  <c r="N93" i="2"/>
  <c r="N109" i="2"/>
  <c r="N127" i="2"/>
  <c r="N160" i="2"/>
  <c r="N108" i="2"/>
  <c r="N122" i="2"/>
  <c r="N136" i="2"/>
  <c r="N150" i="2"/>
  <c r="N168" i="2"/>
  <c r="N182" i="2"/>
  <c r="N197" i="2"/>
  <c r="AK71" i="2"/>
  <c r="N19" i="2"/>
  <c r="N48" i="2"/>
  <c r="N79" i="2"/>
  <c r="N21" i="2"/>
  <c r="N50" i="2"/>
  <c r="N80" i="2"/>
  <c r="N112" i="2"/>
  <c r="N161" i="2"/>
  <c r="N177" i="2"/>
  <c r="N191" i="2"/>
  <c r="N205" i="2"/>
  <c r="AK6" i="2"/>
  <c r="AK13" i="2"/>
  <c r="AK21" i="2"/>
  <c r="AK29" i="2"/>
  <c r="AK35" i="2"/>
  <c r="AK43" i="2"/>
  <c r="AK50" i="2"/>
  <c r="AK58" i="2"/>
  <c r="AK66" i="2"/>
  <c r="AK90" i="2"/>
  <c r="AK98" i="2"/>
  <c r="AK106" i="2"/>
  <c r="AK114" i="2"/>
  <c r="AK122" i="2"/>
  <c r="AK129" i="2"/>
  <c r="AK136" i="2"/>
  <c r="AK144" i="2"/>
  <c r="AK152" i="2"/>
  <c r="AK160" i="2"/>
  <c r="AK168" i="2"/>
  <c r="AK175" i="2"/>
  <c r="AK182" i="2"/>
  <c r="AK189" i="2"/>
  <c r="AK197" i="2"/>
  <c r="AK203" i="2"/>
  <c r="N17" i="2"/>
  <c r="N54" i="2"/>
  <c r="N84" i="2"/>
  <c r="N75" i="2"/>
  <c r="AK16" i="2"/>
  <c r="AK31" i="2"/>
  <c r="AK45" i="2"/>
  <c r="AK61" i="2"/>
  <c r="AK76" i="2"/>
  <c r="O4" i="1"/>
  <c r="Q4" i="1" s="1"/>
  <c r="R4" i="1" s="1"/>
  <c r="S4" i="1" s="1"/>
  <c r="P140" i="2" l="1"/>
  <c r="S140" i="2" s="1"/>
  <c r="O156" i="2"/>
  <c r="R156" i="2" s="1"/>
  <c r="Q156" i="2"/>
  <c r="P156" i="2"/>
  <c r="S156" i="2" s="1"/>
  <c r="O105" i="2"/>
  <c r="R105" i="2" s="1"/>
  <c r="Q105" i="2"/>
  <c r="P105" i="2"/>
  <c r="S105" i="2" s="1"/>
  <c r="AM31" i="2"/>
  <c r="AN31" i="2" s="1"/>
  <c r="O129" i="2"/>
  <c r="R129" i="2" s="1"/>
  <c r="P154" i="2"/>
  <c r="S154" i="2" s="1"/>
  <c r="Q140" i="2"/>
  <c r="Q23" i="2"/>
  <c r="Q206" i="2"/>
  <c r="O164" i="2"/>
  <c r="R164" i="2" s="1"/>
  <c r="P37" i="2"/>
  <c r="S37" i="2" s="1"/>
  <c r="O123" i="2"/>
  <c r="R123" i="2" s="1"/>
  <c r="Q164" i="2"/>
  <c r="Q123" i="2"/>
  <c r="O206" i="2"/>
  <c r="R206" i="2" s="1"/>
  <c r="O163" i="2"/>
  <c r="R163" i="2" s="1"/>
  <c r="Q154" i="2"/>
  <c r="O94" i="2"/>
  <c r="R94" i="2" s="1"/>
  <c r="Q163" i="2"/>
  <c r="O210" i="2"/>
  <c r="R210" i="2" s="1"/>
  <c r="Q114" i="2"/>
  <c r="Q98" i="2"/>
  <c r="O174" i="2"/>
  <c r="R174" i="2" s="1"/>
  <c r="Q129" i="2"/>
  <c r="Q174" i="2"/>
  <c r="Q90" i="2"/>
  <c r="O90" i="2"/>
  <c r="R90" i="2" s="1"/>
  <c r="P23" i="2"/>
  <c r="S23" i="2" s="1"/>
  <c r="O98" i="2"/>
  <c r="R98" i="2" s="1"/>
  <c r="O114" i="2"/>
  <c r="R114" i="2" s="1"/>
  <c r="P94" i="2"/>
  <c r="S94" i="2" s="1"/>
  <c r="P210" i="2"/>
  <c r="S210" i="2" s="1"/>
  <c r="Q37" i="2"/>
  <c r="AN210" i="2"/>
  <c r="M209" i="1"/>
  <c r="O191" i="2"/>
  <c r="R191" i="2" s="1"/>
  <c r="P191" i="2"/>
  <c r="S191" i="2" s="1"/>
  <c r="P150" i="2"/>
  <c r="S150" i="2" s="1"/>
  <c r="O150" i="2"/>
  <c r="R150" i="2" s="1"/>
  <c r="O74" i="2"/>
  <c r="R74" i="2" s="1"/>
  <c r="P74" i="2"/>
  <c r="S74" i="2" s="1"/>
  <c r="O62" i="2"/>
  <c r="R62" i="2" s="1"/>
  <c r="P62" i="2"/>
  <c r="S62" i="2" s="1"/>
  <c r="O104" i="2"/>
  <c r="R104" i="2" s="1"/>
  <c r="P104" i="2"/>
  <c r="S104" i="2" s="1"/>
  <c r="O72" i="2"/>
  <c r="R72" i="2" s="1"/>
  <c r="P72" i="2"/>
  <c r="S72" i="2" s="1"/>
  <c r="P12" i="2"/>
  <c r="S12" i="2" s="1"/>
  <c r="O12" i="2"/>
  <c r="R12" i="2" s="1"/>
  <c r="P41" i="2"/>
  <c r="S41" i="2" s="1"/>
  <c r="O41" i="2"/>
  <c r="R41" i="2" s="1"/>
  <c r="P158" i="2"/>
  <c r="S158" i="2" s="1"/>
  <c r="O158" i="2"/>
  <c r="R158" i="2" s="1"/>
  <c r="P126" i="2"/>
  <c r="S126" i="2" s="1"/>
  <c r="O126" i="2"/>
  <c r="R126" i="2" s="1"/>
  <c r="O170" i="2"/>
  <c r="R170" i="2" s="1"/>
  <c r="P170" i="2"/>
  <c r="S170" i="2" s="1"/>
  <c r="O35" i="2"/>
  <c r="R35" i="2" s="1"/>
  <c r="P35" i="2"/>
  <c r="S35" i="2" s="1"/>
  <c r="P139" i="2"/>
  <c r="S139" i="2" s="1"/>
  <c r="O139" i="2"/>
  <c r="R139" i="2" s="1"/>
  <c r="P83" i="2"/>
  <c r="S83" i="2" s="1"/>
  <c r="O83" i="2"/>
  <c r="R83" i="2" s="1"/>
  <c r="O63" i="2"/>
  <c r="R63" i="2" s="1"/>
  <c r="P63" i="2"/>
  <c r="S63" i="2" s="1"/>
  <c r="O22" i="2"/>
  <c r="R22" i="2" s="1"/>
  <c r="P22" i="2"/>
  <c r="S22" i="2" s="1"/>
  <c r="P180" i="2"/>
  <c r="S180" i="2" s="1"/>
  <c r="O180" i="2"/>
  <c r="R180" i="2" s="1"/>
  <c r="O29" i="2"/>
  <c r="R29" i="2" s="1"/>
  <c r="P29" i="2"/>
  <c r="S29" i="2" s="1"/>
  <c r="O34" i="2"/>
  <c r="R34" i="2" s="1"/>
  <c r="P34" i="2"/>
  <c r="S34" i="2" s="1"/>
  <c r="P125" i="2"/>
  <c r="S125" i="2" s="1"/>
  <c r="O125" i="2"/>
  <c r="R125" i="2" s="1"/>
  <c r="P110" i="2"/>
  <c r="S110" i="2" s="1"/>
  <c r="O110" i="2"/>
  <c r="R110" i="2" s="1"/>
  <c r="P192" i="2"/>
  <c r="S192" i="2" s="1"/>
  <c r="O192" i="2"/>
  <c r="R192" i="2" s="1"/>
  <c r="O198" i="2"/>
  <c r="R198" i="2" s="1"/>
  <c r="P198" i="2"/>
  <c r="S198" i="2" s="1"/>
  <c r="O177" i="2"/>
  <c r="R177" i="2" s="1"/>
  <c r="P177" i="2"/>
  <c r="S177" i="2" s="1"/>
  <c r="O50" i="2"/>
  <c r="R50" i="2" s="1"/>
  <c r="P50" i="2"/>
  <c r="S50" i="2" s="1"/>
  <c r="P197" i="2"/>
  <c r="S197" i="2" s="1"/>
  <c r="O197" i="2"/>
  <c r="R197" i="2" s="1"/>
  <c r="P127" i="2"/>
  <c r="S127" i="2" s="1"/>
  <c r="O127" i="2"/>
  <c r="R127" i="2" s="1"/>
  <c r="P31" i="2"/>
  <c r="S31" i="2" s="1"/>
  <c r="O31" i="2"/>
  <c r="R31" i="2" s="1"/>
  <c r="O36" i="2"/>
  <c r="R36" i="2" s="1"/>
  <c r="P36" i="2"/>
  <c r="S36" i="2" s="1"/>
  <c r="P187" i="2"/>
  <c r="S187" i="2" s="1"/>
  <c r="O187" i="2"/>
  <c r="R187" i="2" s="1"/>
  <c r="O57" i="2"/>
  <c r="R57" i="2" s="1"/>
  <c r="P57" i="2"/>
  <c r="S57" i="2" s="1"/>
  <c r="P193" i="2"/>
  <c r="S193" i="2" s="1"/>
  <c r="O193" i="2"/>
  <c r="R193" i="2" s="1"/>
  <c r="O138" i="2"/>
  <c r="R138" i="2" s="1"/>
  <c r="P138" i="2"/>
  <c r="S138" i="2" s="1"/>
  <c r="O124" i="2"/>
  <c r="R124" i="2" s="1"/>
  <c r="P124" i="2"/>
  <c r="S124" i="2" s="1"/>
  <c r="O7" i="2"/>
  <c r="R7" i="2" s="1"/>
  <c r="P7" i="2"/>
  <c r="S7" i="2" s="1"/>
  <c r="O32" i="2"/>
  <c r="R32" i="2" s="1"/>
  <c r="P32" i="2"/>
  <c r="S32" i="2" s="1"/>
  <c r="P203" i="2"/>
  <c r="S203" i="2" s="1"/>
  <c r="O203" i="2"/>
  <c r="R203" i="2" s="1"/>
  <c r="P128" i="2"/>
  <c r="S128" i="2" s="1"/>
  <c r="O128" i="2"/>
  <c r="R128" i="2" s="1"/>
  <c r="P69" i="2"/>
  <c r="S69" i="2" s="1"/>
  <c r="O69" i="2"/>
  <c r="R69" i="2" s="1"/>
  <c r="O9" i="2"/>
  <c r="R9" i="2" s="1"/>
  <c r="P9" i="2"/>
  <c r="S9" i="2" s="1"/>
  <c r="O77" i="2"/>
  <c r="R77" i="2" s="1"/>
  <c r="P77" i="2"/>
  <c r="S77" i="2" s="1"/>
  <c r="P20" i="2"/>
  <c r="S20" i="2" s="1"/>
  <c r="O20" i="2"/>
  <c r="R20" i="2" s="1"/>
  <c r="P56" i="2"/>
  <c r="S56" i="2" s="1"/>
  <c r="O56" i="2"/>
  <c r="R56" i="2" s="1"/>
  <c r="P148" i="2"/>
  <c r="S148" i="2" s="1"/>
  <c r="O148" i="2"/>
  <c r="R148" i="2" s="1"/>
  <c r="P91" i="2"/>
  <c r="S91" i="2" s="1"/>
  <c r="O91" i="2"/>
  <c r="R91" i="2" s="1"/>
  <c r="P106" i="2"/>
  <c r="S106" i="2" s="1"/>
  <c r="O106" i="2"/>
  <c r="R106" i="2" s="1"/>
  <c r="O137" i="2"/>
  <c r="R137" i="2" s="1"/>
  <c r="P137" i="2"/>
  <c r="S137" i="2" s="1"/>
  <c r="P178" i="2"/>
  <c r="S178" i="2" s="1"/>
  <c r="O178" i="2"/>
  <c r="R178" i="2" s="1"/>
  <c r="O153" i="2"/>
  <c r="R153" i="2" s="1"/>
  <c r="P153" i="2"/>
  <c r="S153" i="2" s="1"/>
  <c r="O95" i="2"/>
  <c r="R95" i="2" s="1"/>
  <c r="P95" i="2"/>
  <c r="S95" i="2" s="1"/>
  <c r="P165" i="2"/>
  <c r="S165" i="2" s="1"/>
  <c r="O165" i="2"/>
  <c r="R165" i="2" s="1"/>
  <c r="O162" i="2"/>
  <c r="R162" i="2" s="1"/>
  <c r="P162" i="2"/>
  <c r="S162" i="2" s="1"/>
  <c r="P15" i="2"/>
  <c r="S15" i="2" s="1"/>
  <c r="O15" i="2"/>
  <c r="R15" i="2" s="1"/>
  <c r="P111" i="2"/>
  <c r="S111" i="2" s="1"/>
  <c r="O111" i="2"/>
  <c r="R111" i="2" s="1"/>
  <c r="P157" i="2"/>
  <c r="S157" i="2" s="1"/>
  <c r="O157" i="2"/>
  <c r="R157" i="2" s="1"/>
  <c r="P75" i="2"/>
  <c r="S75" i="2" s="1"/>
  <c r="O75" i="2"/>
  <c r="R75" i="2" s="1"/>
  <c r="P161" i="2"/>
  <c r="S161" i="2" s="1"/>
  <c r="O161" i="2"/>
  <c r="R161" i="2" s="1"/>
  <c r="O21" i="2"/>
  <c r="R21" i="2" s="1"/>
  <c r="P21" i="2"/>
  <c r="S21" i="2" s="1"/>
  <c r="P48" i="2"/>
  <c r="S48" i="2" s="1"/>
  <c r="O48" i="2"/>
  <c r="R48" i="2" s="1"/>
  <c r="P182" i="2"/>
  <c r="S182" i="2" s="1"/>
  <c r="O182" i="2"/>
  <c r="R182" i="2" s="1"/>
  <c r="P122" i="2"/>
  <c r="S122" i="2" s="1"/>
  <c r="O122" i="2"/>
  <c r="R122" i="2" s="1"/>
  <c r="O109" i="2"/>
  <c r="R109" i="2" s="1"/>
  <c r="P109" i="2"/>
  <c r="S109" i="2" s="1"/>
  <c r="P76" i="2"/>
  <c r="S76" i="2" s="1"/>
  <c r="O76" i="2"/>
  <c r="R76" i="2" s="1"/>
  <c r="O16" i="2"/>
  <c r="R16" i="2" s="1"/>
  <c r="P16" i="2"/>
  <c r="S16" i="2" s="1"/>
  <c r="O59" i="2"/>
  <c r="R59" i="2" s="1"/>
  <c r="P59" i="2"/>
  <c r="S59" i="2" s="1"/>
  <c r="O18" i="2"/>
  <c r="R18" i="2" s="1"/>
  <c r="P18" i="2"/>
  <c r="S18" i="2" s="1"/>
  <c r="P173" i="2"/>
  <c r="S173" i="2" s="1"/>
  <c r="O173" i="2"/>
  <c r="R173" i="2" s="1"/>
  <c r="O43" i="2"/>
  <c r="R43" i="2" s="1"/>
  <c r="P43" i="2"/>
  <c r="S43" i="2" s="1"/>
  <c r="O42" i="2"/>
  <c r="R42" i="2" s="1"/>
  <c r="P42" i="2"/>
  <c r="S42" i="2" s="1"/>
  <c r="P179" i="2"/>
  <c r="S179" i="2" s="1"/>
  <c r="O179" i="2"/>
  <c r="R179" i="2" s="1"/>
  <c r="O120" i="2"/>
  <c r="R120" i="2" s="1"/>
  <c r="P120" i="2"/>
  <c r="S120" i="2" s="1"/>
  <c r="O97" i="2"/>
  <c r="R97" i="2" s="1"/>
  <c r="P97" i="2"/>
  <c r="S97" i="2" s="1"/>
  <c r="P141" i="2"/>
  <c r="S141" i="2" s="1"/>
  <c r="O141" i="2"/>
  <c r="R141" i="2" s="1"/>
  <c r="O115" i="2"/>
  <c r="R115" i="2" s="1"/>
  <c r="P115" i="2"/>
  <c r="S115" i="2" s="1"/>
  <c r="P52" i="2"/>
  <c r="S52" i="2" s="1"/>
  <c r="O52" i="2"/>
  <c r="R52" i="2" s="1"/>
  <c r="O199" i="2"/>
  <c r="R199" i="2" s="1"/>
  <c r="P199" i="2"/>
  <c r="S199" i="2" s="1"/>
  <c r="O96" i="2"/>
  <c r="R96" i="2" s="1"/>
  <c r="P96" i="2"/>
  <c r="S96" i="2" s="1"/>
  <c r="P64" i="2"/>
  <c r="S64" i="2" s="1"/>
  <c r="O64" i="2"/>
  <c r="R64" i="2" s="1"/>
  <c r="P189" i="2"/>
  <c r="S189" i="2" s="1"/>
  <c r="O189" i="2"/>
  <c r="R189" i="2" s="1"/>
  <c r="P118" i="2"/>
  <c r="S118" i="2" s="1"/>
  <c r="O118" i="2"/>
  <c r="R118" i="2" s="1"/>
  <c r="O89" i="2"/>
  <c r="R89" i="2" s="1"/>
  <c r="P89" i="2"/>
  <c r="S89" i="2" s="1"/>
  <c r="O85" i="2"/>
  <c r="R85" i="2" s="1"/>
  <c r="P85" i="2"/>
  <c r="S85" i="2" s="1"/>
  <c r="P53" i="2"/>
  <c r="S53" i="2" s="1"/>
  <c r="O53" i="2"/>
  <c r="R53" i="2" s="1"/>
  <c r="O78" i="2"/>
  <c r="R78" i="2" s="1"/>
  <c r="P78" i="2"/>
  <c r="S78" i="2" s="1"/>
  <c r="O47" i="2"/>
  <c r="R47" i="2" s="1"/>
  <c r="P47" i="2"/>
  <c r="S47" i="2" s="1"/>
  <c r="O46" i="2"/>
  <c r="R46" i="2" s="1"/>
  <c r="P46" i="2"/>
  <c r="S46" i="2" s="1"/>
  <c r="P209" i="2"/>
  <c r="S209" i="2" s="1"/>
  <c r="O209" i="2"/>
  <c r="R209" i="2" s="1"/>
  <c r="O88" i="2"/>
  <c r="R88" i="2" s="1"/>
  <c r="P88" i="2"/>
  <c r="S88" i="2" s="1"/>
  <c r="O65" i="2"/>
  <c r="R65" i="2" s="1"/>
  <c r="P65" i="2"/>
  <c r="S65" i="2" s="1"/>
  <c r="P5" i="2"/>
  <c r="S5" i="2" s="1"/>
  <c r="O5" i="2"/>
  <c r="R5" i="2" s="1"/>
  <c r="P27" i="2"/>
  <c r="S27" i="2" s="1"/>
  <c r="O27" i="2"/>
  <c r="R27" i="2" s="1"/>
  <c r="O131" i="2"/>
  <c r="R131" i="2" s="1"/>
  <c r="P131" i="2"/>
  <c r="S131" i="2" s="1"/>
  <c r="P176" i="2"/>
  <c r="S176" i="2" s="1"/>
  <c r="O176" i="2"/>
  <c r="R176" i="2" s="1"/>
  <c r="P208" i="2"/>
  <c r="S208" i="2" s="1"/>
  <c r="O208" i="2"/>
  <c r="R208" i="2" s="1"/>
  <c r="O183" i="2"/>
  <c r="R183" i="2" s="1"/>
  <c r="P183" i="2"/>
  <c r="S183" i="2" s="1"/>
  <c r="P151" i="2"/>
  <c r="S151" i="2" s="1"/>
  <c r="O151" i="2"/>
  <c r="R151" i="2" s="1"/>
  <c r="Q8" i="2"/>
  <c r="P8" i="2"/>
  <c r="S8" i="2" s="1"/>
  <c r="O8" i="2"/>
  <c r="R8" i="2" s="1"/>
  <c r="O87" i="2"/>
  <c r="R87" i="2" s="1"/>
  <c r="P87" i="2"/>
  <c r="S87" i="2" s="1"/>
  <c r="P86" i="2"/>
  <c r="S86" i="2" s="1"/>
  <c r="O86" i="2"/>
  <c r="R86" i="2" s="1"/>
  <c r="P181" i="2"/>
  <c r="S181" i="2" s="1"/>
  <c r="O181" i="2"/>
  <c r="R181" i="2" s="1"/>
  <c r="Q190" i="2"/>
  <c r="P190" i="2"/>
  <c r="S190" i="2" s="1"/>
  <c r="O190" i="2"/>
  <c r="R190" i="2" s="1"/>
  <c r="P194" i="2"/>
  <c r="S194" i="2" s="1"/>
  <c r="O194" i="2"/>
  <c r="R194" i="2" s="1"/>
  <c r="O54" i="2"/>
  <c r="R54" i="2" s="1"/>
  <c r="P54" i="2"/>
  <c r="S54" i="2" s="1"/>
  <c r="O80" i="2"/>
  <c r="R80" i="2" s="1"/>
  <c r="P80" i="2"/>
  <c r="S80" i="2" s="1"/>
  <c r="P160" i="2"/>
  <c r="S160" i="2" s="1"/>
  <c r="O160" i="2"/>
  <c r="R160" i="2" s="1"/>
  <c r="P45" i="2"/>
  <c r="S45" i="2" s="1"/>
  <c r="O45" i="2"/>
  <c r="R45" i="2" s="1"/>
  <c r="P202" i="2"/>
  <c r="S202" i="2" s="1"/>
  <c r="O202" i="2"/>
  <c r="R202" i="2" s="1"/>
  <c r="P207" i="2"/>
  <c r="S207" i="2" s="1"/>
  <c r="O207" i="2"/>
  <c r="R207" i="2" s="1"/>
  <c r="O146" i="2"/>
  <c r="R146" i="2" s="1"/>
  <c r="P146" i="2"/>
  <c r="S146" i="2" s="1"/>
  <c r="O116" i="2"/>
  <c r="R116" i="2" s="1"/>
  <c r="P116" i="2"/>
  <c r="S116" i="2" s="1"/>
  <c r="O26" i="2"/>
  <c r="R26" i="2" s="1"/>
  <c r="P26" i="2"/>
  <c r="S26" i="2" s="1"/>
  <c r="O39" i="2"/>
  <c r="R39" i="2" s="1"/>
  <c r="P39" i="2"/>
  <c r="S39" i="2" s="1"/>
  <c r="P144" i="2"/>
  <c r="S144" i="2" s="1"/>
  <c r="O144" i="2"/>
  <c r="R144" i="2" s="1"/>
  <c r="O117" i="2"/>
  <c r="R117" i="2" s="1"/>
  <c r="P117" i="2"/>
  <c r="S117" i="2" s="1"/>
  <c r="O24" i="2"/>
  <c r="R24" i="2" s="1"/>
  <c r="P24" i="2"/>
  <c r="S24" i="2" s="1"/>
  <c r="P44" i="2"/>
  <c r="S44" i="2" s="1"/>
  <c r="O44" i="2"/>
  <c r="R44" i="2" s="1"/>
  <c r="P143" i="2"/>
  <c r="S143" i="2" s="1"/>
  <c r="O143" i="2"/>
  <c r="R143" i="2" s="1"/>
  <c r="O169" i="2"/>
  <c r="R169" i="2" s="1"/>
  <c r="P169" i="2"/>
  <c r="S169" i="2" s="1"/>
  <c r="P30" i="2"/>
  <c r="S30" i="2" s="1"/>
  <c r="O30" i="2"/>
  <c r="R30" i="2" s="1"/>
  <c r="P99" i="2"/>
  <c r="S99" i="2" s="1"/>
  <c r="O99" i="2"/>
  <c r="R99" i="2" s="1"/>
  <c r="Q102" i="2"/>
  <c r="P102" i="2"/>
  <c r="S102" i="2" s="1"/>
  <c r="O102" i="2"/>
  <c r="R102" i="2" s="1"/>
  <c r="P200" i="2"/>
  <c r="S200" i="2" s="1"/>
  <c r="O200" i="2"/>
  <c r="R200" i="2" s="1"/>
  <c r="P119" i="2"/>
  <c r="S119" i="2" s="1"/>
  <c r="O119" i="2"/>
  <c r="R119" i="2" s="1"/>
  <c r="P142" i="2"/>
  <c r="S142" i="2" s="1"/>
  <c r="O142" i="2"/>
  <c r="R142" i="2" s="1"/>
  <c r="O17" i="2"/>
  <c r="R17" i="2" s="1"/>
  <c r="P17" i="2"/>
  <c r="S17" i="2" s="1"/>
  <c r="P79" i="2"/>
  <c r="S79" i="2" s="1"/>
  <c r="O79" i="2"/>
  <c r="R79" i="2" s="1"/>
  <c r="P136" i="2"/>
  <c r="S136" i="2" s="1"/>
  <c r="O136" i="2"/>
  <c r="R136" i="2" s="1"/>
  <c r="O67" i="2"/>
  <c r="R67" i="2" s="1"/>
  <c r="P67" i="2"/>
  <c r="S67" i="2" s="1"/>
  <c r="O25" i="2"/>
  <c r="R25" i="2" s="1"/>
  <c r="P25" i="2"/>
  <c r="S25" i="2" s="1"/>
  <c r="O73" i="2"/>
  <c r="R73" i="2" s="1"/>
  <c r="P73" i="2"/>
  <c r="S73" i="2" s="1"/>
  <c r="P11" i="2"/>
  <c r="S11" i="2" s="1"/>
  <c r="O11" i="2"/>
  <c r="R11" i="2" s="1"/>
  <c r="P134" i="2"/>
  <c r="S134" i="2" s="1"/>
  <c r="O134" i="2"/>
  <c r="R134" i="2" s="1"/>
  <c r="P145" i="2"/>
  <c r="S145" i="2" s="1"/>
  <c r="O145" i="2"/>
  <c r="R145" i="2" s="1"/>
  <c r="P149" i="2"/>
  <c r="S149" i="2" s="1"/>
  <c r="O149" i="2"/>
  <c r="R149" i="2" s="1"/>
  <c r="O6" i="2"/>
  <c r="R6" i="2" s="1"/>
  <c r="P6" i="2"/>
  <c r="S6" i="2" s="1"/>
  <c r="P133" i="2"/>
  <c r="S133" i="2" s="1"/>
  <c r="O133" i="2"/>
  <c r="R133" i="2" s="1"/>
  <c r="O101" i="2"/>
  <c r="R101" i="2" s="1"/>
  <c r="P101" i="2"/>
  <c r="S101" i="2" s="1"/>
  <c r="O55" i="2"/>
  <c r="R55" i="2" s="1"/>
  <c r="P55" i="2"/>
  <c r="S55" i="2" s="1"/>
  <c r="O14" i="2"/>
  <c r="R14" i="2" s="1"/>
  <c r="P14" i="2"/>
  <c r="S14" i="2" s="1"/>
  <c r="P166" i="2"/>
  <c r="S166" i="2" s="1"/>
  <c r="O166" i="2"/>
  <c r="R166" i="2" s="1"/>
  <c r="P201" i="2"/>
  <c r="S201" i="2" s="1"/>
  <c r="O201" i="2"/>
  <c r="R201" i="2" s="1"/>
  <c r="P135" i="2"/>
  <c r="S135" i="2" s="1"/>
  <c r="O135" i="2"/>
  <c r="R135" i="2" s="1"/>
  <c r="P167" i="2"/>
  <c r="S167" i="2" s="1"/>
  <c r="O167" i="2"/>
  <c r="R167" i="2" s="1"/>
  <c r="O121" i="2"/>
  <c r="R121" i="2" s="1"/>
  <c r="P121" i="2"/>
  <c r="S121" i="2" s="1"/>
  <c r="O103" i="2"/>
  <c r="R103" i="2" s="1"/>
  <c r="P103" i="2"/>
  <c r="S103" i="2" s="1"/>
  <c r="P68" i="2"/>
  <c r="S68" i="2" s="1"/>
  <c r="O68" i="2"/>
  <c r="R68" i="2" s="1"/>
  <c r="O84" i="2"/>
  <c r="R84" i="2" s="1"/>
  <c r="P84" i="2"/>
  <c r="S84" i="2" s="1"/>
  <c r="O205" i="2"/>
  <c r="R205" i="2" s="1"/>
  <c r="P205" i="2"/>
  <c r="S205" i="2" s="1"/>
  <c r="O112" i="2"/>
  <c r="R112" i="2" s="1"/>
  <c r="P112" i="2"/>
  <c r="S112" i="2" s="1"/>
  <c r="P19" i="2"/>
  <c r="S19" i="2" s="1"/>
  <c r="O19" i="2"/>
  <c r="R19" i="2" s="1"/>
  <c r="P168" i="2"/>
  <c r="S168" i="2" s="1"/>
  <c r="O168" i="2"/>
  <c r="R168" i="2" s="1"/>
  <c r="O108" i="2"/>
  <c r="R108" i="2" s="1"/>
  <c r="P108" i="2"/>
  <c r="S108" i="2" s="1"/>
  <c r="O93" i="2"/>
  <c r="R93" i="2" s="1"/>
  <c r="P93" i="2"/>
  <c r="S93" i="2" s="1"/>
  <c r="P61" i="2"/>
  <c r="S61" i="2" s="1"/>
  <c r="O61" i="2"/>
  <c r="R61" i="2" s="1"/>
  <c r="O81" i="2"/>
  <c r="R81" i="2" s="1"/>
  <c r="P81" i="2"/>
  <c r="S81" i="2" s="1"/>
  <c r="O51" i="2"/>
  <c r="R51" i="2" s="1"/>
  <c r="P51" i="2"/>
  <c r="S51" i="2" s="1"/>
  <c r="P60" i="2"/>
  <c r="S60" i="2" s="1"/>
  <c r="O60" i="2"/>
  <c r="R60" i="2" s="1"/>
  <c r="P155" i="2"/>
  <c r="S155" i="2" s="1"/>
  <c r="O155" i="2"/>
  <c r="R155" i="2" s="1"/>
  <c r="O13" i="2"/>
  <c r="R13" i="2" s="1"/>
  <c r="P13" i="2"/>
  <c r="S13" i="2" s="1"/>
  <c r="P28" i="2"/>
  <c r="S28" i="2" s="1"/>
  <c r="O28" i="2"/>
  <c r="R28" i="2" s="1"/>
  <c r="P71" i="2"/>
  <c r="S71" i="2" s="1"/>
  <c r="O71" i="2"/>
  <c r="R71" i="2" s="1"/>
  <c r="P152" i="2"/>
  <c r="S152" i="2" s="1"/>
  <c r="O152" i="2"/>
  <c r="R152" i="2" s="1"/>
  <c r="O100" i="2"/>
  <c r="R100" i="2" s="1"/>
  <c r="P100" i="2"/>
  <c r="S100" i="2" s="1"/>
  <c r="P130" i="2"/>
  <c r="S130" i="2" s="1"/>
  <c r="O130" i="2"/>
  <c r="R130" i="2" s="1"/>
  <c r="O113" i="2"/>
  <c r="R113" i="2" s="1"/>
  <c r="P113" i="2"/>
  <c r="S113" i="2" s="1"/>
  <c r="O70" i="2"/>
  <c r="R70" i="2" s="1"/>
  <c r="P70" i="2"/>
  <c r="S70" i="2" s="1"/>
  <c r="O184" i="2"/>
  <c r="R184" i="2" s="1"/>
  <c r="P184" i="2"/>
  <c r="S184" i="2" s="1"/>
  <c r="O66" i="2"/>
  <c r="R66" i="2" s="1"/>
  <c r="P66" i="2"/>
  <c r="S66" i="2" s="1"/>
  <c r="P33" i="2"/>
  <c r="S33" i="2" s="1"/>
  <c r="O33" i="2"/>
  <c r="R33" i="2" s="1"/>
  <c r="P175" i="2"/>
  <c r="S175" i="2" s="1"/>
  <c r="O175" i="2"/>
  <c r="R175" i="2" s="1"/>
  <c r="O92" i="2"/>
  <c r="R92" i="2" s="1"/>
  <c r="P92" i="2"/>
  <c r="S92" i="2" s="1"/>
  <c r="P38" i="2"/>
  <c r="S38" i="2" s="1"/>
  <c r="O38" i="2"/>
  <c r="R38" i="2" s="1"/>
  <c r="O40" i="2"/>
  <c r="R40" i="2" s="1"/>
  <c r="P40" i="2"/>
  <c r="S40" i="2" s="1"/>
  <c r="P82" i="2"/>
  <c r="S82" i="2" s="1"/>
  <c r="O82" i="2"/>
  <c r="R82" i="2" s="1"/>
  <c r="O10" i="2"/>
  <c r="R10" i="2" s="1"/>
  <c r="P10" i="2"/>
  <c r="S10" i="2" s="1"/>
  <c r="P195" i="2"/>
  <c r="S195" i="2" s="1"/>
  <c r="O195" i="2"/>
  <c r="R195" i="2" s="1"/>
  <c r="O58" i="2"/>
  <c r="R58" i="2" s="1"/>
  <c r="P58" i="2"/>
  <c r="S58" i="2" s="1"/>
  <c r="O49" i="2"/>
  <c r="R49" i="2" s="1"/>
  <c r="P49" i="2"/>
  <c r="S49" i="2" s="1"/>
  <c r="P171" i="2"/>
  <c r="S171" i="2" s="1"/>
  <c r="O171" i="2"/>
  <c r="R171" i="2" s="1"/>
  <c r="P147" i="2"/>
  <c r="S147" i="2" s="1"/>
  <c r="O147" i="2"/>
  <c r="R147" i="2" s="1"/>
  <c r="P159" i="2"/>
  <c r="S159" i="2" s="1"/>
  <c r="O159" i="2"/>
  <c r="R159" i="2" s="1"/>
  <c r="P185" i="2"/>
  <c r="S185" i="2" s="1"/>
  <c r="O185" i="2"/>
  <c r="R185" i="2" s="1"/>
  <c r="P172" i="2"/>
  <c r="S172" i="2" s="1"/>
  <c r="O172" i="2"/>
  <c r="R172" i="2" s="1"/>
  <c r="P4" i="2"/>
  <c r="S4" i="2" s="1"/>
  <c r="O4" i="2"/>
  <c r="R4" i="2" s="1"/>
  <c r="P186" i="2"/>
  <c r="S186" i="2" s="1"/>
  <c r="O186" i="2"/>
  <c r="R186" i="2" s="1"/>
  <c r="P196" i="2"/>
  <c r="S196" i="2" s="1"/>
  <c r="O196" i="2"/>
  <c r="R196" i="2" s="1"/>
  <c r="O107" i="2"/>
  <c r="R107" i="2" s="1"/>
  <c r="P107" i="2"/>
  <c r="S107" i="2" s="1"/>
  <c r="P204" i="2"/>
  <c r="S204" i="2" s="1"/>
  <c r="O204" i="2"/>
  <c r="R204" i="2" s="1"/>
  <c r="P132" i="2"/>
  <c r="S132" i="2" s="1"/>
  <c r="O132" i="2"/>
  <c r="R132" i="2" s="1"/>
  <c r="P188" i="2"/>
  <c r="S188" i="2" s="1"/>
  <c r="O188" i="2"/>
  <c r="R188" i="2" s="1"/>
  <c r="Q142" i="2"/>
  <c r="Q194" i="2"/>
  <c r="Q169" i="2"/>
  <c r="Q157" i="2"/>
  <c r="Q68" i="2"/>
  <c r="Q188" i="2"/>
  <c r="Q172" i="2"/>
  <c r="Q111" i="2"/>
  <c r="Q181" i="2"/>
  <c r="Q192" i="2"/>
  <c r="Q91" i="2"/>
  <c r="Q4" i="2"/>
  <c r="Q151" i="2"/>
  <c r="Q159" i="2"/>
  <c r="Q198" i="2"/>
  <c r="Q186" i="2"/>
  <c r="Q30" i="2"/>
  <c r="Q185" i="2"/>
  <c r="Q165" i="2"/>
  <c r="Q86" i="2"/>
  <c r="Q132" i="2"/>
  <c r="Q15" i="2"/>
  <c r="Q162" i="2"/>
  <c r="Q110" i="2"/>
  <c r="Q103" i="2"/>
  <c r="Q204" i="2"/>
  <c r="Q121" i="2"/>
  <c r="Q167" i="2"/>
  <c r="Q119" i="2"/>
  <c r="Q178" i="2"/>
  <c r="Q107" i="2"/>
  <c r="Q208" i="2"/>
  <c r="Q196" i="2"/>
  <c r="Q200" i="2"/>
  <c r="Q95" i="2"/>
  <c r="Q99" i="2"/>
  <c r="Q87" i="2"/>
  <c r="Q153" i="2"/>
  <c r="Q183" i="2"/>
  <c r="Q176" i="2"/>
  <c r="Q137" i="2"/>
  <c r="Q106" i="2"/>
  <c r="Q84" i="2"/>
  <c r="Q177" i="2"/>
  <c r="Q79" i="2"/>
  <c r="Q17" i="2"/>
  <c r="Q205" i="2"/>
  <c r="Q161" i="2"/>
  <c r="Q19" i="2"/>
  <c r="Q108" i="2"/>
  <c r="Q93" i="2"/>
  <c r="Q25" i="2"/>
  <c r="Q173" i="2"/>
  <c r="Q193" i="2"/>
  <c r="Q138" i="2"/>
  <c r="Q141" i="2"/>
  <c r="Q126" i="2"/>
  <c r="Q115" i="2"/>
  <c r="Q7" i="2"/>
  <c r="Q170" i="2"/>
  <c r="Q203" i="2"/>
  <c r="Q92" i="2"/>
  <c r="Q128" i="2"/>
  <c r="Q101" i="2"/>
  <c r="Q82" i="2"/>
  <c r="Q46" i="2"/>
  <c r="Q209" i="2"/>
  <c r="Q88" i="2"/>
  <c r="Q29" i="2"/>
  <c r="Q27" i="2"/>
  <c r="Q143" i="2"/>
  <c r="Q75" i="2"/>
  <c r="Q80" i="2"/>
  <c r="Q21" i="2"/>
  <c r="Q48" i="2"/>
  <c r="Q168" i="2"/>
  <c r="Q122" i="2"/>
  <c r="Q127" i="2"/>
  <c r="Q76" i="2"/>
  <c r="Q45" i="2"/>
  <c r="Q16" i="2"/>
  <c r="Q74" i="2"/>
  <c r="Q59" i="2"/>
  <c r="Q18" i="2"/>
  <c r="Q187" i="2"/>
  <c r="Q104" i="2"/>
  <c r="Q43" i="2"/>
  <c r="Q57" i="2"/>
  <c r="Q28" i="2"/>
  <c r="Q11" i="2"/>
  <c r="Q207" i="2"/>
  <c r="Q146" i="2"/>
  <c r="Q120" i="2"/>
  <c r="Q158" i="2"/>
  <c r="Q97" i="2"/>
  <c r="Q116" i="2"/>
  <c r="Q70" i="2"/>
  <c r="Q32" i="2"/>
  <c r="Q184" i="2"/>
  <c r="Q96" i="2"/>
  <c r="Q35" i="2"/>
  <c r="Q118" i="2"/>
  <c r="Q83" i="2"/>
  <c r="Q53" i="2"/>
  <c r="Q24" i="2"/>
  <c r="Q78" i="2"/>
  <c r="Q63" i="2"/>
  <c r="Q47" i="2"/>
  <c r="Q22" i="2"/>
  <c r="Q166" i="2"/>
  <c r="Q65" i="2"/>
  <c r="Q34" i="2"/>
  <c r="Q5" i="2"/>
  <c r="Q56" i="2"/>
  <c r="Q171" i="2"/>
  <c r="Q131" i="2"/>
  <c r="Q54" i="2"/>
  <c r="Q182" i="2"/>
  <c r="Q150" i="2"/>
  <c r="Q109" i="2"/>
  <c r="Q62" i="2"/>
  <c r="Q202" i="2"/>
  <c r="Q155" i="2"/>
  <c r="Q41" i="2"/>
  <c r="Q152" i="2"/>
  <c r="Q145" i="2"/>
  <c r="Q130" i="2"/>
  <c r="Q124" i="2"/>
  <c r="Q113" i="2"/>
  <c r="Q26" i="2"/>
  <c r="Q52" i="2"/>
  <c r="Q199" i="2"/>
  <c r="Q149" i="2"/>
  <c r="Q33" i="2"/>
  <c r="Q175" i="2"/>
  <c r="Q139" i="2"/>
  <c r="Q89" i="2"/>
  <c r="Q117" i="2"/>
  <c r="Q85" i="2"/>
  <c r="Q77" i="2"/>
  <c r="Q10" i="2"/>
  <c r="Q180" i="2"/>
  <c r="Q58" i="2"/>
  <c r="Q125" i="2"/>
  <c r="Q148" i="2"/>
  <c r="Q147" i="2"/>
  <c r="Q135" i="2"/>
  <c r="Q191" i="2"/>
  <c r="Q112" i="2"/>
  <c r="Q50" i="2"/>
  <c r="Q197" i="2"/>
  <c r="Q136" i="2"/>
  <c r="Q160" i="2"/>
  <c r="Q61" i="2"/>
  <c r="Q31" i="2"/>
  <c r="Q81" i="2"/>
  <c r="Q67" i="2"/>
  <c r="Q51" i="2"/>
  <c r="Q36" i="2"/>
  <c r="Q60" i="2"/>
  <c r="Q73" i="2"/>
  <c r="Q13" i="2"/>
  <c r="Q72" i="2"/>
  <c r="Q42" i="2"/>
  <c r="Q12" i="2"/>
  <c r="Q71" i="2"/>
  <c r="Q179" i="2"/>
  <c r="Q134" i="2"/>
  <c r="Q100" i="2"/>
  <c r="Q39" i="2"/>
  <c r="Q66" i="2"/>
  <c r="Q6" i="2"/>
  <c r="Q64" i="2"/>
  <c r="Q189" i="2"/>
  <c r="Q144" i="2"/>
  <c r="Q133" i="2"/>
  <c r="Q69" i="2"/>
  <c r="Q38" i="2"/>
  <c r="Q9" i="2"/>
  <c r="Q55" i="2"/>
  <c r="Q40" i="2"/>
  <c r="Q14" i="2"/>
  <c r="Q44" i="2"/>
  <c r="Q195" i="2"/>
  <c r="Q49" i="2"/>
  <c r="Q20" i="2"/>
  <c r="Q201" i="2"/>
  <c r="P4" i="1"/>
  <c r="U3" i="2" l="1"/>
  <c r="C3" i="2"/>
  <c r="D3" i="2"/>
  <c r="E3" i="2"/>
  <c r="F3" i="2"/>
  <c r="G3" i="2"/>
  <c r="H3" i="2"/>
  <c r="K3" i="2" l="1"/>
  <c r="W3" i="2"/>
  <c r="X3" i="2"/>
  <c r="AA3" i="2"/>
  <c r="AB3" i="2"/>
  <c r="Z3" i="2"/>
  <c r="Y3" i="2"/>
  <c r="AF3" i="2" l="1"/>
  <c r="AD3" i="2"/>
  <c r="N3" i="2"/>
  <c r="Q3" i="2" s="1"/>
  <c r="L3" i="2"/>
  <c r="M3" i="2"/>
  <c r="AI3" i="2"/>
  <c r="AH3" i="2"/>
  <c r="AJ3" i="2"/>
  <c r="AG3" i="2"/>
  <c r="AK3" i="2"/>
  <c r="P3" i="2" l="1"/>
  <c r="S3" i="2" s="1"/>
  <c r="O3" i="2"/>
  <c r="R3" i="2" s="1"/>
  <c r="Q2" i="1"/>
  <c r="R2" i="1" s="1"/>
  <c r="S2" i="1" s="1"/>
  <c r="AM186" i="2" l="1"/>
  <c r="AN186" i="2" s="1"/>
  <c r="N209" i="1"/>
  <c r="O209" i="1" s="1"/>
  <c r="AM3" i="2"/>
  <c r="AN3" i="2" s="1"/>
  <c r="AM195" i="2"/>
  <c r="AN195" i="2" s="1"/>
  <c r="AM36" i="2"/>
  <c r="AN36" i="2" s="1"/>
  <c r="AM105" i="2"/>
  <c r="AN105" i="2" s="1"/>
  <c r="AM115" i="2"/>
  <c r="AN115" i="2" s="1"/>
  <c r="AM15" i="2"/>
  <c r="AN15" i="2" s="1"/>
  <c r="AM44" i="2"/>
  <c r="AN44" i="2" s="1"/>
  <c r="AM75" i="2"/>
  <c r="AN75" i="2" s="1"/>
  <c r="AM59" i="2"/>
  <c r="AN59" i="2" s="1"/>
  <c r="AM123" i="2"/>
  <c r="AN123" i="2" s="1"/>
  <c r="AM138" i="2"/>
  <c r="AN138" i="2" s="1"/>
  <c r="AM166" i="2"/>
  <c r="AN166" i="2" s="1"/>
  <c r="AM175" i="2"/>
  <c r="AN175" i="2" s="1"/>
  <c r="AM193" i="2"/>
  <c r="AN193" i="2" s="1"/>
  <c r="AM203" i="2"/>
  <c r="AN203" i="2" s="1"/>
  <c r="AM9" i="2"/>
  <c r="AN9" i="2" s="1"/>
  <c r="AM76" i="2"/>
  <c r="AN76" i="2" s="1"/>
  <c r="AM88" i="2"/>
  <c r="AN88" i="2" s="1"/>
  <c r="AM96" i="2"/>
  <c r="AN96" i="2" s="1"/>
  <c r="AM104" i="2"/>
  <c r="AN104" i="2" s="1"/>
  <c r="AM112" i="2"/>
  <c r="AN112" i="2" s="1"/>
  <c r="AM162" i="2"/>
  <c r="AN162" i="2" s="1"/>
  <c r="AM21" i="2"/>
  <c r="AN21" i="2" s="1"/>
  <c r="AM99" i="2"/>
  <c r="AN99" i="2" s="1"/>
  <c r="AM153" i="2"/>
  <c r="AN153" i="2" s="1"/>
  <c r="AM172" i="2"/>
  <c r="AN172" i="2" s="1"/>
  <c r="AM19" i="2"/>
  <c r="AN19" i="2" s="1"/>
  <c r="AM26" i="2"/>
  <c r="AN26" i="2" s="1"/>
  <c r="AM55" i="2"/>
  <c r="AN55" i="2" s="1"/>
  <c r="AM118" i="2"/>
  <c r="AN118" i="2" s="1"/>
  <c r="AM131" i="2"/>
  <c r="AN131" i="2" s="1"/>
  <c r="AM156" i="2"/>
  <c r="AN156" i="2" s="1"/>
  <c r="AM170" i="2"/>
  <c r="AN170" i="2" s="1"/>
  <c r="AM12" i="2"/>
  <c r="AN12" i="2" s="1"/>
  <c r="AM28" i="2"/>
  <c r="AN28" i="2" s="1"/>
  <c r="AM45" i="2"/>
  <c r="AN45" i="2" s="1"/>
  <c r="AM61" i="2"/>
  <c r="AN61" i="2" s="1"/>
  <c r="AM13" i="2"/>
  <c r="AN13" i="2" s="1"/>
  <c r="AM73" i="2"/>
  <c r="AN73" i="2" s="1"/>
  <c r="AM149" i="2"/>
  <c r="AN149" i="2" s="1"/>
  <c r="AM169" i="2"/>
  <c r="AN169" i="2" s="1"/>
  <c r="AM185" i="2"/>
  <c r="AN185" i="2" s="1"/>
  <c r="AM41" i="2"/>
  <c r="AN41" i="2" s="1"/>
  <c r="AM78" i="2"/>
  <c r="AN78" i="2" s="1"/>
  <c r="AM35" i="2"/>
  <c r="AN35" i="2" s="1"/>
  <c r="AM80" i="2"/>
  <c r="AN80" i="2" s="1"/>
  <c r="AM107" i="2"/>
  <c r="AN107" i="2" s="1"/>
  <c r="AM137" i="2"/>
  <c r="AN137" i="2" s="1"/>
  <c r="AM188" i="2"/>
  <c r="AN188" i="2" s="1"/>
  <c r="AM4" i="2"/>
  <c r="AN4" i="2" s="1"/>
  <c r="AM48" i="2"/>
  <c r="AN48" i="2" s="1"/>
  <c r="AM10" i="2"/>
  <c r="AN10" i="2" s="1"/>
  <c r="AM39" i="2"/>
  <c r="AN39" i="2" s="1"/>
  <c r="AM70" i="2"/>
  <c r="AN70" i="2" s="1"/>
  <c r="AM85" i="2"/>
  <c r="AN85" i="2" s="1"/>
  <c r="AM89" i="2"/>
  <c r="AN89" i="2" s="1"/>
  <c r="AM113" i="2"/>
  <c r="AN113" i="2" s="1"/>
  <c r="AM128" i="2"/>
  <c r="AN128" i="2" s="1"/>
  <c r="AM143" i="2"/>
  <c r="AN143" i="2" s="1"/>
  <c r="AM159" i="2"/>
  <c r="AN159" i="2" s="1"/>
  <c r="AM178" i="2"/>
  <c r="AN178" i="2" s="1"/>
  <c r="AM201" i="2"/>
  <c r="AN201" i="2" s="1"/>
  <c r="AM5" i="2"/>
  <c r="AN5" i="2" s="1"/>
  <c r="AM72" i="2"/>
  <c r="AN72" i="2" s="1"/>
  <c r="AM90" i="2"/>
  <c r="AN90" i="2" s="1"/>
  <c r="AM98" i="2"/>
  <c r="AN98" i="2" s="1"/>
  <c r="AM106" i="2"/>
  <c r="AN106" i="2" s="1"/>
  <c r="AM60" i="2"/>
  <c r="AN60" i="2" s="1"/>
  <c r="AM152" i="2"/>
  <c r="AN152" i="2" s="1"/>
  <c r="AM209" i="2"/>
  <c r="AN209" i="2" s="1"/>
  <c r="AM92" i="2"/>
  <c r="AN92" i="2" s="1"/>
  <c r="AM184" i="2"/>
  <c r="AN184" i="2" s="1"/>
  <c r="AM165" i="2"/>
  <c r="AN165" i="2" s="1"/>
  <c r="AM40" i="2"/>
  <c r="AN40" i="2" s="1"/>
  <c r="AM160" i="2"/>
  <c r="AN160" i="2" s="1"/>
  <c r="AM53" i="2"/>
  <c r="AN53" i="2" s="1"/>
  <c r="AM95" i="2"/>
  <c r="AN95" i="2" s="1"/>
  <c r="AM11" i="2"/>
  <c r="AN11" i="2" s="1"/>
  <c r="AM91" i="2"/>
  <c r="AN91" i="2" s="1"/>
  <c r="AM208" i="2"/>
  <c r="AN208" i="2" s="1"/>
  <c r="AM54" i="2"/>
  <c r="AN54" i="2" s="1"/>
  <c r="AM97" i="2"/>
  <c r="AN97" i="2" s="1"/>
  <c r="AM163" i="2"/>
  <c r="AN163" i="2" s="1"/>
  <c r="AM94" i="2"/>
  <c r="AN94" i="2" s="1"/>
  <c r="AM103" i="2"/>
  <c r="AN103" i="2" s="1"/>
  <c r="AM119" i="2"/>
  <c r="AN119" i="2" s="1"/>
  <c r="AM141" i="2"/>
  <c r="AN141" i="2" s="1"/>
  <c r="AM192" i="2"/>
  <c r="AN192" i="2" s="1"/>
  <c r="AM204" i="2"/>
  <c r="AN204" i="2" s="1"/>
  <c r="AM71" i="2"/>
  <c r="AN71" i="2" s="1"/>
  <c r="AM47" i="2"/>
  <c r="AN47" i="2" s="1"/>
  <c r="AM116" i="2"/>
  <c r="AN116" i="2" s="1"/>
  <c r="AM129" i="2"/>
  <c r="AN129" i="2" s="1"/>
  <c r="AM144" i="2"/>
  <c r="AN144" i="2" s="1"/>
  <c r="AM158" i="2"/>
  <c r="AN158" i="2" s="1"/>
  <c r="AM180" i="2"/>
  <c r="AN180" i="2" s="1"/>
  <c r="AM202" i="2"/>
  <c r="AN202" i="2" s="1"/>
  <c r="AM16" i="2"/>
  <c r="AN16" i="2" s="1"/>
  <c r="AM57" i="2"/>
  <c r="AN57" i="2" s="1"/>
  <c r="AM146" i="2"/>
  <c r="AN146" i="2" s="1"/>
  <c r="AM32" i="2"/>
  <c r="AN32" i="2" s="1"/>
  <c r="AM62" i="2"/>
  <c r="AN62" i="2" s="1"/>
  <c r="AM93" i="2"/>
  <c r="AN93" i="2" s="1"/>
  <c r="AM109" i="2"/>
  <c r="AN109" i="2" s="1"/>
  <c r="AM124" i="2"/>
  <c r="AN124" i="2" s="1"/>
  <c r="AM139" i="2"/>
  <c r="AN139" i="2" s="1"/>
  <c r="AM155" i="2"/>
  <c r="AN155" i="2" s="1"/>
  <c r="AM174" i="2"/>
  <c r="AN174" i="2" s="1"/>
  <c r="AM198" i="2"/>
  <c r="AN198" i="2" s="1"/>
  <c r="AM194" i="2"/>
  <c r="AN194" i="2" s="1"/>
  <c r="AM8" i="2"/>
  <c r="AN8" i="2" s="1"/>
  <c r="AM37" i="2"/>
  <c r="AN37" i="2" s="1"/>
  <c r="AM68" i="2"/>
  <c r="AN68" i="2" s="1"/>
  <c r="AM7" i="2"/>
  <c r="AN7" i="2" s="1"/>
  <c r="AM51" i="2"/>
  <c r="AN51" i="2" s="1"/>
  <c r="AM114" i="2"/>
  <c r="AN114" i="2" s="1"/>
  <c r="AM125" i="2"/>
  <c r="AN125" i="2" s="1"/>
  <c r="AM140" i="2"/>
  <c r="AN140" i="2" s="1"/>
  <c r="AM154" i="2"/>
  <c r="AN154" i="2" s="1"/>
  <c r="AM168" i="2"/>
  <c r="AN168" i="2" s="1"/>
  <c r="AM179" i="2"/>
  <c r="AN179" i="2" s="1"/>
  <c r="AM189" i="2"/>
  <c r="AN189" i="2" s="1"/>
  <c r="AM74" i="2"/>
  <c r="AN74" i="2" s="1"/>
  <c r="AM187" i="2"/>
  <c r="AN187" i="2" s="1"/>
  <c r="AM83" i="2"/>
  <c r="AN83" i="2" s="1"/>
  <c r="AM108" i="2"/>
  <c r="AN108" i="2" s="1"/>
  <c r="AM145" i="2"/>
  <c r="AN145" i="2" s="1"/>
  <c r="AM64" i="2"/>
  <c r="AN64" i="2" s="1"/>
  <c r="AM142" i="2"/>
  <c r="AN142" i="2" s="1"/>
  <c r="AM20" i="2"/>
  <c r="AN20" i="2" s="1"/>
  <c r="AM43" i="2"/>
  <c r="AN43" i="2" s="1"/>
  <c r="AM181" i="2"/>
  <c r="AN181" i="2" s="1"/>
  <c r="AM6" i="2"/>
  <c r="AN6" i="2" s="1"/>
  <c r="AM161" i="2"/>
  <c r="AN161" i="2" s="1"/>
  <c r="AM79" i="2"/>
  <c r="AN79" i="2" s="1"/>
  <c r="AM87" i="2"/>
  <c r="AN87" i="2" s="1"/>
  <c r="AM135" i="2"/>
  <c r="AN135" i="2" s="1"/>
  <c r="AM86" i="2"/>
  <c r="AN86" i="2" s="1"/>
  <c r="AM110" i="2"/>
  <c r="AN110" i="2" s="1"/>
  <c r="AM58" i="2"/>
  <c r="AN58" i="2" s="1"/>
  <c r="AM111" i="2"/>
  <c r="AN111" i="2" s="1"/>
  <c r="AM126" i="2"/>
  <c r="AN126" i="2" s="1"/>
  <c r="AM176" i="2"/>
  <c r="AN176" i="2" s="1"/>
  <c r="AM200" i="2"/>
  <c r="AN200" i="2" s="1"/>
  <c r="AM27" i="2"/>
  <c r="AN27" i="2" s="1"/>
  <c r="AM18" i="2"/>
  <c r="AN18" i="2" s="1"/>
  <c r="AM63" i="2"/>
  <c r="AN63" i="2" s="1"/>
  <c r="AM120" i="2"/>
  <c r="AN120" i="2" s="1"/>
  <c r="AM133" i="2"/>
  <c r="AN133" i="2" s="1"/>
  <c r="AM148" i="2"/>
  <c r="AN148" i="2" s="1"/>
  <c r="AM177" i="2"/>
  <c r="AN177" i="2" s="1"/>
  <c r="AM199" i="2"/>
  <c r="AN199" i="2" s="1"/>
  <c r="AM205" i="2"/>
  <c r="AN205" i="2" s="1"/>
  <c r="AM24" i="2"/>
  <c r="AN24" i="2" s="1"/>
  <c r="AM49" i="2"/>
  <c r="AN49" i="2" s="1"/>
  <c r="AM65" i="2"/>
  <c r="AN65" i="2" s="1"/>
  <c r="AM17" i="2"/>
  <c r="AN17" i="2" s="1"/>
  <c r="AM46" i="2"/>
  <c r="AN46" i="2" s="1"/>
  <c r="AM77" i="2"/>
  <c r="AN77" i="2" s="1"/>
  <c r="AM101" i="2"/>
  <c r="AN101" i="2" s="1"/>
  <c r="AM117" i="2"/>
  <c r="AN117" i="2" s="1"/>
  <c r="AM132" i="2"/>
  <c r="AN132" i="2" s="1"/>
  <c r="AM147" i="2"/>
  <c r="AN147" i="2" s="1"/>
  <c r="AM167" i="2"/>
  <c r="AN167" i="2" s="1"/>
  <c r="AM190" i="2"/>
  <c r="AN190" i="2" s="1"/>
  <c r="AM206" i="2"/>
  <c r="AN206" i="2" s="1"/>
  <c r="AM23" i="2"/>
  <c r="AN23" i="2" s="1"/>
  <c r="AM52" i="2"/>
  <c r="AN52" i="2" s="1"/>
  <c r="AM82" i="2"/>
  <c r="AN82" i="2" s="1"/>
  <c r="AM22" i="2"/>
  <c r="AN22" i="2" s="1"/>
  <c r="AM67" i="2"/>
  <c r="AN67" i="2" s="1"/>
  <c r="AM122" i="2"/>
  <c r="AN122" i="2" s="1"/>
  <c r="AM136" i="2"/>
  <c r="AN136" i="2" s="1"/>
  <c r="AM150" i="2"/>
  <c r="AN150" i="2" s="1"/>
  <c r="AM164" i="2"/>
  <c r="AN164" i="2" s="1"/>
  <c r="AM173" i="2"/>
  <c r="AN173" i="2" s="1"/>
  <c r="AM191" i="2"/>
  <c r="AN191" i="2" s="1"/>
  <c r="AM30" i="2"/>
  <c r="AN30" i="2" s="1"/>
  <c r="AM14" i="2"/>
  <c r="AN14" i="2" s="1"/>
  <c r="AM134" i="2"/>
  <c r="AN134" i="2" s="1"/>
  <c r="AM171" i="2"/>
  <c r="AN171" i="2" s="1"/>
  <c r="AM197" i="2"/>
  <c r="AN197" i="2" s="1"/>
  <c r="AM42" i="2"/>
  <c r="AN42" i="2" s="1"/>
  <c r="AM100" i="2"/>
  <c r="AN100" i="2" s="1"/>
  <c r="AM29" i="2"/>
  <c r="AN29" i="2" s="1"/>
  <c r="AM66" i="2"/>
  <c r="AN66" i="2" s="1"/>
  <c r="AM196" i="2"/>
  <c r="AN196" i="2" s="1"/>
  <c r="AM81" i="2"/>
  <c r="AN81" i="2" s="1"/>
  <c r="AM127" i="2"/>
  <c r="AN127" i="2" s="1"/>
  <c r="AM182" i="2"/>
  <c r="AN182" i="2" s="1"/>
  <c r="AM34" i="2"/>
  <c r="AN34" i="2" s="1"/>
  <c r="AM69" i="2"/>
  <c r="AN69" i="2" s="1"/>
  <c r="AM157" i="2"/>
  <c r="AN157" i="2" s="1"/>
  <c r="AM56" i="2"/>
  <c r="AN56" i="2" s="1"/>
  <c r="AM50" i="2"/>
  <c r="AN50" i="2" s="1"/>
  <c r="AM130" i="2"/>
  <c r="AN130" i="2" s="1"/>
  <c r="AM33" i="2"/>
  <c r="AN33" i="2" s="1"/>
  <c r="AM25" i="2"/>
  <c r="AN25" i="2" s="1"/>
  <c r="AM84" i="2"/>
  <c r="AN84" i="2" s="1"/>
  <c r="AM121" i="2"/>
  <c r="AN121" i="2" s="1"/>
  <c r="AM151" i="2"/>
  <c r="AN151" i="2" s="1"/>
  <c r="AM183" i="2"/>
  <c r="AN183" i="2" s="1"/>
  <c r="AM207" i="2"/>
  <c r="AN207" i="2" s="1"/>
  <c r="AM38" i="2"/>
  <c r="AN38" i="2" s="1"/>
  <c r="AM102" i="2"/>
  <c r="AN102" i="2" s="1"/>
  <c r="P2" i="1"/>
  <c r="Q209" i="1" l="1"/>
  <c r="R209" i="1" s="1"/>
  <c r="S209" i="1" s="1"/>
  <c r="P209" i="1"/>
  <c r="N206" i="1"/>
  <c r="O206" i="1" s="1"/>
  <c r="M206" i="1"/>
  <c r="N83" i="1"/>
  <c r="M83" i="1"/>
  <c r="N49" i="1"/>
  <c r="M49" i="1"/>
  <c r="N33" i="1"/>
  <c r="M33" i="1"/>
  <c r="N195" i="1"/>
  <c r="O195" i="1" s="1"/>
  <c r="M195" i="1"/>
  <c r="N41" i="1"/>
  <c r="O41" i="1" s="1"/>
  <c r="M41" i="1"/>
  <c r="N13" i="1"/>
  <c r="M13" i="1"/>
  <c r="N172" i="1"/>
  <c r="O172" i="1" s="1"/>
  <c r="M172" i="1"/>
  <c r="N121" i="1"/>
  <c r="O121" i="1" s="1"/>
  <c r="M121" i="1"/>
  <c r="N51" i="1"/>
  <c r="M51" i="1"/>
  <c r="N166" i="1"/>
  <c r="O166" i="1" s="1"/>
  <c r="M166" i="1"/>
  <c r="N100" i="1"/>
  <c r="O100" i="1" s="1"/>
  <c r="M100" i="1"/>
  <c r="N64" i="1"/>
  <c r="M64" i="1"/>
  <c r="N198" i="1"/>
  <c r="O198" i="1" s="1"/>
  <c r="M198" i="1"/>
  <c r="N119" i="1"/>
  <c r="O119" i="1" s="1"/>
  <c r="M119" i="1"/>
  <c r="N199" i="1"/>
  <c r="O199" i="1" s="1"/>
  <c r="M199" i="1"/>
  <c r="N57" i="1"/>
  <c r="O57" i="1" s="1"/>
  <c r="M57" i="1"/>
  <c r="N86" i="1"/>
  <c r="O86" i="1" s="1"/>
  <c r="M86" i="1"/>
  <c r="N180" i="1"/>
  <c r="O180" i="1" s="1"/>
  <c r="M180" i="1"/>
  <c r="N63" i="1"/>
  <c r="M63" i="1"/>
  <c r="N186" i="1"/>
  <c r="O186" i="1" s="1"/>
  <c r="M186" i="1"/>
  <c r="N167" i="1"/>
  <c r="O167" i="1" s="1"/>
  <c r="M167" i="1"/>
  <c r="N113" i="1"/>
  <c r="M113" i="1"/>
  <c r="N36" i="1"/>
  <c r="M36" i="1"/>
  <c r="N173" i="1"/>
  <c r="O173" i="1" s="1"/>
  <c r="M173" i="1"/>
  <c r="N108" i="1"/>
  <c r="O108" i="1" s="1"/>
  <c r="M108" i="1"/>
  <c r="N145" i="1"/>
  <c r="M145" i="1"/>
  <c r="N201" i="1"/>
  <c r="O201" i="1" s="1"/>
  <c r="M201" i="1"/>
  <c r="N128" i="1"/>
  <c r="O128" i="1" s="1"/>
  <c r="M128" i="1"/>
  <c r="N203" i="1"/>
  <c r="O203" i="1" s="1"/>
  <c r="M203" i="1"/>
  <c r="N102" i="1"/>
  <c r="O102" i="1" s="1"/>
  <c r="M102" i="1"/>
  <c r="N53" i="1"/>
  <c r="M53" i="1"/>
  <c r="N94" i="1"/>
  <c r="O94" i="1" s="1"/>
  <c r="M94" i="1"/>
  <c r="N164" i="1"/>
  <c r="M164" i="1"/>
  <c r="N151" i="1"/>
  <c r="O151" i="1" s="1"/>
  <c r="M151" i="1"/>
  <c r="N89" i="1"/>
  <c r="O89" i="1" s="1"/>
  <c r="M89" i="1"/>
  <c r="N177" i="1"/>
  <c r="M177" i="1"/>
  <c r="N112" i="1"/>
  <c r="O112" i="1" s="1"/>
  <c r="M112" i="1"/>
  <c r="N38" i="1"/>
  <c r="M38" i="1"/>
  <c r="N187" i="1"/>
  <c r="O187" i="1" s="1"/>
  <c r="M187" i="1"/>
  <c r="N34" i="1"/>
  <c r="M34" i="1"/>
  <c r="N168" i="1"/>
  <c r="M168" i="1"/>
  <c r="N60" i="1"/>
  <c r="O60" i="1" s="1"/>
  <c r="M60" i="1"/>
  <c r="N169" i="1"/>
  <c r="M169" i="1"/>
  <c r="N54" i="1"/>
  <c r="M54" i="1"/>
  <c r="N152" i="1"/>
  <c r="M152" i="1"/>
  <c r="N111" i="1"/>
  <c r="O111" i="1" s="1"/>
  <c r="M111" i="1"/>
  <c r="N75" i="1"/>
  <c r="M75" i="1"/>
  <c r="N174" i="1"/>
  <c r="M174" i="1"/>
  <c r="N58" i="1"/>
  <c r="O58" i="1" s="1"/>
  <c r="M58" i="1"/>
  <c r="N104" i="1"/>
  <c r="O104" i="1" s="1"/>
  <c r="M104" i="1"/>
  <c r="N182" i="1"/>
  <c r="O182" i="1" s="1"/>
  <c r="M182" i="1"/>
  <c r="N24" i="1"/>
  <c r="M24" i="1"/>
  <c r="N55" i="1"/>
  <c r="M55" i="1"/>
  <c r="N181" i="1"/>
  <c r="O181" i="1" s="1"/>
  <c r="M181" i="1"/>
  <c r="N65" i="1"/>
  <c r="M65" i="1"/>
  <c r="N196" i="1"/>
  <c r="M196" i="1"/>
  <c r="N29" i="1"/>
  <c r="M29" i="1"/>
  <c r="N163" i="1"/>
  <c r="O163" i="1" s="1"/>
  <c r="M163" i="1"/>
  <c r="N66" i="1"/>
  <c r="O66" i="1" s="1"/>
  <c r="M66" i="1"/>
  <c r="N22" i="1"/>
  <c r="M22" i="1"/>
  <c r="N146" i="1"/>
  <c r="O146" i="1" s="1"/>
  <c r="M146" i="1"/>
  <c r="N76" i="1"/>
  <c r="M76" i="1"/>
  <c r="N48" i="1"/>
  <c r="M48" i="1"/>
  <c r="N176" i="1"/>
  <c r="O176" i="1" s="1"/>
  <c r="M176" i="1"/>
  <c r="N62" i="1"/>
  <c r="M62" i="1"/>
  <c r="N175" i="1"/>
  <c r="O175" i="1" s="1"/>
  <c r="M175" i="1"/>
  <c r="N109" i="1"/>
  <c r="M109" i="1"/>
  <c r="N78" i="1"/>
  <c r="M78" i="1"/>
  <c r="N42" i="1"/>
  <c r="M42" i="1"/>
  <c r="N144" i="1"/>
  <c r="O144" i="1" s="1"/>
  <c r="M144" i="1"/>
  <c r="N73" i="1"/>
  <c r="M73" i="1"/>
  <c r="N153" i="1"/>
  <c r="O153" i="1" s="1"/>
  <c r="M153" i="1"/>
  <c r="N50" i="1"/>
  <c r="M50" i="1"/>
  <c r="N7" i="1"/>
  <c r="M7" i="1"/>
  <c r="N154" i="1"/>
  <c r="M154" i="1"/>
  <c r="N92" i="1"/>
  <c r="O92" i="1" s="1"/>
  <c r="M92" i="1"/>
  <c r="N56" i="1"/>
  <c r="M56" i="1"/>
  <c r="N179" i="1"/>
  <c r="O179" i="1" s="1"/>
  <c r="M179" i="1"/>
  <c r="N115" i="1"/>
  <c r="O115" i="1" s="1"/>
  <c r="M115" i="1"/>
  <c r="N191" i="1"/>
  <c r="O191" i="1" s="1"/>
  <c r="M191" i="1"/>
  <c r="N93" i="1"/>
  <c r="O93" i="1" s="1"/>
  <c r="M93" i="1"/>
  <c r="N207" i="1"/>
  <c r="O207" i="1" s="1"/>
  <c r="M207" i="1"/>
  <c r="N52" i="1"/>
  <c r="M52" i="1"/>
  <c r="N183" i="1"/>
  <c r="O183" i="1" s="1"/>
  <c r="M183" i="1"/>
  <c r="N59" i="1"/>
  <c r="O59" i="1" s="1"/>
  <c r="M59" i="1"/>
  <c r="N71" i="1"/>
  <c r="M71" i="1"/>
  <c r="N158" i="1"/>
  <c r="O158" i="1" s="1"/>
  <c r="M158" i="1"/>
  <c r="N88" i="1"/>
  <c r="O88" i="1" s="1"/>
  <c r="M88" i="1"/>
  <c r="N9" i="1"/>
  <c r="M9" i="1"/>
  <c r="N136" i="1"/>
  <c r="O136" i="1" s="1"/>
  <c r="M136" i="1"/>
  <c r="N77" i="1"/>
  <c r="M77" i="1"/>
  <c r="N148" i="1"/>
  <c r="O148" i="1" s="1"/>
  <c r="M148" i="1"/>
  <c r="N44" i="1"/>
  <c r="M44" i="1"/>
  <c r="N155" i="1"/>
  <c r="O155" i="1" s="1"/>
  <c r="M155" i="1"/>
  <c r="N25" i="1"/>
  <c r="M25" i="1"/>
  <c r="N98" i="1"/>
  <c r="M98" i="1"/>
  <c r="N103" i="1"/>
  <c r="M103" i="1"/>
  <c r="N8" i="1"/>
  <c r="M8" i="1"/>
  <c r="N165" i="1"/>
  <c r="O165" i="1" s="1"/>
  <c r="M165" i="1"/>
  <c r="N74" i="1"/>
  <c r="M74" i="1"/>
  <c r="N35" i="1"/>
  <c r="M35" i="1"/>
  <c r="N37" i="1"/>
  <c r="M37" i="1"/>
  <c r="N120" i="1"/>
  <c r="O120" i="1" s="1"/>
  <c r="M120" i="1"/>
  <c r="N129" i="1"/>
  <c r="M129" i="1"/>
  <c r="N68" i="1"/>
  <c r="M68" i="1"/>
  <c r="N80" i="1"/>
  <c r="M80" i="1"/>
  <c r="N99" i="1"/>
  <c r="O99" i="1" s="1"/>
  <c r="M99" i="1"/>
  <c r="N133" i="1"/>
  <c r="O133" i="1" s="1"/>
  <c r="M133" i="1"/>
  <c r="N135" i="1"/>
  <c r="O135" i="1" s="1"/>
  <c r="M135" i="1"/>
  <c r="N81" i="1"/>
  <c r="M81" i="1"/>
  <c r="N189" i="1"/>
  <c r="M189" i="1"/>
  <c r="N116" i="1"/>
  <c r="O116" i="1" s="1"/>
  <c r="M116" i="1"/>
  <c r="N16" i="1"/>
  <c r="M16" i="1"/>
  <c r="N204" i="1"/>
  <c r="O204" i="1" s="1"/>
  <c r="M204" i="1"/>
  <c r="N132" i="1"/>
  <c r="O132" i="1" s="1"/>
  <c r="M132" i="1"/>
  <c r="N26" i="1"/>
  <c r="M26" i="1"/>
  <c r="N110" i="1"/>
  <c r="O110" i="1" s="1"/>
  <c r="M110" i="1"/>
  <c r="N134" i="1"/>
  <c r="O134" i="1" s="1"/>
  <c r="M134" i="1"/>
  <c r="N5" i="1"/>
  <c r="O5" i="1" s="1"/>
  <c r="M5" i="1"/>
  <c r="N141" i="1"/>
  <c r="M141" i="1"/>
  <c r="N82" i="1"/>
  <c r="M82" i="1"/>
  <c r="N178" i="1"/>
  <c r="M178" i="1"/>
  <c r="N124" i="1"/>
  <c r="O124" i="1" s="1"/>
  <c r="M124" i="1"/>
  <c r="N67" i="1"/>
  <c r="M67" i="1"/>
  <c r="N197" i="1"/>
  <c r="M197" i="1"/>
  <c r="N123" i="1"/>
  <c r="O123" i="1" s="1"/>
  <c r="M123" i="1"/>
  <c r="N31" i="1"/>
  <c r="M31" i="1"/>
  <c r="N15" i="1"/>
  <c r="O15" i="1" s="1"/>
  <c r="M15" i="1"/>
  <c r="N143" i="1"/>
  <c r="O143" i="1" s="1"/>
  <c r="M143" i="1"/>
  <c r="N70" i="1"/>
  <c r="M70" i="1"/>
  <c r="N118" i="1"/>
  <c r="M118" i="1"/>
  <c r="N96" i="1"/>
  <c r="O96" i="1" s="1"/>
  <c r="M96" i="1"/>
  <c r="N10" i="1"/>
  <c r="M10" i="1"/>
  <c r="N39" i="1"/>
  <c r="M39" i="1"/>
  <c r="N208" i="1"/>
  <c r="O208" i="1" s="1"/>
  <c r="M208" i="1"/>
  <c r="N97" i="1"/>
  <c r="O97" i="1" s="1"/>
  <c r="M97" i="1"/>
  <c r="N200" i="1"/>
  <c r="O200" i="1" s="1"/>
  <c r="M200" i="1"/>
  <c r="N127" i="1"/>
  <c r="O127" i="1" s="1"/>
  <c r="M127" i="1"/>
  <c r="N69" i="1"/>
  <c r="M69" i="1"/>
  <c r="N3" i="1"/>
  <c r="M3" i="1"/>
  <c r="N79" i="1"/>
  <c r="M79" i="1"/>
  <c r="N184" i="1"/>
  <c r="O184" i="1" s="1"/>
  <c r="M184" i="1"/>
  <c r="N12" i="1"/>
  <c r="O12" i="1" s="1"/>
  <c r="M12" i="1"/>
  <c r="N11" i="1"/>
  <c r="M11" i="1"/>
  <c r="N117" i="1"/>
  <c r="M117" i="1"/>
  <c r="N171" i="1"/>
  <c r="O171" i="1" s="1"/>
  <c r="M171" i="1"/>
  <c r="N161" i="1"/>
  <c r="M161" i="1"/>
  <c r="N87" i="1"/>
  <c r="O87" i="1" s="1"/>
  <c r="M87" i="1"/>
  <c r="N192" i="1"/>
  <c r="O192" i="1" s="1"/>
  <c r="M192" i="1"/>
  <c r="N122" i="1"/>
  <c r="O122" i="1" s="1"/>
  <c r="M122" i="1"/>
  <c r="N14" i="1"/>
  <c r="O14" i="1" s="1"/>
  <c r="M14" i="1"/>
  <c r="N114" i="1"/>
  <c r="O114" i="1" s="1"/>
  <c r="M114" i="1"/>
  <c r="N194" i="1"/>
  <c r="O194" i="1" s="1"/>
  <c r="M194" i="1"/>
  <c r="N101" i="1"/>
  <c r="O101" i="1" s="1"/>
  <c r="M101" i="1"/>
  <c r="N150" i="1"/>
  <c r="O150" i="1" s="1"/>
  <c r="M150" i="1"/>
  <c r="N32" i="1"/>
  <c r="M32" i="1"/>
  <c r="N156" i="1"/>
  <c r="O156" i="1" s="1"/>
  <c r="M156" i="1"/>
  <c r="N126" i="1"/>
  <c r="O126" i="1" s="1"/>
  <c r="M126" i="1"/>
  <c r="N28" i="1"/>
  <c r="M28" i="1"/>
  <c r="N170" i="1"/>
  <c r="O170" i="1" s="1"/>
  <c r="M170" i="1"/>
  <c r="N190" i="1"/>
  <c r="O190" i="1" s="1"/>
  <c r="M190" i="1"/>
  <c r="N149" i="1"/>
  <c r="O149" i="1" s="1"/>
  <c r="M149" i="1"/>
  <c r="N21" i="1"/>
  <c r="M21" i="1"/>
  <c r="N205" i="1"/>
  <c r="O205" i="1" s="1"/>
  <c r="M205" i="1"/>
  <c r="N131" i="1"/>
  <c r="O131" i="1" s="1"/>
  <c r="M131" i="1"/>
  <c r="N45" i="1"/>
  <c r="M45" i="1"/>
  <c r="N23" i="1"/>
  <c r="M23" i="1"/>
  <c r="N147" i="1"/>
  <c r="O147" i="1" s="1"/>
  <c r="M147" i="1"/>
  <c r="N17" i="1"/>
  <c r="M17" i="1"/>
  <c r="N125" i="1"/>
  <c r="M125" i="1"/>
  <c r="N85" i="1"/>
  <c r="O85" i="1" s="1"/>
  <c r="M85" i="1"/>
  <c r="N160" i="1"/>
  <c r="O160" i="1" s="1"/>
  <c r="M160" i="1"/>
  <c r="N19" i="1"/>
  <c r="M19" i="1"/>
  <c r="N107" i="1"/>
  <c r="O107" i="1" s="1"/>
  <c r="M107" i="1"/>
  <c r="N188" i="1"/>
  <c r="O188" i="1" s="1"/>
  <c r="M188" i="1"/>
  <c r="N139" i="1"/>
  <c r="O139" i="1" s="1"/>
  <c r="M139" i="1"/>
  <c r="N6" i="1"/>
  <c r="M6" i="1"/>
  <c r="N193" i="1"/>
  <c r="O193" i="1" s="1"/>
  <c r="M193" i="1"/>
  <c r="N138" i="1"/>
  <c r="O138" i="1" s="1"/>
  <c r="M138" i="1"/>
  <c r="N61" i="1"/>
  <c r="M61" i="1"/>
  <c r="N30" i="1"/>
  <c r="M30" i="1"/>
  <c r="N157" i="1"/>
  <c r="O157" i="1" s="1"/>
  <c r="M157" i="1"/>
  <c r="N46" i="1"/>
  <c r="M46" i="1"/>
  <c r="N140" i="1"/>
  <c r="O140" i="1" s="1"/>
  <c r="M140" i="1"/>
  <c r="N162" i="1"/>
  <c r="M162" i="1"/>
  <c r="N90" i="1"/>
  <c r="O90" i="1" s="1"/>
  <c r="M90" i="1"/>
  <c r="N159" i="1"/>
  <c r="O159" i="1" s="1"/>
  <c r="M159" i="1"/>
  <c r="N91" i="1"/>
  <c r="O91" i="1" s="1"/>
  <c r="M91" i="1"/>
  <c r="N105" i="1"/>
  <c r="O105" i="1" s="1"/>
  <c r="M105" i="1"/>
  <c r="N4" i="1"/>
  <c r="M4" i="1"/>
  <c r="N142" i="1"/>
  <c r="O142" i="1" s="1"/>
  <c r="M142" i="1"/>
  <c r="N84" i="1"/>
  <c r="O84" i="1" s="1"/>
  <c r="M84" i="1"/>
  <c r="N47" i="1"/>
  <c r="M47" i="1"/>
  <c r="N106" i="1"/>
  <c r="O106" i="1" s="1"/>
  <c r="M106" i="1"/>
  <c r="N40" i="1"/>
  <c r="O40" i="1" s="1"/>
  <c r="M40" i="1"/>
  <c r="N72" i="1"/>
  <c r="M72" i="1"/>
  <c r="N27" i="1"/>
  <c r="M27" i="1"/>
  <c r="N130" i="1"/>
  <c r="O130" i="1" s="1"/>
  <c r="M130" i="1"/>
  <c r="N18" i="1"/>
  <c r="M18" i="1"/>
  <c r="N20" i="1"/>
  <c r="M20" i="1"/>
  <c r="N95" i="1"/>
  <c r="M95" i="1"/>
  <c r="N202" i="1"/>
  <c r="O202" i="1" s="1"/>
  <c r="M202" i="1"/>
  <c r="N137" i="1"/>
  <c r="O137" i="1" s="1"/>
  <c r="M137" i="1"/>
  <c r="N43" i="1"/>
  <c r="M43" i="1"/>
  <c r="N185" i="1"/>
  <c r="O185" i="1" s="1"/>
  <c r="M185" i="1"/>
  <c r="N2" i="1"/>
  <c r="M2" i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Q127" i="1" l="1"/>
  <c r="R127" i="1" s="1"/>
  <c r="S127" i="1" s="1"/>
  <c r="P127" i="1"/>
  <c r="P137" i="1"/>
  <c r="Q137" i="1"/>
  <c r="R137" i="1" s="1"/>
  <c r="S137" i="1" s="1"/>
  <c r="Q40" i="1"/>
  <c r="R40" i="1" s="1"/>
  <c r="S40" i="1" s="1"/>
  <c r="P40" i="1"/>
  <c r="P159" i="1"/>
  <c r="Q159" i="1"/>
  <c r="R159" i="1" s="1"/>
  <c r="S159" i="1" s="1"/>
  <c r="Q138" i="1"/>
  <c r="R138" i="1" s="1"/>
  <c r="S138" i="1" s="1"/>
  <c r="P138" i="1"/>
  <c r="Q190" i="1"/>
  <c r="R190" i="1" s="1"/>
  <c r="S190" i="1" s="1"/>
  <c r="P190" i="1"/>
  <c r="Q150" i="1"/>
  <c r="R150" i="1" s="1"/>
  <c r="S150" i="1" s="1"/>
  <c r="P150" i="1"/>
  <c r="P200" i="1"/>
  <c r="Q200" i="1"/>
  <c r="R200" i="1" s="1"/>
  <c r="S200" i="1" s="1"/>
  <c r="P110" i="1"/>
  <c r="Q110" i="1"/>
  <c r="R110" i="1" s="1"/>
  <c r="S110" i="1" s="1"/>
  <c r="P135" i="1"/>
  <c r="Q135" i="1"/>
  <c r="R135" i="1" s="1"/>
  <c r="S135" i="1" s="1"/>
  <c r="P165" i="1"/>
  <c r="Q165" i="1"/>
  <c r="R165" i="1" s="1"/>
  <c r="S165" i="1" s="1"/>
  <c r="Q146" i="1"/>
  <c r="R146" i="1" s="1"/>
  <c r="S146" i="1" s="1"/>
  <c r="P146" i="1"/>
  <c r="P151" i="1"/>
  <c r="Q151" i="1"/>
  <c r="R151" i="1" s="1"/>
  <c r="S151" i="1" s="1"/>
  <c r="P186" i="1"/>
  <c r="Q186" i="1"/>
  <c r="R186" i="1" s="1"/>
  <c r="S186" i="1" s="1"/>
  <c r="P206" i="1"/>
  <c r="Q206" i="1"/>
  <c r="R206" i="1" s="1"/>
  <c r="S206" i="1" s="1"/>
  <c r="P185" i="1"/>
  <c r="Q185" i="1"/>
  <c r="R185" i="1" s="1"/>
  <c r="S185" i="1" s="1"/>
  <c r="Q142" i="1"/>
  <c r="R142" i="1" s="1"/>
  <c r="S142" i="1" s="1"/>
  <c r="P142" i="1"/>
  <c r="P105" i="1"/>
  <c r="Q105" i="1"/>
  <c r="R105" i="1" s="1"/>
  <c r="S105" i="1" s="1"/>
  <c r="P188" i="1"/>
  <c r="Q188" i="1"/>
  <c r="R188" i="1" s="1"/>
  <c r="S188" i="1" s="1"/>
  <c r="P85" i="1"/>
  <c r="Q85" i="1"/>
  <c r="R85" i="1" s="1"/>
  <c r="S85" i="1" s="1"/>
  <c r="Q131" i="1"/>
  <c r="R131" i="1" s="1"/>
  <c r="S131" i="1" s="1"/>
  <c r="P131" i="1"/>
  <c r="Q156" i="1"/>
  <c r="R156" i="1" s="1"/>
  <c r="S156" i="1" s="1"/>
  <c r="P156" i="1"/>
  <c r="Q194" i="1"/>
  <c r="R194" i="1" s="1"/>
  <c r="S194" i="1" s="1"/>
  <c r="P194" i="1"/>
  <c r="P192" i="1"/>
  <c r="Q192" i="1"/>
  <c r="R192" i="1" s="1"/>
  <c r="S192" i="1" s="1"/>
  <c r="Q12" i="1"/>
  <c r="R12" i="1" s="1"/>
  <c r="S12" i="1" s="1"/>
  <c r="P12" i="1"/>
  <c r="P208" i="1"/>
  <c r="Q208" i="1"/>
  <c r="R208" i="1" s="1"/>
  <c r="S208" i="1" s="1"/>
  <c r="P143" i="1"/>
  <c r="Q143" i="1"/>
  <c r="R143" i="1" s="1"/>
  <c r="S143" i="1" s="1"/>
  <c r="P124" i="1"/>
  <c r="Q124" i="1"/>
  <c r="R124" i="1" s="1"/>
  <c r="S124" i="1" s="1"/>
  <c r="P132" i="1"/>
  <c r="Q132" i="1"/>
  <c r="R132" i="1" s="1"/>
  <c r="S132" i="1" s="1"/>
  <c r="P133" i="1"/>
  <c r="Q133" i="1"/>
  <c r="R133" i="1" s="1"/>
  <c r="S133" i="1" s="1"/>
  <c r="P158" i="1"/>
  <c r="Q158" i="1"/>
  <c r="R158" i="1" s="1"/>
  <c r="S158" i="1" s="1"/>
  <c r="P93" i="1"/>
  <c r="Q93" i="1"/>
  <c r="R93" i="1" s="1"/>
  <c r="S93" i="1" s="1"/>
  <c r="P115" i="1"/>
  <c r="Q115" i="1"/>
  <c r="R115" i="1" s="1"/>
  <c r="S115" i="1" s="1"/>
  <c r="Q66" i="1"/>
  <c r="R66" i="1" s="1"/>
  <c r="S66" i="1" s="1"/>
  <c r="P66" i="1"/>
  <c r="Q182" i="1"/>
  <c r="R182" i="1" s="1"/>
  <c r="S182" i="1" s="1"/>
  <c r="P182" i="1"/>
  <c r="P111" i="1"/>
  <c r="Q111" i="1"/>
  <c r="R111" i="1" s="1"/>
  <c r="S111" i="1" s="1"/>
  <c r="P94" i="1"/>
  <c r="Q94" i="1"/>
  <c r="R94" i="1" s="1"/>
  <c r="S94" i="1" s="1"/>
  <c r="Q102" i="1"/>
  <c r="R102" i="1" s="1"/>
  <c r="S102" i="1" s="1"/>
  <c r="P102" i="1"/>
  <c r="Q128" i="1"/>
  <c r="R128" i="1" s="1"/>
  <c r="S128" i="1" s="1"/>
  <c r="P128" i="1"/>
  <c r="Q173" i="1"/>
  <c r="R173" i="1" s="1"/>
  <c r="S173" i="1" s="1"/>
  <c r="P173" i="1"/>
  <c r="Q180" i="1"/>
  <c r="R180" i="1" s="1"/>
  <c r="S180" i="1" s="1"/>
  <c r="P180" i="1"/>
  <c r="P119" i="1"/>
  <c r="Q119" i="1"/>
  <c r="R119" i="1" s="1"/>
  <c r="S119" i="1" s="1"/>
  <c r="P166" i="1"/>
  <c r="Q166" i="1"/>
  <c r="R166" i="1" s="1"/>
  <c r="S166" i="1" s="1"/>
  <c r="P121" i="1"/>
  <c r="Q121" i="1"/>
  <c r="R121" i="1" s="1"/>
  <c r="S121" i="1" s="1"/>
  <c r="Q195" i="1"/>
  <c r="R195" i="1" s="1"/>
  <c r="S195" i="1" s="1"/>
  <c r="P195" i="1"/>
  <c r="P202" i="1"/>
  <c r="Q202" i="1"/>
  <c r="R202" i="1" s="1"/>
  <c r="S202" i="1" s="1"/>
  <c r="P130" i="1"/>
  <c r="Q130" i="1"/>
  <c r="R130" i="1" s="1"/>
  <c r="S130" i="1" s="1"/>
  <c r="P106" i="1"/>
  <c r="Q106" i="1"/>
  <c r="R106" i="1" s="1"/>
  <c r="S106" i="1" s="1"/>
  <c r="Q84" i="1"/>
  <c r="R84" i="1" s="1"/>
  <c r="S84" i="1" s="1"/>
  <c r="P84" i="1"/>
  <c r="P91" i="1"/>
  <c r="Q91" i="1"/>
  <c r="R91" i="1" s="1"/>
  <c r="S91" i="1" s="1"/>
  <c r="Q90" i="1"/>
  <c r="R90" i="1" s="1"/>
  <c r="S90" i="1" s="1"/>
  <c r="P90" i="1"/>
  <c r="P140" i="1"/>
  <c r="Q140" i="1"/>
  <c r="R140" i="1" s="1"/>
  <c r="S140" i="1" s="1"/>
  <c r="P157" i="1"/>
  <c r="Q157" i="1"/>
  <c r="R157" i="1" s="1"/>
  <c r="S157" i="1" s="1"/>
  <c r="P193" i="1"/>
  <c r="Q193" i="1"/>
  <c r="R193" i="1" s="1"/>
  <c r="S193" i="1" s="1"/>
  <c r="P139" i="1"/>
  <c r="Q139" i="1"/>
  <c r="R139" i="1" s="1"/>
  <c r="S139" i="1" s="1"/>
  <c r="P107" i="1"/>
  <c r="Q107" i="1"/>
  <c r="R107" i="1" s="1"/>
  <c r="S107" i="1" s="1"/>
  <c r="P160" i="1"/>
  <c r="Q160" i="1"/>
  <c r="R160" i="1" s="1"/>
  <c r="S160" i="1" s="1"/>
  <c r="P147" i="1"/>
  <c r="Q147" i="1"/>
  <c r="R147" i="1" s="1"/>
  <c r="S147" i="1" s="1"/>
  <c r="Q205" i="1"/>
  <c r="R205" i="1" s="1"/>
  <c r="S205" i="1" s="1"/>
  <c r="P205" i="1"/>
  <c r="P149" i="1"/>
  <c r="Q149" i="1"/>
  <c r="R149" i="1" s="1"/>
  <c r="S149" i="1" s="1"/>
  <c r="P170" i="1"/>
  <c r="Q170" i="1"/>
  <c r="R170" i="1" s="1"/>
  <c r="S170" i="1" s="1"/>
  <c r="P126" i="1"/>
  <c r="Q126" i="1"/>
  <c r="R126" i="1" s="1"/>
  <c r="S126" i="1" s="1"/>
  <c r="P101" i="1"/>
  <c r="Q101" i="1"/>
  <c r="R101" i="1" s="1"/>
  <c r="S101" i="1" s="1"/>
  <c r="Q114" i="1"/>
  <c r="R114" i="1" s="1"/>
  <c r="S114" i="1" s="1"/>
  <c r="P114" i="1"/>
  <c r="P122" i="1"/>
  <c r="Q122" i="1"/>
  <c r="R122" i="1" s="1"/>
  <c r="S122" i="1" s="1"/>
  <c r="P87" i="1"/>
  <c r="Q87" i="1"/>
  <c r="R87" i="1" s="1"/>
  <c r="S87" i="1" s="1"/>
  <c r="P171" i="1"/>
  <c r="Q171" i="1"/>
  <c r="R171" i="1" s="1"/>
  <c r="S171" i="1" s="1"/>
  <c r="Q184" i="1"/>
  <c r="R184" i="1" s="1"/>
  <c r="S184" i="1" s="1"/>
  <c r="P184" i="1"/>
  <c r="P97" i="1"/>
  <c r="Q97" i="1"/>
  <c r="R97" i="1" s="1"/>
  <c r="S97" i="1" s="1"/>
  <c r="Q96" i="1"/>
  <c r="R96" i="1" s="1"/>
  <c r="S96" i="1" s="1"/>
  <c r="P96" i="1"/>
  <c r="Q15" i="1"/>
  <c r="R15" i="1" s="1"/>
  <c r="S15" i="1" s="1"/>
  <c r="P15" i="1"/>
  <c r="Q123" i="1"/>
  <c r="R123" i="1" s="1"/>
  <c r="S123" i="1" s="1"/>
  <c r="P123" i="1"/>
  <c r="Q134" i="1"/>
  <c r="R134" i="1" s="1"/>
  <c r="S134" i="1" s="1"/>
  <c r="P134" i="1"/>
  <c r="P204" i="1"/>
  <c r="Q204" i="1"/>
  <c r="R204" i="1" s="1"/>
  <c r="S204" i="1" s="1"/>
  <c r="Q116" i="1"/>
  <c r="R116" i="1" s="1"/>
  <c r="S116" i="1" s="1"/>
  <c r="P116" i="1"/>
  <c r="P99" i="1"/>
  <c r="Q99" i="1"/>
  <c r="R99" i="1" s="1"/>
  <c r="S99" i="1" s="1"/>
  <c r="Q120" i="1"/>
  <c r="R120" i="1" s="1"/>
  <c r="S120" i="1" s="1"/>
  <c r="P120" i="1"/>
  <c r="P155" i="1"/>
  <c r="Q155" i="1"/>
  <c r="R155" i="1" s="1"/>
  <c r="S155" i="1" s="1"/>
  <c r="P148" i="1"/>
  <c r="Q148" i="1"/>
  <c r="R148" i="1" s="1"/>
  <c r="S148" i="1" s="1"/>
  <c r="P136" i="1"/>
  <c r="Q136" i="1"/>
  <c r="R136" i="1" s="1"/>
  <c r="S136" i="1" s="1"/>
  <c r="Q88" i="1"/>
  <c r="R88" i="1" s="1"/>
  <c r="S88" i="1" s="1"/>
  <c r="P88" i="1"/>
  <c r="P183" i="1"/>
  <c r="Q183" i="1"/>
  <c r="R183" i="1" s="1"/>
  <c r="S183" i="1" s="1"/>
  <c r="P207" i="1"/>
  <c r="Q207" i="1"/>
  <c r="R207" i="1" s="1"/>
  <c r="S207" i="1" s="1"/>
  <c r="Q191" i="1"/>
  <c r="R191" i="1" s="1"/>
  <c r="S191" i="1" s="1"/>
  <c r="P191" i="1"/>
  <c r="Q179" i="1"/>
  <c r="R179" i="1" s="1"/>
  <c r="S179" i="1" s="1"/>
  <c r="P179" i="1"/>
  <c r="Q92" i="1"/>
  <c r="R92" i="1" s="1"/>
  <c r="S92" i="1" s="1"/>
  <c r="P92" i="1"/>
  <c r="P153" i="1"/>
  <c r="Q153" i="1"/>
  <c r="R153" i="1" s="1"/>
  <c r="S153" i="1" s="1"/>
  <c r="P144" i="1"/>
  <c r="Q144" i="1"/>
  <c r="R144" i="1" s="1"/>
  <c r="S144" i="1" s="1"/>
  <c r="P175" i="1"/>
  <c r="Q175" i="1"/>
  <c r="R175" i="1" s="1"/>
  <c r="S175" i="1" s="1"/>
  <c r="Q176" i="1"/>
  <c r="R176" i="1" s="1"/>
  <c r="S176" i="1" s="1"/>
  <c r="P176" i="1"/>
  <c r="P163" i="1"/>
  <c r="Q163" i="1"/>
  <c r="R163" i="1" s="1"/>
  <c r="S163" i="1" s="1"/>
  <c r="P181" i="1"/>
  <c r="Q181" i="1"/>
  <c r="R181" i="1" s="1"/>
  <c r="S181" i="1" s="1"/>
  <c r="Q187" i="1"/>
  <c r="R187" i="1" s="1"/>
  <c r="S187" i="1" s="1"/>
  <c r="P187" i="1"/>
  <c r="Q112" i="1"/>
  <c r="R112" i="1" s="1"/>
  <c r="S112" i="1" s="1"/>
  <c r="P112" i="1"/>
  <c r="P89" i="1"/>
  <c r="Q89" i="1"/>
  <c r="R89" i="1" s="1"/>
  <c r="S89" i="1" s="1"/>
  <c r="P203" i="1"/>
  <c r="Q203" i="1"/>
  <c r="R203" i="1" s="1"/>
  <c r="S203" i="1" s="1"/>
  <c r="Q201" i="1"/>
  <c r="R201" i="1" s="1"/>
  <c r="S201" i="1" s="1"/>
  <c r="P201" i="1"/>
  <c r="Q108" i="1"/>
  <c r="R108" i="1" s="1"/>
  <c r="S108" i="1" s="1"/>
  <c r="P108" i="1"/>
  <c r="P167" i="1"/>
  <c r="Q167" i="1"/>
  <c r="R167" i="1" s="1"/>
  <c r="S167" i="1" s="1"/>
  <c r="Q86" i="1"/>
  <c r="R86" i="1" s="1"/>
  <c r="S86" i="1" s="1"/>
  <c r="P86" i="1"/>
  <c r="Q199" i="1"/>
  <c r="R199" i="1" s="1"/>
  <c r="S199" i="1" s="1"/>
  <c r="P199" i="1"/>
  <c r="P198" i="1"/>
  <c r="Q198" i="1"/>
  <c r="R198" i="1" s="1"/>
  <c r="S198" i="1" s="1"/>
  <c r="Q100" i="1"/>
  <c r="R100" i="1" s="1"/>
  <c r="S100" i="1" s="1"/>
  <c r="P100" i="1"/>
  <c r="Q172" i="1"/>
  <c r="R172" i="1" s="1"/>
  <c r="S172" i="1" s="1"/>
  <c r="P172" i="1"/>
  <c r="P104" i="1"/>
  <c r="Q104" i="1"/>
  <c r="R104" i="1" s="1"/>
  <c r="S104" i="1" s="1"/>
  <c r="H7" i="1"/>
  <c r="I7" i="1" s="1"/>
  <c r="J7" i="1" s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H31" i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H38" i="1"/>
  <c r="I38" i="1" s="1"/>
  <c r="J38" i="1" s="1"/>
  <c r="H39" i="1"/>
  <c r="I39" i="1" s="1"/>
  <c r="J39" i="1" s="1"/>
  <c r="H40" i="1"/>
  <c r="H41" i="1"/>
  <c r="I41" i="1" s="1"/>
  <c r="J41" i="1" s="1"/>
  <c r="H42" i="1"/>
  <c r="I42" i="1" s="1"/>
  <c r="J42" i="1" s="1"/>
  <c r="H43" i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I58" i="1" s="1"/>
  <c r="J58" i="1" s="1"/>
  <c r="H59" i="1"/>
  <c r="I59" i="1" s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4" i="1"/>
  <c r="I4" i="1" s="1"/>
  <c r="J4" i="1" s="1"/>
  <c r="H5" i="1"/>
  <c r="I5" i="1" s="1"/>
  <c r="J5" i="1" s="1"/>
  <c r="H6" i="1"/>
  <c r="I6" i="1" s="1"/>
  <c r="J6" i="1" s="1"/>
  <c r="I40" i="1" l="1"/>
  <c r="J40" i="1" s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4" i="1"/>
  <c r="L76" i="1"/>
  <c r="L77" i="1"/>
  <c r="L78" i="1"/>
  <c r="L5" i="1"/>
  <c r="L79" i="1"/>
  <c r="L80" i="1"/>
  <c r="L81" i="1"/>
  <c r="L82" i="1"/>
  <c r="L83" i="1"/>
  <c r="L6" i="1"/>
  <c r="Q5" i="1" l="1"/>
  <c r="R5" i="1" s="1"/>
  <c r="S5" i="1" s="1"/>
  <c r="P5" i="1"/>
  <c r="O20" i="1" l="1"/>
  <c r="O34" i="1" l="1"/>
  <c r="O10" i="1"/>
  <c r="O19" i="1"/>
  <c r="O28" i="1"/>
  <c r="O7" i="1"/>
  <c r="O23" i="1"/>
  <c r="O18" i="1"/>
  <c r="O26" i="1"/>
  <c r="O24" i="1"/>
  <c r="O27" i="1"/>
  <c r="Q20" i="1"/>
  <c r="R20" i="1" s="1"/>
  <c r="S20" i="1" s="1"/>
  <c r="P20" i="1"/>
  <c r="O31" i="1"/>
  <c r="O22" i="1"/>
  <c r="O11" i="1"/>
  <c r="O83" i="1"/>
  <c r="O21" i="1"/>
  <c r="O29" i="1"/>
  <c r="O8" i="1"/>
  <c r="O25" i="1"/>
  <c r="O44" i="1"/>
  <c r="O67" i="1"/>
  <c r="O51" i="1"/>
  <c r="O61" i="1"/>
  <c r="Q60" i="1" l="1"/>
  <c r="R60" i="1" s="1"/>
  <c r="S60" i="1" s="1"/>
  <c r="P60" i="1"/>
  <c r="O71" i="1"/>
  <c r="Q61" i="1"/>
  <c r="R61" i="1" s="1"/>
  <c r="S61" i="1" s="1"/>
  <c r="P61" i="1"/>
  <c r="O63" i="1"/>
  <c r="O52" i="1"/>
  <c r="Q41" i="1"/>
  <c r="R41" i="1" s="1"/>
  <c r="S41" i="1" s="1"/>
  <c r="P41" i="1"/>
  <c r="O32" i="1"/>
  <c r="O49" i="1"/>
  <c r="O62" i="1"/>
  <c r="Q44" i="1"/>
  <c r="R44" i="1" s="1"/>
  <c r="S44" i="1" s="1"/>
  <c r="P44" i="1"/>
  <c r="O65" i="1"/>
  <c r="O53" i="1"/>
  <c r="O3" i="1"/>
  <c r="O68" i="1"/>
  <c r="O64" i="1"/>
  <c r="O45" i="1"/>
  <c r="O73" i="1"/>
  <c r="O70" i="1"/>
  <c r="O48" i="1"/>
  <c r="Q51" i="1"/>
  <c r="R51" i="1" s="1"/>
  <c r="S51" i="1" s="1"/>
  <c r="P51" i="1"/>
  <c r="O46" i="1"/>
  <c r="O36" i="1"/>
  <c r="Q67" i="1"/>
  <c r="R67" i="1" s="1"/>
  <c r="S67" i="1" s="1"/>
  <c r="P67" i="1"/>
  <c r="O56" i="1"/>
  <c r="O69" i="1"/>
  <c r="O72" i="1"/>
  <c r="O6" i="1"/>
  <c r="Q25" i="1"/>
  <c r="R25" i="1" s="1"/>
  <c r="S25" i="1" s="1"/>
  <c r="P25" i="1"/>
  <c r="O16" i="1"/>
  <c r="Q21" i="1"/>
  <c r="R21" i="1" s="1"/>
  <c r="S21" i="1" s="1"/>
  <c r="P21" i="1"/>
  <c r="Q83" i="1"/>
  <c r="R83" i="1" s="1"/>
  <c r="S83" i="1" s="1"/>
  <c r="P83" i="1"/>
  <c r="O80" i="1"/>
  <c r="Q11" i="1"/>
  <c r="R11" i="1" s="1"/>
  <c r="S11" i="1" s="1"/>
  <c r="P11" i="1"/>
  <c r="Q22" i="1"/>
  <c r="R22" i="1" s="1"/>
  <c r="S22" i="1" s="1"/>
  <c r="P22" i="1"/>
  <c r="Q31" i="1"/>
  <c r="R31" i="1" s="1"/>
  <c r="S31" i="1" s="1"/>
  <c r="P31" i="1"/>
  <c r="Q27" i="1"/>
  <c r="R27" i="1" s="1"/>
  <c r="S27" i="1" s="1"/>
  <c r="P27" i="1"/>
  <c r="Q24" i="1"/>
  <c r="R24" i="1" s="1"/>
  <c r="S24" i="1" s="1"/>
  <c r="P24" i="1"/>
  <c r="Q14" i="1"/>
  <c r="R14" i="1" s="1"/>
  <c r="S14" i="1" s="1"/>
  <c r="P14" i="1"/>
  <c r="Q26" i="1"/>
  <c r="R26" i="1" s="1"/>
  <c r="S26" i="1" s="1"/>
  <c r="P26" i="1"/>
  <c r="Q18" i="1"/>
  <c r="R18" i="1" s="1"/>
  <c r="S18" i="1" s="1"/>
  <c r="P18" i="1"/>
  <c r="Q23" i="1"/>
  <c r="R23" i="1" s="1"/>
  <c r="S23" i="1" s="1"/>
  <c r="P23" i="1"/>
  <c r="Q7" i="1"/>
  <c r="R7" i="1" s="1"/>
  <c r="S7" i="1" s="1"/>
  <c r="P7" i="1"/>
  <c r="Q28" i="1"/>
  <c r="R28" i="1" s="1"/>
  <c r="S28" i="1" s="1"/>
  <c r="P28" i="1"/>
  <c r="Q19" i="1"/>
  <c r="R19" i="1" s="1"/>
  <c r="S19" i="1" s="1"/>
  <c r="P19" i="1"/>
  <c r="Q10" i="1"/>
  <c r="R10" i="1" s="1"/>
  <c r="S10" i="1" s="1"/>
  <c r="P10" i="1"/>
  <c r="Q34" i="1"/>
  <c r="R34" i="1" s="1"/>
  <c r="S34" i="1" s="1"/>
  <c r="P34" i="1"/>
  <c r="O50" i="1"/>
  <c r="O38" i="1"/>
  <c r="O54" i="1"/>
  <c r="O74" i="1"/>
  <c r="O47" i="1"/>
  <c r="Q8" i="1"/>
  <c r="R8" i="1" s="1"/>
  <c r="S8" i="1" s="1"/>
  <c r="P8" i="1"/>
  <c r="Q29" i="1"/>
  <c r="R29" i="1" s="1"/>
  <c r="S29" i="1" s="1"/>
  <c r="P29" i="1"/>
  <c r="O43" i="1"/>
  <c r="O79" i="1"/>
  <c r="O17" i="1"/>
  <c r="O75" i="1"/>
  <c r="O77" i="1"/>
  <c r="Q58" i="1" l="1"/>
  <c r="R58" i="1" s="1"/>
  <c r="S58" i="1" s="1"/>
  <c r="P58" i="1"/>
  <c r="O9" i="1"/>
  <c r="Q30" i="1"/>
  <c r="R30" i="1" s="1"/>
  <c r="S30" i="1" s="1"/>
  <c r="P30" i="1"/>
  <c r="O78" i="1"/>
  <c r="O81" i="1"/>
  <c r="O82" i="1"/>
  <c r="Q77" i="1"/>
  <c r="R77" i="1" s="1"/>
  <c r="S77" i="1" s="1"/>
  <c r="P77" i="1"/>
  <c r="Q17" i="1"/>
  <c r="R17" i="1" s="1"/>
  <c r="S17" i="1" s="1"/>
  <c r="P17" i="1"/>
  <c r="O33" i="1"/>
  <c r="O35" i="1"/>
  <c r="O42" i="1"/>
  <c r="Q79" i="1"/>
  <c r="R79" i="1" s="1"/>
  <c r="S79" i="1" s="1"/>
  <c r="P79" i="1"/>
  <c r="Q43" i="1"/>
  <c r="R43" i="1" s="1"/>
  <c r="S43" i="1" s="1"/>
  <c r="P43" i="1"/>
  <c r="Q47" i="1"/>
  <c r="R47" i="1" s="1"/>
  <c r="S47" i="1" s="1"/>
  <c r="P47" i="1"/>
  <c r="Q39" i="1"/>
  <c r="R39" i="1" s="1"/>
  <c r="S39" i="1" s="1"/>
  <c r="P39" i="1"/>
  <c r="Q74" i="1"/>
  <c r="R74" i="1" s="1"/>
  <c r="S74" i="1" s="1"/>
  <c r="P74" i="1"/>
  <c r="Q54" i="1"/>
  <c r="R54" i="1" s="1"/>
  <c r="S54" i="1" s="1"/>
  <c r="P54" i="1"/>
  <c r="Q38" i="1"/>
  <c r="R38" i="1" s="1"/>
  <c r="S38" i="1" s="1"/>
  <c r="P38" i="1"/>
  <c r="Q50" i="1"/>
  <c r="R50" i="1" s="1"/>
  <c r="S50" i="1" s="1"/>
  <c r="P50" i="1"/>
  <c r="Q80" i="1"/>
  <c r="R80" i="1" s="1"/>
  <c r="S80" i="1" s="1"/>
  <c r="P80" i="1"/>
  <c r="Q16" i="1"/>
  <c r="R16" i="1" s="1"/>
  <c r="S16" i="1" s="1"/>
  <c r="P16" i="1"/>
  <c r="Q59" i="1"/>
  <c r="R59" i="1" s="1"/>
  <c r="S59" i="1" s="1"/>
  <c r="P59" i="1"/>
  <c r="Q6" i="1"/>
  <c r="R6" i="1" s="1"/>
  <c r="S6" i="1" s="1"/>
  <c r="P6" i="1"/>
  <c r="Q72" i="1"/>
  <c r="R72" i="1" s="1"/>
  <c r="S72" i="1" s="1"/>
  <c r="P72" i="1"/>
  <c r="Q69" i="1"/>
  <c r="R69" i="1" s="1"/>
  <c r="S69" i="1" s="1"/>
  <c r="P69" i="1"/>
  <c r="Q56" i="1"/>
  <c r="R56" i="1" s="1"/>
  <c r="S56" i="1" s="1"/>
  <c r="P56" i="1"/>
  <c r="Q36" i="1"/>
  <c r="R36" i="1" s="1"/>
  <c r="S36" i="1" s="1"/>
  <c r="P36" i="1"/>
  <c r="Q46" i="1"/>
  <c r="R46" i="1" s="1"/>
  <c r="S46" i="1" s="1"/>
  <c r="P46" i="1"/>
  <c r="Q57" i="1"/>
  <c r="R57" i="1" s="1"/>
  <c r="S57" i="1" s="1"/>
  <c r="P57" i="1"/>
  <c r="Q48" i="1"/>
  <c r="R48" i="1" s="1"/>
  <c r="S48" i="1" s="1"/>
  <c r="P48" i="1"/>
  <c r="Q70" i="1"/>
  <c r="R70" i="1" s="1"/>
  <c r="S70" i="1" s="1"/>
  <c r="P70" i="1"/>
  <c r="Q73" i="1"/>
  <c r="R73" i="1" s="1"/>
  <c r="S73" i="1" s="1"/>
  <c r="P73" i="1"/>
  <c r="Q45" i="1"/>
  <c r="R45" i="1" s="1"/>
  <c r="S45" i="1" s="1"/>
  <c r="P45" i="1"/>
  <c r="Q64" i="1"/>
  <c r="R64" i="1" s="1"/>
  <c r="S64" i="1" s="1"/>
  <c r="P64" i="1"/>
  <c r="Q68" i="1"/>
  <c r="R68" i="1" s="1"/>
  <c r="S68" i="1" s="1"/>
  <c r="P68" i="1"/>
  <c r="Q3" i="1"/>
  <c r="R3" i="1" s="1"/>
  <c r="S3" i="1" s="1"/>
  <c r="P3" i="1"/>
  <c r="Q53" i="1"/>
  <c r="R53" i="1" s="1"/>
  <c r="S53" i="1" s="1"/>
  <c r="P53" i="1"/>
  <c r="Q65" i="1"/>
  <c r="R65" i="1" s="1"/>
  <c r="S65" i="1" s="1"/>
  <c r="P65" i="1"/>
  <c r="Q62" i="1"/>
  <c r="R62" i="1" s="1"/>
  <c r="S62" i="1" s="1"/>
  <c r="P62" i="1"/>
  <c r="Q49" i="1"/>
  <c r="R49" i="1" s="1"/>
  <c r="S49" i="1" s="1"/>
  <c r="P49" i="1"/>
  <c r="Q32" i="1"/>
  <c r="R32" i="1" s="1"/>
  <c r="S32" i="1" s="1"/>
  <c r="P32" i="1"/>
  <c r="Q52" i="1"/>
  <c r="R52" i="1" s="1"/>
  <c r="S52" i="1" s="1"/>
  <c r="P52" i="1"/>
  <c r="Q63" i="1"/>
  <c r="R63" i="1" s="1"/>
  <c r="S63" i="1" s="1"/>
  <c r="P63" i="1"/>
  <c r="Q71" i="1"/>
  <c r="R71" i="1" s="1"/>
  <c r="S71" i="1" s="1"/>
  <c r="P71" i="1"/>
  <c r="Q75" i="1"/>
  <c r="R75" i="1" s="1"/>
  <c r="S75" i="1" s="1"/>
  <c r="P75" i="1"/>
  <c r="O55" i="1"/>
  <c r="O37" i="1"/>
  <c r="O76" i="1"/>
  <c r="Q76" i="1" l="1"/>
  <c r="R76" i="1" s="1"/>
  <c r="S76" i="1" s="1"/>
  <c r="P76" i="1"/>
  <c r="Q37" i="1"/>
  <c r="R37" i="1" s="1"/>
  <c r="S37" i="1" s="1"/>
  <c r="P37" i="1"/>
  <c r="Q55" i="1"/>
  <c r="R55" i="1" s="1"/>
  <c r="S55" i="1" s="1"/>
  <c r="P55" i="1"/>
  <c r="Q42" i="1"/>
  <c r="P42" i="1"/>
  <c r="Q35" i="1"/>
  <c r="R35" i="1" s="1"/>
  <c r="S35" i="1" s="1"/>
  <c r="P35" i="1"/>
  <c r="Q33" i="1"/>
  <c r="R33" i="1" s="1"/>
  <c r="S33" i="1" s="1"/>
  <c r="P33" i="1"/>
  <c r="Q13" i="1"/>
  <c r="R13" i="1" s="1"/>
  <c r="S13" i="1" s="1"/>
  <c r="P13" i="1"/>
  <c r="Q82" i="1"/>
  <c r="R82" i="1" s="1"/>
  <c r="S82" i="1" s="1"/>
  <c r="P82" i="1"/>
  <c r="Q81" i="1"/>
  <c r="R81" i="1" s="1"/>
  <c r="S81" i="1" s="1"/>
  <c r="P81" i="1"/>
  <c r="Q78" i="1"/>
  <c r="R78" i="1" s="1"/>
  <c r="S78" i="1" s="1"/>
  <c r="P78" i="1"/>
  <c r="Q9" i="1"/>
  <c r="R9" i="1" s="1"/>
  <c r="S9" i="1" s="1"/>
  <c r="P9" i="1"/>
  <c r="R42" i="1" l="1"/>
  <c r="S42" i="1" l="1"/>
</calcChain>
</file>

<file path=xl/sharedStrings.xml><?xml version="1.0" encoding="utf-8"?>
<sst xmlns="http://schemas.openxmlformats.org/spreadsheetml/2006/main" count="1359" uniqueCount="496">
  <si>
    <t>Selskabsnavn</t>
  </si>
  <si>
    <t>boring</t>
  </si>
  <si>
    <t>vandværk</t>
  </si>
  <si>
    <t>trykforøgerstationer</t>
  </si>
  <si>
    <t>Stik</t>
  </si>
  <si>
    <t>Kunder</t>
  </si>
  <si>
    <t>opp vandmængde</t>
  </si>
  <si>
    <t>type 1</t>
  </si>
  <si>
    <t>type 2</t>
  </si>
  <si>
    <t>type 3</t>
  </si>
  <si>
    <t>Samlet kap. ml 0 m3/t - 50 m3/t</t>
  </si>
  <si>
    <t>Samlet kap. ml 51 m3/t - 100 m3/t</t>
  </si>
  <si>
    <t>Samlet kap. ml 101 m3/t - 200 m3/t</t>
  </si>
  <si>
    <t>Samlet kap. ml 201 m3/t - 400 m3/t</t>
  </si>
  <si>
    <t>Samlet kap. m. 401 m3/t - 600 m3/t</t>
  </si>
  <si>
    <t>Samlet kap. ml 601 m3/t - max</t>
  </si>
  <si>
    <t xml:space="preserve">land </t>
  </si>
  <si>
    <t xml:space="preserve">by </t>
  </si>
  <si>
    <t>city</t>
  </si>
  <si>
    <t>icity</t>
  </si>
  <si>
    <t>målere</t>
  </si>
  <si>
    <t>Bornholms Vand A/S</t>
  </si>
  <si>
    <t>Brande Vandværk a.m.b.a.</t>
  </si>
  <si>
    <t>Christiansfeld Vandforsyning A/S</t>
  </si>
  <si>
    <t>Esbjerg Vand A/S</t>
  </si>
  <si>
    <t>Faxe Vandforsyning A/S</t>
  </si>
  <si>
    <t>FFV Vand A/S</t>
  </si>
  <si>
    <t>Fredensborg Vand A/S</t>
  </si>
  <si>
    <t>Furesø Vandforsyning a.m.b.a.</t>
  </si>
  <si>
    <t>Gentofte Vand A/S</t>
  </si>
  <si>
    <t>Forsyning Helsingør Vand A/S</t>
  </si>
  <si>
    <t>Guldborgsund Vand A/S</t>
  </si>
  <si>
    <t>Haderslev Vand A/S</t>
  </si>
  <si>
    <t>Frederikshavn Vand A/S</t>
  </si>
  <si>
    <t>Hedensted Vandværk</t>
  </si>
  <si>
    <t>Helsinge Vandværk</t>
  </si>
  <si>
    <t>Herning Vand A/S</t>
  </si>
  <si>
    <t>Horsens Vand A/S</t>
  </si>
  <si>
    <t>Hørsholm Vand ApS</t>
  </si>
  <si>
    <t>Jyllinge Vandværk a.m.b.a.</t>
  </si>
  <si>
    <t>Kalundborg Vandforsyning A/S</t>
  </si>
  <si>
    <t>Lille Næstved Vandværk</t>
  </si>
  <si>
    <t>Lindholm Vandværk a.m.b.a</t>
  </si>
  <si>
    <t>Lyngby-Taarbæk Vand A/S</t>
  </si>
  <si>
    <t>NFS Vand A/S</t>
  </si>
  <si>
    <t>Ishøj Vand A/S</t>
  </si>
  <si>
    <t>Odsherred Vand A/S</t>
  </si>
  <si>
    <t>Outrup Vandværk I/S</t>
  </si>
  <si>
    <t>Klemensker Vandværk</t>
  </si>
  <si>
    <t>Pandrup Vandværk</t>
  </si>
  <si>
    <t>Ringsted Vand A/S</t>
  </si>
  <si>
    <t>Roskilde Vand A/S</t>
  </si>
  <si>
    <t>Rønne Vand A/S</t>
  </si>
  <si>
    <t>Lolland Vand A/S</t>
  </si>
  <si>
    <t>Sjælsø Vand A/S</t>
  </si>
  <si>
    <t>Sorø Vand A/S</t>
  </si>
  <si>
    <t>Struer Forsyning Vand A/S</t>
  </si>
  <si>
    <t>Støvring Vandværk a.m.b.a.</t>
  </si>
  <si>
    <t>Sønderborg Vandforsyning A/S</t>
  </si>
  <si>
    <t>Tarup Vandværk</t>
  </si>
  <si>
    <t>NK-Vand A/S</t>
  </si>
  <si>
    <t>TREFOR Vand A/S</t>
  </si>
  <si>
    <t>TÅRNBYFORSYNING Vand</t>
  </si>
  <si>
    <t>Nørre Alslev Vandværk</t>
  </si>
  <si>
    <t>Vand Ballerup A/S</t>
  </si>
  <si>
    <t>Vesthimmerlands Vand A/S</t>
  </si>
  <si>
    <t>Vildbjerg Vandværk</t>
  </si>
  <si>
    <t>Vordingborg Vand A/S</t>
  </si>
  <si>
    <t>Ry Vandværk</t>
  </si>
  <si>
    <t>Rødekro Vandværk</t>
  </si>
  <si>
    <t>Silkeborg Vand a/s</t>
  </si>
  <si>
    <t>Aalborg Forsyning, Vand A/S</t>
  </si>
  <si>
    <t>Aalestrup Vand a.m.b.a.</t>
  </si>
  <si>
    <t>Aarhus Vand A/S</t>
  </si>
  <si>
    <t>SK Vand A/S</t>
  </si>
  <si>
    <t>Aars Vand</t>
  </si>
  <si>
    <t>Sydals Øst Vandforsyning</t>
  </si>
  <si>
    <t>Tønder Vand A/S</t>
  </si>
  <si>
    <t>Vamdrup Vandværk</t>
  </si>
  <si>
    <t>Ærø Vand A/S</t>
  </si>
  <si>
    <t>Netvolumenbidrag</t>
  </si>
  <si>
    <t>Boringer</t>
  </si>
  <si>
    <t>Vandværk</t>
  </si>
  <si>
    <t>Trykforøgere</t>
  </si>
  <si>
    <t>Rentvands-ledninger</t>
  </si>
  <si>
    <t>Netvolumemål</t>
  </si>
  <si>
    <t>Netvolumenmål</t>
  </si>
  <si>
    <t>Alderskorrigeret netvolumenmål</t>
  </si>
  <si>
    <t>Tæthedskorrigeret netvolumenmål</t>
  </si>
  <si>
    <t>Alder</t>
  </si>
  <si>
    <t>Tæthed</t>
  </si>
  <si>
    <t>Måler pr. ledning</t>
  </si>
  <si>
    <t>Costdriverafvigelse</t>
  </si>
  <si>
    <t>Vandværker</t>
  </si>
  <si>
    <t>Trykforøgerstationer</t>
  </si>
  <si>
    <t>Middelværdi</t>
  </si>
  <si>
    <t>Varians</t>
  </si>
  <si>
    <t>Standardafvigelse</t>
  </si>
  <si>
    <t>Standardafvigelse (minus)</t>
  </si>
  <si>
    <t>Krav i pct.</t>
  </si>
  <si>
    <t>Umiddelbare
 krav i pct.</t>
  </si>
  <si>
    <t>Costdriverandele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</si>
  <si>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</si>
  <si>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</si>
  <si>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</si>
  <si>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</si>
  <si>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</si>
  <si>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</si>
  <si>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Netvolumenmål_plus25 og evt. SF</t>
  </si>
  <si>
    <t>Alderskorrigeret netvolumenmål_ plus25  og evt. SF</t>
  </si>
  <si>
    <t>Tæthedskorrigeret netvolumenmål_plus25  og evt. SF</t>
  </si>
  <si>
    <t>Netvolumenmål + evt. SF</t>
  </si>
  <si>
    <t>Alderskorrigeret netvolumenmål + evt. SF</t>
  </si>
  <si>
    <t>Tæthedskorrigeret netvolumenmål + evt. SF</t>
  </si>
  <si>
    <t>Andelsselskabet Marielyst Vandværk</t>
  </si>
  <si>
    <t>Andelsselskabet Vejgaard Vandværk</t>
  </si>
  <si>
    <t>Andelsselskabet Ørbæk Vandværk</t>
  </si>
  <si>
    <t>HOFOR Vand Brøndby A/S</t>
  </si>
  <si>
    <t>HOFOR Vand Hvidovre A/S</t>
  </si>
  <si>
    <t>HOFOR Vand København A/S</t>
  </si>
  <si>
    <t>HOFOR Vand Rødovre A/S</t>
  </si>
  <si>
    <t>Til Reduktion</t>
  </si>
  <si>
    <t>Faktiske driftsomkostninger</t>
  </si>
  <si>
    <t>ID nummer</t>
  </si>
  <si>
    <t>Tillæg for særlige forhold i kr.</t>
  </si>
  <si>
    <t>Afvigelse fra standard-afvigelse i pct.</t>
  </si>
  <si>
    <t>Reduktion i pct.</t>
  </si>
  <si>
    <t>Korrigerede potentiale 
efter reduktion i pct.</t>
  </si>
  <si>
    <t>Effektive drifts-omkostninger i kr.</t>
  </si>
  <si>
    <t>Forhøjelse til effektivt niveau</t>
  </si>
  <si>
    <t>Krav i kr.</t>
  </si>
  <si>
    <t>Korrigerde potentiale i kr.</t>
  </si>
  <si>
    <t>Andelsselskabet Ejby Vandværk</t>
  </si>
  <si>
    <t>V001</t>
  </si>
  <si>
    <t>Andelsselskabet Gram Vandværk</t>
  </si>
  <si>
    <t>V002</t>
  </si>
  <si>
    <t>Andelsselskabet Gørlev Vandforsyning</t>
  </si>
  <si>
    <t>V003</t>
  </si>
  <si>
    <t>Andelsselskabet Hammerum Vandværk</t>
  </si>
  <si>
    <t>V004</t>
  </si>
  <si>
    <t>Andelsselskabet Haarlev Vandværk</t>
  </si>
  <si>
    <t>V005</t>
  </si>
  <si>
    <t>Andelsselskabet Klinting Vandværk</t>
  </si>
  <si>
    <t>V006</t>
  </si>
  <si>
    <t>V007</t>
  </si>
  <si>
    <t>Andelsselskabet Stenløse Vandværk</t>
  </si>
  <si>
    <t>V008</t>
  </si>
  <si>
    <t>V010</t>
  </si>
  <si>
    <t>Andelsselskabet Vrå Vandværk</t>
  </si>
  <si>
    <t>V011</t>
  </si>
  <si>
    <t>V012</t>
  </si>
  <si>
    <t>Andelsvandværket Helle Vest a.m.b.a.</t>
  </si>
  <si>
    <t>V013</t>
  </si>
  <si>
    <t>AquaDjurs A/S</t>
  </si>
  <si>
    <t>V014</t>
  </si>
  <si>
    <t>Arwos Vand A/S</t>
  </si>
  <si>
    <t>V015</t>
  </si>
  <si>
    <t>Asnæs Vandværk a.m.b.a.</t>
  </si>
  <si>
    <t>V016</t>
  </si>
  <si>
    <t>Assens Vandværk A/S</t>
  </si>
  <si>
    <t>V017</t>
  </si>
  <si>
    <t>Aulum Vandværk a.m.b.a.</t>
  </si>
  <si>
    <t>V018</t>
  </si>
  <si>
    <t>Baunehøj Vandværk a.m.b.a.</t>
  </si>
  <si>
    <t>V019</t>
  </si>
  <si>
    <t>Billund Drikkevand A/S</t>
  </si>
  <si>
    <t>V020</t>
  </si>
  <si>
    <t>Birkerød Vandforsyning a.m.b.a.</t>
  </si>
  <si>
    <t>V021</t>
  </si>
  <si>
    <t>Bjerringbro Fællesvandværk</t>
  </si>
  <si>
    <t>V022</t>
  </si>
  <si>
    <t>Bjøvlund Vandværk</t>
  </si>
  <si>
    <t>V023</t>
  </si>
  <si>
    <t>Bogense Forsyningsselskab a.m.b.a.</t>
  </si>
  <si>
    <t>V024</t>
  </si>
  <si>
    <t>Bolderslev Vandværk</t>
  </si>
  <si>
    <t>V025</t>
  </si>
  <si>
    <t>Bording Vandværk a.m.b.a.</t>
  </si>
  <si>
    <t>V026</t>
  </si>
  <si>
    <t>V027</t>
  </si>
  <si>
    <t>Borup Vandværk</t>
  </si>
  <si>
    <t>V028</t>
  </si>
  <si>
    <t>V030</t>
  </si>
  <si>
    <t>Branderup Vandværk</t>
  </si>
  <si>
    <t>V031</t>
  </si>
  <si>
    <t>Bredebro Andelsvandværk</t>
  </si>
  <si>
    <t>V032</t>
  </si>
  <si>
    <t>Brædstrup Vandværk a.m.b.a.</t>
  </si>
  <si>
    <t>V034</t>
  </si>
  <si>
    <t>Brønderslev Vand A/S</t>
  </si>
  <si>
    <t>V035</t>
  </si>
  <si>
    <t>Brørup Vandværk a.m.b.a.</t>
  </si>
  <si>
    <t>V036</t>
  </si>
  <si>
    <t>Børkop Vandværk a.m.b.a.</t>
  </si>
  <si>
    <t>V037</t>
  </si>
  <si>
    <t>V038</t>
  </si>
  <si>
    <t>Dianalund Vandværk</t>
  </si>
  <si>
    <t>V039</t>
  </si>
  <si>
    <t>Dronninglund Vandværk a.m.b.a</t>
  </si>
  <si>
    <t>V040</t>
  </si>
  <si>
    <t>Egedal Vandforsyning A/S</t>
  </si>
  <si>
    <t>V041</t>
  </si>
  <si>
    <t>Egå Vandværk a.m.b.a</t>
  </si>
  <si>
    <t>V042</t>
  </si>
  <si>
    <t>Energi Viborg Vand A/S</t>
  </si>
  <si>
    <t>V043</t>
  </si>
  <si>
    <t>V044</t>
  </si>
  <si>
    <t>Farsø Vandværk I/S</t>
  </si>
  <si>
    <t>V046</t>
  </si>
  <si>
    <t>V047</t>
  </si>
  <si>
    <t>Faxe Vandværk s.m.b.a.</t>
  </si>
  <si>
    <t>V048</t>
  </si>
  <si>
    <t>Fensmark Vandværk a.m.b.a.</t>
  </si>
  <si>
    <t>V049</t>
  </si>
  <si>
    <t>V050</t>
  </si>
  <si>
    <t>Fjerritslev Vand a.m.b.a.</t>
  </si>
  <si>
    <t>V051</t>
  </si>
  <si>
    <t>Fonden Djurs Vand</t>
  </si>
  <si>
    <t>V052</t>
  </si>
  <si>
    <t>V053</t>
  </si>
  <si>
    <t>V054</t>
  </si>
  <si>
    <t>Frederiksberg Vand A/S</t>
  </si>
  <si>
    <t>V055</t>
  </si>
  <si>
    <t>Frederiksberg Vandværk</t>
  </si>
  <si>
    <t>V056</t>
  </si>
  <si>
    <t>V057</t>
  </si>
  <si>
    <t>Frederikssund Vand A/S</t>
  </si>
  <si>
    <t>V058</t>
  </si>
  <si>
    <t>V059</t>
  </si>
  <si>
    <t>Galten Vandværk</t>
  </si>
  <si>
    <t>V060</t>
  </si>
  <si>
    <t>V061</t>
  </si>
  <si>
    <t>Gilleleje Vandværk a.m.b.a.</t>
  </si>
  <si>
    <t>V062</t>
  </si>
  <si>
    <t>Give Vandværk a.m.b.a.</t>
  </si>
  <si>
    <t>V063</t>
  </si>
  <si>
    <t>Gl. Hørning Vandværk</t>
  </si>
  <si>
    <t>V064</t>
  </si>
  <si>
    <t>Gladsaxe Vand A/S</t>
  </si>
  <si>
    <t>V065</t>
  </si>
  <si>
    <t>Glamsbjerg Vandværk</t>
  </si>
  <si>
    <t>V066</t>
  </si>
  <si>
    <t>Glostrup Vand A/S</t>
  </si>
  <si>
    <t>V067</t>
  </si>
  <si>
    <t>Greve Vandværk a.m.b.a.</t>
  </si>
  <si>
    <t>V068</t>
  </si>
  <si>
    <t>Grindsted Vandværk a.m.b.a.</t>
  </si>
  <si>
    <t>V069</t>
  </si>
  <si>
    <t>V070</t>
  </si>
  <si>
    <t>V071</t>
  </si>
  <si>
    <t>Hadsten Vandværk a.m.b.a.</t>
  </si>
  <si>
    <t>V072</t>
  </si>
  <si>
    <t>Halsnaes Forsyning A/S</t>
  </si>
  <si>
    <t>V074</t>
  </si>
  <si>
    <t>Halsnæs Vandforsyning a.m.b.a.</t>
  </si>
  <si>
    <t>V075</t>
  </si>
  <si>
    <t>Hammel Vandværk a.m.b.a.</t>
  </si>
  <si>
    <t>V076</t>
  </si>
  <si>
    <t>Hasselager-Kolt Vandværk a.m.b.a.</t>
  </si>
  <si>
    <t>V077</t>
  </si>
  <si>
    <t>V078</t>
  </si>
  <si>
    <t>V079</t>
  </si>
  <si>
    <t>V080</t>
  </si>
  <si>
    <t>Hillerød Vand A/S</t>
  </si>
  <si>
    <t>V081</t>
  </si>
  <si>
    <t>Hinnerup Vandværk a.m.b.a.</t>
  </si>
  <si>
    <t>V082</t>
  </si>
  <si>
    <t>Hjerting Vandværk a.m.b.a.</t>
  </si>
  <si>
    <t>V084</t>
  </si>
  <si>
    <t>Hjørring Vandselskab A/S</t>
  </si>
  <si>
    <t>V085</t>
  </si>
  <si>
    <t>HOFOR Vand Albertslund A/S</t>
  </si>
  <si>
    <t>V086</t>
  </si>
  <si>
    <t>V087</t>
  </si>
  <si>
    <t>HOFOR Vand Dragør A/S</t>
  </si>
  <si>
    <t>V088</t>
  </si>
  <si>
    <t>HOFOR Vand Herlev A/S</t>
  </si>
  <si>
    <t>V089</t>
  </si>
  <si>
    <t>V090</t>
  </si>
  <si>
    <t>V091</t>
  </si>
  <si>
    <t>V092</t>
  </si>
  <si>
    <t>HOFOR Vand Vallensbæk A/S</t>
  </si>
  <si>
    <t>V093</t>
  </si>
  <si>
    <t>Holbæk Vand A/S</t>
  </si>
  <si>
    <t>V094</t>
  </si>
  <si>
    <t>Hornbæk Vandværk a.m.b.a.</t>
  </si>
  <si>
    <t>V095</t>
  </si>
  <si>
    <t>Hornslet Vandværk a.m.b.a.</t>
  </si>
  <si>
    <t>V096</t>
  </si>
  <si>
    <t>V097</t>
  </si>
  <si>
    <t>HTK Vand A/S</t>
  </si>
  <si>
    <t>V098</t>
  </si>
  <si>
    <t>Hurup Vandværk</t>
  </si>
  <si>
    <t>V099</t>
  </si>
  <si>
    <t>Hæstrup Vandværk I/S</t>
  </si>
  <si>
    <t>V100</t>
  </si>
  <si>
    <t>Høng Vandværk a.m.b.a.</t>
  </si>
  <si>
    <t>V101</t>
  </si>
  <si>
    <t>V102</t>
  </si>
  <si>
    <t>Haarby Vandværk</t>
  </si>
  <si>
    <t>V103</t>
  </si>
  <si>
    <t>I/S Almtoft-Kjellerup Vandværk</t>
  </si>
  <si>
    <t>V104</t>
  </si>
  <si>
    <t>I/S Ørslev Vandværk</t>
  </si>
  <si>
    <t>V105</t>
  </si>
  <si>
    <t>Ikast Vandforsyning a.m.b.a.</t>
  </si>
  <si>
    <t>V106</t>
  </si>
  <si>
    <t>V107</t>
  </si>
  <si>
    <t>V108</t>
  </si>
  <si>
    <t>Juelsminde Vand</t>
  </si>
  <si>
    <t>V109</t>
  </si>
  <si>
    <t>V110</t>
  </si>
  <si>
    <t>Kalundborg Overfladevand A/S</t>
  </si>
  <si>
    <t>V111</t>
  </si>
  <si>
    <t>V112</t>
  </si>
  <si>
    <t>Kerteminde Forsyning - Vand A/S</t>
  </si>
  <si>
    <t>V113</t>
  </si>
  <si>
    <t>V114</t>
  </si>
  <si>
    <t>Kvarmløse-Tølløse Vandværk</t>
  </si>
  <si>
    <t>V115</t>
  </si>
  <si>
    <t>Køge Vand A/S</t>
  </si>
  <si>
    <t>V116</t>
  </si>
  <si>
    <t>Langeland Vand ApS</t>
  </si>
  <si>
    <t>V117</t>
  </si>
  <si>
    <t>Langeskov Vandværk</t>
  </si>
  <si>
    <t>V118</t>
  </si>
  <si>
    <t>Lejre Vand A/S</t>
  </si>
  <si>
    <t>V119</t>
  </si>
  <si>
    <t>V120</t>
  </si>
  <si>
    <t>V121</t>
  </si>
  <si>
    <t>Lille Skensved Vandværk a.m.b.a.</t>
  </si>
  <si>
    <t>V122</t>
  </si>
  <si>
    <t>Lillerød Andelsvandværk a.m.b.a.</t>
  </si>
  <si>
    <t>V123</t>
  </si>
  <si>
    <t>V124</t>
  </si>
  <si>
    <t>V125</t>
  </si>
  <si>
    <t>V126</t>
  </si>
  <si>
    <t>Løgstør Vand a.m.b.a.</t>
  </si>
  <si>
    <t>V128</t>
  </si>
  <si>
    <t>Løgten Skødstrup Vandværk a.m.b.a.</t>
  </si>
  <si>
    <t>V129</t>
  </si>
  <si>
    <t>Løkken Vandværk</t>
  </si>
  <si>
    <t>V130</t>
  </si>
  <si>
    <t>Mariager Vand a.m.b.a.</t>
  </si>
  <si>
    <t>V131</t>
  </si>
  <si>
    <t>Mariagerfjord Vand A/S</t>
  </si>
  <si>
    <t>V132</t>
  </si>
  <si>
    <t>Midtfyns Vandforsyning a.m.b.a.</t>
  </si>
  <si>
    <t>V133</t>
  </si>
  <si>
    <t>V134</t>
  </si>
  <si>
    <t>Mørkøv Vandværk</t>
  </si>
  <si>
    <t>V135</t>
  </si>
  <si>
    <t>V136</t>
  </si>
  <si>
    <t>V137</t>
  </si>
  <si>
    <t>Nordenskov Vandværk</t>
  </si>
  <si>
    <t>V138</t>
  </si>
  <si>
    <t>Nybrovejens Vandværk a.m.b.a.</t>
  </si>
  <si>
    <t>V140</t>
  </si>
  <si>
    <t>Nyhuse Vandværk a.m.b.a.</t>
  </si>
  <si>
    <t>V141</t>
  </si>
  <si>
    <t>Næsby Vandværk</t>
  </si>
  <si>
    <t>V142</t>
  </si>
  <si>
    <t>V143</t>
  </si>
  <si>
    <t>Odder Vandværk a.m.b.a.</t>
  </si>
  <si>
    <t>V144</t>
  </si>
  <si>
    <t>V145</t>
  </si>
  <si>
    <t>Otterup Vandværk</t>
  </si>
  <si>
    <t>V146</t>
  </si>
  <si>
    <t>V147</t>
  </si>
  <si>
    <t>Oxby Og Ho Vandværk a.m.b.a.</t>
  </si>
  <si>
    <t>V148</t>
  </si>
  <si>
    <t>Padborg Vandværk a.m.b.a.</t>
  </si>
  <si>
    <t>V149</t>
  </si>
  <si>
    <t>V150</t>
  </si>
  <si>
    <t>V151</t>
  </si>
  <si>
    <t>V152</t>
  </si>
  <si>
    <t>Ringkjøbing-Skjern Vand A/S</t>
  </si>
  <si>
    <t>V153</t>
  </si>
  <si>
    <t>V154</t>
  </si>
  <si>
    <t>V155</t>
  </si>
  <si>
    <t>V156</t>
  </si>
  <si>
    <t>V157</t>
  </si>
  <si>
    <t>Rødding Vandværk a.m.b.a.</t>
  </si>
  <si>
    <t>V158</t>
  </si>
  <si>
    <t>V159</t>
  </si>
  <si>
    <t>V160</t>
  </si>
  <si>
    <t>Sdr. Felding Vandværk a.m.b.a.</t>
  </si>
  <si>
    <t>V161</t>
  </si>
  <si>
    <t>V162</t>
  </si>
  <si>
    <t>Sindal Vandværk a.m.b.a.</t>
  </si>
  <si>
    <t>V163</t>
  </si>
  <si>
    <t>V164</t>
  </si>
  <si>
    <t>V165</t>
  </si>
  <si>
    <t>V166</t>
  </si>
  <si>
    <t>Skive Vand A/S</t>
  </si>
  <si>
    <t>V167</t>
  </si>
  <si>
    <t>Skovlund/Ansager Vandværk</t>
  </si>
  <si>
    <t>V168</t>
  </si>
  <si>
    <t>Skærbæk Vandværk</t>
  </si>
  <si>
    <t>V169</t>
  </si>
  <si>
    <t>Snejbjerg Vandværk a.m.b.a.</t>
  </si>
  <si>
    <t>V170</t>
  </si>
  <si>
    <t>Solrød Vandværk a.m.b.a.</t>
  </si>
  <si>
    <t>V171</t>
  </si>
  <si>
    <t>V172</t>
  </si>
  <si>
    <t>Stenlien Vandværk a.m.b.a.</t>
  </si>
  <si>
    <t>V173</t>
  </si>
  <si>
    <t>V174</t>
  </si>
  <si>
    <t>Strømmen Vandværk</t>
  </si>
  <si>
    <t>V175</t>
  </si>
  <si>
    <t>V176</t>
  </si>
  <si>
    <t>Svendborg Vand A/S</t>
  </si>
  <si>
    <t>V178</t>
  </si>
  <si>
    <t>Svinninge Vandværk</t>
  </si>
  <si>
    <t>V179</t>
  </si>
  <si>
    <t>V180</t>
  </si>
  <si>
    <t>V181</t>
  </si>
  <si>
    <t>Søndersø Vandværk</t>
  </si>
  <si>
    <t>V182</t>
  </si>
  <si>
    <t>V183</t>
  </si>
  <si>
    <t>Thisted Drikkevand A/S</t>
  </si>
  <si>
    <t>V184</t>
  </si>
  <si>
    <t>Tinglev Vandværk</t>
  </si>
  <si>
    <t>V185</t>
  </si>
  <si>
    <t>Tistrup Vandværk</t>
  </si>
  <si>
    <t>V186</t>
  </si>
  <si>
    <t>V188</t>
  </si>
  <si>
    <t>Tune Vandværk a.m.b.a.</t>
  </si>
  <si>
    <t>V189</t>
  </si>
  <si>
    <t>V190</t>
  </si>
  <si>
    <t>V191</t>
  </si>
  <si>
    <t>Tårs Vandværk a.m.b.a.</t>
  </si>
  <si>
    <t>V192</t>
  </si>
  <si>
    <t>Udsholt Vandværk a.m.b.a.</t>
  </si>
  <si>
    <t>V193</t>
  </si>
  <si>
    <t>Ulsted-Ålebæk Vandværk a.m.b.a.</t>
  </si>
  <si>
    <t>V195</t>
  </si>
  <si>
    <t>V196</t>
  </si>
  <si>
    <t>V197</t>
  </si>
  <si>
    <t>Vandcenter Djurs a.m.b.a</t>
  </si>
  <si>
    <t>V198</t>
  </si>
  <si>
    <t>V199</t>
  </si>
  <si>
    <t>Vandforsyningen Brovst og Omegn</t>
  </si>
  <si>
    <t>V200</t>
  </si>
  <si>
    <t>Vandforsyningen Østlolland a.m.b.a.</t>
  </si>
  <si>
    <t>V201</t>
  </si>
  <si>
    <t>Vandfællesskabet Nordvestsjælland a.m.b.a.</t>
  </si>
  <si>
    <t>V202</t>
  </si>
  <si>
    <t>Vandværket Lyngen</t>
  </si>
  <si>
    <t>V203</t>
  </si>
  <si>
    <t>Varde Vandforsyning A/S</t>
  </si>
  <si>
    <t>V204</t>
  </si>
  <si>
    <t>Vejen Forsyning A/S</t>
  </si>
  <si>
    <t>V205</t>
  </si>
  <si>
    <t>Verdo Vand A/S</t>
  </si>
  <si>
    <t>V206</t>
  </si>
  <si>
    <t>Vestforsyning Vand A/S</t>
  </si>
  <si>
    <t>V207</t>
  </si>
  <si>
    <t>V208</t>
  </si>
  <si>
    <t>V209</t>
  </si>
  <si>
    <t>V210</t>
  </si>
  <si>
    <t>V212</t>
  </si>
  <si>
    <t>VSK</t>
  </si>
  <si>
    <t>V213</t>
  </si>
  <si>
    <t>V214</t>
  </si>
  <si>
    <t>Ølgod Vandværk a.m.b.a.</t>
  </si>
  <si>
    <t>V215</t>
  </si>
  <si>
    <t>Østvendsyssel Råvandsforsyningsselskab I/S</t>
  </si>
  <si>
    <t>V216</t>
  </si>
  <si>
    <t>Aabybro Vand a.m.b.a.</t>
  </si>
  <si>
    <t>V217</t>
  </si>
  <si>
    <t>V218</t>
  </si>
  <si>
    <t>V219</t>
  </si>
  <si>
    <t>V220</t>
  </si>
  <si>
    <t>V221</t>
  </si>
  <si>
    <t>FADO2013</t>
  </si>
  <si>
    <t>Prisfremskrevet FADO2013</t>
  </si>
  <si>
    <t>Antal       0 m3/t - 50 m3/t (stk)</t>
  </si>
  <si>
    <t>Antal         51 m3/t - 100 m3/t (stk)</t>
  </si>
  <si>
    <t>Antal          101 m3/t - 200 m3/t (stk)</t>
  </si>
  <si>
    <t>Antal          201 m3/t - 400 m3/t (stk)</t>
  </si>
  <si>
    <t>Antal          401 m3/t - 600 m3/t</t>
  </si>
  <si>
    <t>Antal          601 m3/t - max</t>
  </si>
  <si>
    <t>Jammerbugt Forsyning A/S</t>
  </si>
  <si>
    <t>Lemvig Vand og Spildevand A/S</t>
  </si>
  <si>
    <t>Morsø Forsyning A/S</t>
  </si>
  <si>
    <t>Randers Spildevand A/S</t>
  </si>
  <si>
    <t>Rebild Vand &amp; Spildevand A/S</t>
  </si>
  <si>
    <t>Rudersdal Forsyning A/S</t>
  </si>
  <si>
    <t>Skanderborg Forsyningsvirksomhed A/S</t>
  </si>
  <si>
    <t>Vandcenter Syd A/S</t>
  </si>
  <si>
    <t>Videbæk Vand A/S</t>
  </si>
  <si>
    <t>DOiPL 2014 i kr.</t>
  </si>
  <si>
    <t>Sum af stik og kunders costdriverandele</t>
  </si>
  <si>
    <t>Stik og kunders afvigelse fra middelværdi</t>
  </si>
  <si>
    <t>rentvandsledning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</si>
</sst>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#,##0_ ;\-#,##0\ "/>
    <numFmt numFmtId="167" formatCode="0.0"/>
    <numFmt numFmtId="168" formatCode="_(* #,##0.00_);_(* \(#,##0.00\);_(* &quot;-&quot;??_);_(@_)"/>
    <numFmt numFmtId="169" formatCode="\(#,##0\);#,##0_)"/>
    <numFmt numFmtId="170" formatCode="#,##0_);\(#,##0\);0_);@"/>
    <numFmt numFmtId="171" formatCode="#,##0,_);\(#,##0,\)"/>
    <numFmt numFmtId="172" formatCode="\(#,##0,\);#,##0,_)"/>
    <numFmt numFmtId="173" formatCode="\(#,##0.00\);#,##0.00_)"/>
    <numFmt numFmtId="174" formatCode="_-* #,##0.00_-;\-* #,##0.00_-;_-* &quot;-&quot;??_-;_-@_-"/>
    <numFmt numFmtId="175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3959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" fillId="8" borderId="26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1" fillId="8" borderId="26" applyNumberFormat="0" applyFont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70" fontId="4" fillId="0" borderId="0"/>
    <xf numFmtId="3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9" fontId="24" fillId="0" borderId="0" applyFill="0" applyBorder="0" applyProtection="0">
      <alignment horizontal="center"/>
    </xf>
    <xf numFmtId="37" fontId="24" fillId="0" borderId="32" applyFill="0" applyAlignment="0" applyProtection="0"/>
    <xf numFmtId="169" fontId="24" fillId="0" borderId="32" applyFill="0" applyAlignment="0" applyProtection="0"/>
    <xf numFmtId="171" fontId="24" fillId="0" borderId="32" applyFill="0" applyAlignment="0" applyProtection="0"/>
    <xf numFmtId="172" fontId="24" fillId="0" borderId="32" applyFill="0" applyAlignment="0" applyProtection="0"/>
    <xf numFmtId="168" fontId="4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4" borderId="0" applyNumberFormat="0" applyBorder="0" applyAlignment="0" applyProtection="0"/>
    <xf numFmtId="0" fontId="28" fillId="51" borderId="33" applyNumberFormat="0" applyAlignment="0" applyProtection="0"/>
    <xf numFmtId="0" fontId="29" fillId="52" borderId="34" applyNumberFormat="0" applyAlignment="0" applyProtection="0"/>
    <xf numFmtId="17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33" applyNumberFormat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7" fillId="0" borderId="38" applyNumberFormat="0" applyFill="0" applyAlignment="0" applyProtection="0"/>
    <xf numFmtId="0" fontId="38" fillId="53" borderId="0" applyNumberFormat="0" applyBorder="0" applyAlignment="0" applyProtection="0"/>
    <xf numFmtId="0" fontId="4" fillId="54" borderId="39" applyNumberFormat="0" applyFont="0" applyAlignment="0" applyProtection="0"/>
    <xf numFmtId="0" fontId="39" fillId="51" borderId="40" applyNumberFormat="0" applyAlignment="0" applyProtection="0"/>
    <xf numFmtId="9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1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0"/>
    <xf numFmtId="37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4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70" fontId="4" fillId="0" borderId="0"/>
    <xf numFmtId="168" fontId="4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37" fontId="4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8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166" fontId="0" fillId="0" borderId="9" xfId="2" applyNumberFormat="1" applyFont="1" applyFill="1" applyBorder="1" applyAlignment="1" applyProtection="1">
      <alignment horizontal="right"/>
    </xf>
    <xf numFmtId="166" fontId="0" fillId="0" borderId="43" xfId="2" applyNumberFormat="1" applyFont="1" applyFill="1" applyBorder="1" applyAlignment="1" applyProtection="1">
      <alignment horizontal="right"/>
    </xf>
    <xf numFmtId="164" fontId="0" fillId="0" borderId="0" xfId="2" applyNumberFormat="1" applyFont="1" applyFill="1"/>
    <xf numFmtId="164" fontId="0" fillId="0" borderId="0" xfId="0" applyNumberFormat="1" applyFill="1"/>
    <xf numFmtId="164" fontId="2" fillId="0" borderId="13" xfId="0" applyNumberFormat="1" applyFont="1" applyFill="1" applyBorder="1" applyAlignment="1">
      <alignment horizontal="center" wrapText="1"/>
    </xf>
    <xf numFmtId="3" fontId="0" fillId="0" borderId="45" xfId="0" applyNumberFormat="1" applyFill="1" applyBorder="1"/>
    <xf numFmtId="0" fontId="2" fillId="0" borderId="14" xfId="0" applyFont="1" applyFill="1" applyBorder="1" applyAlignment="1">
      <alignment horizontal="center" wrapText="1"/>
    </xf>
    <xf numFmtId="3" fontId="0" fillId="0" borderId="8" xfId="0" applyNumberFormat="1" applyFill="1" applyBorder="1"/>
    <xf numFmtId="166" fontId="0" fillId="0" borderId="46" xfId="2" applyNumberFormat="1" applyFont="1" applyFill="1" applyBorder="1" applyAlignment="1" applyProtection="1">
      <alignment horizontal="right"/>
    </xf>
    <xf numFmtId="165" fontId="0" fillId="0" borderId="30" xfId="0" applyNumberFormat="1" applyFill="1" applyBorder="1"/>
    <xf numFmtId="0" fontId="21" fillId="0" borderId="17" xfId="171" applyFont="1" applyFill="1" applyBorder="1" applyProtection="1">
      <protection locked="0"/>
    </xf>
    <xf numFmtId="10" fontId="0" fillId="0" borderId="7" xfId="0" applyNumberFormat="1" applyFill="1" applyBorder="1"/>
    <xf numFmtId="0" fontId="2" fillId="0" borderId="13" xfId="0" applyFont="1" applyFill="1" applyBorder="1" applyAlignment="1">
      <alignment horizontal="center"/>
    </xf>
    <xf numFmtId="165" fontId="0" fillId="0" borderId="16" xfId="0" applyNumberFormat="1" applyFill="1" applyBorder="1"/>
    <xf numFmtId="0" fontId="2" fillId="0" borderId="3" xfId="0" applyFont="1" applyFill="1" applyBorder="1" applyAlignment="1">
      <alignment horizontal="center" wrapText="1"/>
    </xf>
    <xf numFmtId="3" fontId="0" fillId="0" borderId="46" xfId="0" applyNumberFormat="1" applyFill="1" applyBorder="1"/>
    <xf numFmtId="166" fontId="0" fillId="0" borderId="0" xfId="2" applyNumberFormat="1" applyFont="1" applyFill="1" applyBorder="1"/>
    <xf numFmtId="0" fontId="2" fillId="0" borderId="1" xfId="0" applyFont="1" applyFill="1" applyBorder="1"/>
    <xf numFmtId="0" fontId="2" fillId="0" borderId="4" xfId="0" applyFont="1" applyFill="1" applyBorder="1" applyAlignment="1">
      <alignment horizontal="center" wrapText="1"/>
    </xf>
    <xf numFmtId="166" fontId="0" fillId="0" borderId="7" xfId="2" applyNumberFormat="1" applyFont="1" applyFill="1" applyBorder="1" applyAlignment="1" applyProtection="1">
      <alignment horizontal="right"/>
    </xf>
    <xf numFmtId="2" fontId="0" fillId="0" borderId="16" xfId="0" applyNumberFormat="1" applyFill="1" applyBorder="1"/>
    <xf numFmtId="165" fontId="0" fillId="0" borderId="10" xfId="0" applyNumberFormat="1" applyFill="1" applyBorder="1"/>
    <xf numFmtId="3" fontId="0" fillId="0" borderId="29" xfId="0" applyNumberFormat="1" applyFill="1" applyBorder="1"/>
    <xf numFmtId="166" fontId="0" fillId="0" borderId="30" xfId="0" applyNumberFormat="1" applyFill="1" applyBorder="1"/>
    <xf numFmtId="0" fontId="5" fillId="0" borderId="2" xfId="0" applyFont="1" applyFill="1" applyBorder="1" applyAlignment="1">
      <alignment horizontal="left" vertical="center"/>
    </xf>
    <xf numFmtId="175" fontId="0" fillId="0" borderId="1" xfId="0" applyNumberFormat="1" applyFill="1" applyBorder="1"/>
    <xf numFmtId="166" fontId="0" fillId="0" borderId="7" xfId="2" applyNumberFormat="1" applyFont="1" applyFill="1" applyBorder="1"/>
    <xf numFmtId="3" fontId="0" fillId="0" borderId="49" xfId="2" applyNumberFormat="1" applyFont="1" applyFill="1" applyBorder="1"/>
    <xf numFmtId="166" fontId="0" fillId="0" borderId="7" xfId="0" applyNumberFormat="1" applyFill="1" applyBorder="1"/>
    <xf numFmtId="0" fontId="21" fillId="0" borderId="1" xfId="171" applyFont="1" applyFill="1" applyBorder="1" applyProtection="1">
      <protection locked="0"/>
    </xf>
    <xf numFmtId="175" fontId="0" fillId="0" borderId="7" xfId="0" applyNumberFormat="1" applyFill="1" applyBorder="1"/>
    <xf numFmtId="3" fontId="0" fillId="0" borderId="30" xfId="0" applyNumberFormat="1" applyFill="1" applyBorder="1"/>
    <xf numFmtId="175" fontId="0" fillId="0" borderId="30" xfId="0" applyNumberFormat="1" applyFill="1" applyBorder="1"/>
    <xf numFmtId="10" fontId="0" fillId="0" borderId="10" xfId="0" applyNumberFormat="1" applyFill="1" applyBorder="1"/>
    <xf numFmtId="3" fontId="0" fillId="0" borderId="31" xfId="0" applyNumberFormat="1" applyFill="1" applyBorder="1"/>
    <xf numFmtId="166" fontId="0" fillId="0" borderId="12" xfId="2" applyNumberFormat="1" applyFont="1" applyFill="1" applyBorder="1"/>
    <xf numFmtId="10" fontId="0" fillId="0" borderId="48" xfId="0" applyNumberFormat="1" applyFill="1" applyBorder="1"/>
    <xf numFmtId="3" fontId="0" fillId="0" borderId="43" xfId="0" applyNumberFormat="1" applyFill="1" applyBorder="1"/>
    <xf numFmtId="3" fontId="0" fillId="0" borderId="11" xfId="0" applyNumberFormat="1" applyFill="1" applyBorder="1"/>
    <xf numFmtId="166" fontId="0" fillId="0" borderId="9" xfId="2" applyNumberFormat="1" applyFont="1" applyFill="1" applyBorder="1"/>
    <xf numFmtId="166" fontId="0" fillId="0" borderId="6" xfId="2" applyNumberFormat="1" applyFont="1" applyFill="1" applyBorder="1" applyAlignment="1" applyProtection="1">
      <alignment horizontal="right"/>
    </xf>
    <xf numFmtId="0" fontId="2" fillId="0" borderId="10" xfId="0" applyFont="1" applyFill="1" applyBorder="1" applyAlignment="1">
      <alignment horizontal="center" wrapText="1"/>
    </xf>
    <xf numFmtId="0" fontId="21" fillId="0" borderId="28" xfId="171" applyFont="1" applyFill="1" applyBorder="1" applyAlignment="1" applyProtection="1">
      <alignment horizontal="center"/>
    </xf>
    <xf numFmtId="175" fontId="0" fillId="0" borderId="49" xfId="0" applyNumberFormat="1" applyFill="1" applyBorder="1"/>
    <xf numFmtId="166" fontId="0" fillId="0" borderId="10" xfId="2" applyNumberFormat="1" applyFont="1" applyFill="1" applyBorder="1"/>
    <xf numFmtId="3" fontId="0" fillId="0" borderId="48" xfId="0" applyNumberFormat="1" applyFill="1" applyBorder="1"/>
    <xf numFmtId="3" fontId="0" fillId="0" borderId="9" xfId="0" applyNumberFormat="1" applyFill="1" applyBorder="1"/>
    <xf numFmtId="0" fontId="0" fillId="0" borderId="0" xfId="0" applyFont="1" applyFill="1" applyAlignment="1"/>
    <xf numFmtId="175" fontId="0" fillId="0" borderId="29" xfId="0" applyNumberFormat="1" applyFill="1" applyBorder="1"/>
    <xf numFmtId="166" fontId="0" fillId="0" borderId="50" xfId="2" applyNumberFormat="1" applyFont="1" applyFill="1" applyBorder="1"/>
    <xf numFmtId="175" fontId="0" fillId="0" borderId="16" xfId="0" applyNumberFormat="1" applyFill="1" applyBorder="1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75" fontId="0" fillId="0" borderId="9" xfId="0" applyNumberFormat="1" applyFill="1" applyBorder="1"/>
    <xf numFmtId="164" fontId="2" fillId="0" borderId="14" xfId="0" applyNumberFormat="1" applyFont="1" applyFill="1" applyBorder="1" applyAlignment="1">
      <alignment horizontal="center" wrapText="1"/>
    </xf>
    <xf numFmtId="10" fontId="0" fillId="0" borderId="0" xfId="0" applyNumberFormat="1" applyFill="1" applyBorder="1"/>
    <xf numFmtId="0" fontId="21" fillId="0" borderId="17" xfId="171" applyFont="1" applyFill="1" applyBorder="1" applyAlignment="1" applyProtection="1">
      <alignment horizontal="left"/>
      <protection locked="0"/>
    </xf>
    <xf numFmtId="10" fontId="0" fillId="0" borderId="45" xfId="0" applyNumberFormat="1" applyFill="1" applyBorder="1"/>
    <xf numFmtId="0" fontId="2" fillId="0" borderId="10" xfId="0" applyFont="1" applyFill="1" applyBorder="1"/>
    <xf numFmtId="3" fontId="0" fillId="0" borderId="10" xfId="0" applyNumberFormat="1" applyFill="1" applyBorder="1"/>
    <xf numFmtId="10" fontId="0" fillId="0" borderId="12" xfId="0" applyNumberFormat="1" applyFill="1" applyBorder="1"/>
    <xf numFmtId="166" fontId="0" fillId="0" borderId="30" xfId="2" applyNumberFormat="1" applyFont="1" applyFill="1" applyBorder="1"/>
    <xf numFmtId="3" fontId="0" fillId="0" borderId="12" xfId="0" applyNumberFormat="1" applyFill="1" applyBorder="1"/>
    <xf numFmtId="10" fontId="0" fillId="0" borderId="16" xfId="0" applyNumberFormat="1" applyFill="1" applyBorder="1"/>
    <xf numFmtId="2" fontId="0" fillId="0" borderId="30" xfId="0" applyNumberFormat="1" applyFill="1" applyBorder="1"/>
    <xf numFmtId="175" fontId="0" fillId="0" borderId="28" xfId="0" applyNumberFormat="1" applyFill="1" applyBorder="1"/>
    <xf numFmtId="10" fontId="0" fillId="0" borderId="9" xfId="0" applyNumberFormat="1" applyFill="1" applyBorder="1"/>
    <xf numFmtId="166" fontId="0" fillId="0" borderId="16" xfId="0" applyNumberFormat="1" applyFill="1" applyBorder="1"/>
    <xf numFmtId="0" fontId="21" fillId="0" borderId="1" xfId="171" applyFont="1" applyFill="1" applyBorder="1" applyAlignment="1" applyProtection="1">
      <alignment horizontal="center"/>
    </xf>
    <xf numFmtId="175" fontId="0" fillId="0" borderId="45" xfId="0" applyNumberFormat="1" applyFill="1" applyBorder="1"/>
    <xf numFmtId="0" fontId="2" fillId="0" borderId="2" xfId="0" applyFont="1" applyFill="1" applyBorder="1" applyAlignment="1">
      <alignment horizontal="center"/>
    </xf>
    <xf numFmtId="3" fontId="0" fillId="0" borderId="8" xfId="2" applyNumberFormat="1" applyFont="1" applyFill="1" applyBorder="1"/>
    <xf numFmtId="0" fontId="2" fillId="0" borderId="5" xfId="0" applyFont="1" applyFill="1" applyBorder="1" applyAlignment="1">
      <alignment horizontal="center" wrapText="1"/>
    </xf>
    <xf numFmtId="166" fontId="0" fillId="0" borderId="42" xfId="2" applyNumberFormat="1" applyFont="1" applyFill="1" applyBorder="1"/>
    <xf numFmtId="3" fontId="0" fillId="0" borderId="49" xfId="0" applyNumberFormat="1" applyFill="1" applyBorder="1"/>
    <xf numFmtId="166" fontId="0" fillId="0" borderId="10" xfId="0" applyNumberFormat="1" applyFill="1" applyBorder="1"/>
    <xf numFmtId="175" fontId="0" fillId="0" borderId="0" xfId="0" applyNumberFormat="1" applyFill="1" applyBorder="1"/>
    <xf numFmtId="3" fontId="0" fillId="0" borderId="16" xfId="0" applyNumberFormat="1" applyFill="1" applyBorder="1"/>
    <xf numFmtId="166" fontId="0" fillId="0" borderId="48" xfId="2" applyNumberFormat="1" applyFont="1" applyFill="1" applyBorder="1"/>
    <xf numFmtId="10" fontId="0" fillId="0" borderId="30" xfId="0" applyNumberFormat="1" applyFill="1" applyBorder="1"/>
    <xf numFmtId="2" fontId="0" fillId="0" borderId="10" xfId="0" applyNumberFormat="1" applyFill="1" applyBorder="1"/>
    <xf numFmtId="166" fontId="0" fillId="0" borderId="16" xfId="2" applyNumberFormat="1" applyFont="1" applyFill="1" applyBorder="1"/>
    <xf numFmtId="166" fontId="0" fillId="0" borderId="9" xfId="0" applyNumberFormat="1" applyFill="1" applyBorder="1"/>
    <xf numFmtId="0" fontId="21" fillId="0" borderId="17" xfId="171" applyFont="1" applyFill="1" applyBorder="1" applyAlignment="1" applyProtection="1">
      <alignment horizontal="center"/>
    </xf>
    <xf numFmtId="175" fontId="0" fillId="0" borderId="48" xfId="0" applyNumberFormat="1" applyFill="1" applyBorder="1"/>
    <xf numFmtId="3" fontId="0" fillId="0" borderId="45" xfId="2" applyNumberFormat="1" applyFont="1" applyFill="1" applyBorder="1"/>
    <xf numFmtId="166" fontId="0" fillId="0" borderId="44" xfId="2" applyNumberFormat="1" applyFont="1" applyFill="1" applyBorder="1"/>
    <xf numFmtId="164" fontId="2" fillId="0" borderId="15" xfId="0" applyNumberFormat="1" applyFont="1" applyFill="1" applyBorder="1" applyAlignment="1">
      <alignment horizontal="center" wrapText="1"/>
    </xf>
    <xf numFmtId="0" fontId="2" fillId="0" borderId="2" xfId="0" applyFont="1" applyFill="1" applyBorder="1"/>
    <xf numFmtId="10" fontId="0" fillId="0" borderId="49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6" fontId="0" fillId="0" borderId="48" xfId="2" applyNumberFormat="1" applyFont="1" applyFill="1" applyBorder="1" applyAlignment="1" applyProtection="1">
      <alignment horizontal="right"/>
    </xf>
    <xf numFmtId="0" fontId="21" fillId="0" borderId="17" xfId="171" applyFont="1" applyFill="1" applyBorder="1" applyAlignment="1" applyProtection="1">
      <alignment vertical="center"/>
      <protection locked="0"/>
    </xf>
    <xf numFmtId="10" fontId="0" fillId="0" borderId="8" xfId="0" applyNumberFormat="1" applyFill="1" applyBorder="1"/>
    <xf numFmtId="0" fontId="2" fillId="0" borderId="14" xfId="0" applyFont="1" applyFill="1" applyBorder="1" applyAlignment="1">
      <alignment horizontal="center"/>
    </xf>
    <xf numFmtId="3" fontId="0" fillId="0" borderId="18" xfId="0" applyNumberFormat="1" applyFill="1" applyBorder="1"/>
    <xf numFmtId="3" fontId="0" fillId="0" borderId="0" xfId="0" applyNumberFormat="1" applyFill="1" applyBorder="1"/>
    <xf numFmtId="166" fontId="0" fillId="0" borderId="48" xfId="0" applyNumberFormat="1" applyFill="1" applyBorder="1"/>
    <xf numFmtId="175" fontId="0" fillId="0" borderId="17" xfId="0" applyNumberFormat="1" applyFill="1" applyBorder="1"/>
    <xf numFmtId="166" fontId="0" fillId="0" borderId="29" xfId="2" applyNumberFormat="1" applyFont="1" applyFill="1" applyBorder="1"/>
    <xf numFmtId="167" fontId="0" fillId="0" borderId="0" xfId="0" applyNumberFormat="1" applyFill="1"/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1" fillId="0" borderId="28" xfId="171" applyFont="1" applyFill="1" applyBorder="1" applyProtection="1">
      <protection locked="0"/>
    </xf>
    <xf numFmtId="175" fontId="0" fillId="0" borderId="8" xfId="0" applyNumberFormat="1" applyFill="1" applyBorder="1"/>
    <xf numFmtId="3" fontId="0" fillId="0" borderId="7" xfId="0" applyNumberFormat="1" applyFill="1" applyBorder="1"/>
    <xf numFmtId="175" fontId="0" fillId="0" borderId="12" xfId="0" applyNumberFormat="1" applyFill="1" applyBorder="1"/>
    <xf numFmtId="10" fontId="0" fillId="0" borderId="29" xfId="0" applyNumberFormat="1" applyFill="1" applyBorder="1"/>
    <xf numFmtId="0" fontId="2" fillId="0" borderId="13" xfId="0" applyFont="1" applyFill="1" applyBorder="1" applyAlignment="1">
      <alignment horizontal="center" wrapText="1"/>
    </xf>
    <xf numFmtId="0" fontId="0" fillId="0" borderId="45" xfId="0" applyNumberFormat="1" applyFill="1" applyBorder="1"/>
    <xf numFmtId="3" fontId="0" fillId="0" borderId="9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0" fontId="21" fillId="0" borderId="10" xfId="171" applyFont="1" applyFill="1" applyBorder="1" applyAlignment="1" applyProtection="1">
      <alignment horizontal="center"/>
    </xf>
    <xf numFmtId="0" fontId="21" fillId="0" borderId="16" xfId="171" applyFont="1" applyFill="1" applyBorder="1" applyAlignment="1" applyProtection="1">
      <alignment horizontal="center"/>
    </xf>
    <xf numFmtId="0" fontId="21" fillId="0" borderId="30" xfId="171" applyFont="1" applyFill="1" applyBorder="1" applyAlignment="1" applyProtection="1">
      <alignment horizontal="center"/>
    </xf>
    <xf numFmtId="3" fontId="21" fillId="0" borderId="17" xfId="171" applyNumberFormat="1" applyFont="1" applyFill="1" applyBorder="1" applyProtection="1">
      <protection locked="0"/>
    </xf>
    <xf numFmtId="3" fontId="21" fillId="0" borderId="17" xfId="171" applyNumberFormat="1" applyFont="1" applyFill="1" applyBorder="1" applyAlignment="1" applyProtection="1">
      <alignment horizontal="center"/>
    </xf>
    <xf numFmtId="3" fontId="0" fillId="0" borderId="43" xfId="2" applyNumberFormat="1" applyFont="1" applyFill="1" applyBorder="1" applyAlignment="1" applyProtection="1">
      <alignment horizontal="right"/>
    </xf>
    <xf numFmtId="3" fontId="0" fillId="0" borderId="9" xfId="2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0" fontId="0" fillId="0" borderId="17" xfId="0" applyNumberFormat="1" applyFill="1" applyBorder="1"/>
    <xf numFmtId="175" fontId="0" fillId="0" borderId="10" xfId="0" applyNumberFormat="1" applyFill="1" applyBorder="1"/>
    <xf numFmtId="3" fontId="0" fillId="0" borderId="0" xfId="0" applyNumberFormat="1" applyFont="1" applyFill="1"/>
    <xf numFmtId="166" fontId="0" fillId="0" borderId="42" xfId="2" applyNumberFormat="1" applyFont="1" applyFill="1" applyBorder="1" applyAlignment="1" applyProtection="1">
      <alignment horizontal="right"/>
    </xf>
    <xf numFmtId="166" fontId="0" fillId="0" borderId="44" xfId="2" applyNumberFormat="1" applyFont="1" applyFill="1" applyBorder="1" applyAlignment="1" applyProtection="1">
      <alignment horizontal="right"/>
    </xf>
    <xf numFmtId="3" fontId="0" fillId="0" borderId="44" xfId="2" applyNumberFormat="1" applyFont="1" applyFill="1" applyBorder="1" applyAlignment="1" applyProtection="1">
      <alignment horizontal="right"/>
    </xf>
    <xf numFmtId="166" fontId="0" fillId="0" borderId="50" xfId="2" applyNumberFormat="1" applyFont="1" applyFill="1" applyBorder="1" applyAlignment="1" applyProtection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 applyProtection="1">
      <alignment horizontal="right"/>
    </xf>
    <xf numFmtId="165" fontId="0" fillId="0" borderId="17" xfId="0" applyNumberFormat="1" applyFont="1" applyFill="1" applyBorder="1" applyAlignment="1" applyProtection="1">
      <alignment horizontal="right"/>
    </xf>
    <xf numFmtId="165" fontId="0" fillId="0" borderId="28" xfId="0" applyNumberFormat="1" applyFont="1" applyFill="1" applyBorder="1" applyAlignment="1" applyProtection="1">
      <alignment horizontal="right"/>
    </xf>
    <xf numFmtId="166" fontId="0" fillId="0" borderId="42" xfId="0" applyNumberFormat="1" applyFill="1" applyBorder="1"/>
    <xf numFmtId="166" fontId="0" fillId="0" borderId="44" xfId="0" applyNumberFormat="1" applyFill="1" applyBorder="1"/>
    <xf numFmtId="166" fontId="0" fillId="0" borderId="50" xfId="0" applyNumberFormat="1" applyFill="1" applyBorder="1"/>
    <xf numFmtId="166" fontId="0" fillId="0" borderId="8" xfId="0" applyNumberFormat="1" applyFill="1" applyBorder="1"/>
    <xf numFmtId="166" fontId="0" fillId="0" borderId="45" xfId="0" applyNumberFormat="1" applyFill="1" applyBorder="1"/>
    <xf numFmtId="166" fontId="0" fillId="0" borderId="49" xfId="0" applyNumberFormat="1" applyFill="1" applyBorder="1"/>
    <xf numFmtId="164" fontId="2" fillId="0" borderId="1" xfId="2" applyNumberFormat="1" applyFont="1" applyFill="1" applyBorder="1" applyAlignment="1">
      <alignment horizontal="center"/>
    </xf>
    <xf numFmtId="166" fontId="0" fillId="0" borderId="11" xfId="0" applyNumberFormat="1" applyFill="1" applyBorder="1"/>
    <xf numFmtId="166" fontId="0" fillId="0" borderId="18" xfId="0" applyNumberFormat="1" applyFill="1" applyBorder="1"/>
    <xf numFmtId="166" fontId="0" fillId="0" borderId="31" xfId="0" applyNumberFormat="1" applyFill="1" applyBorder="1"/>
    <xf numFmtId="10" fontId="0" fillId="0" borderId="1" xfId="0" applyNumberFormat="1" applyFill="1" applyBorder="1"/>
    <xf numFmtId="10" fontId="0" fillId="0" borderId="28" xfId="0" applyNumberFormat="1" applyFill="1" applyBorder="1"/>
    <xf numFmtId="9" fontId="21" fillId="0" borderId="0" xfId="0" applyNumberFormat="1" applyFont="1" applyFill="1"/>
    <xf numFmtId="10" fontId="21" fillId="0" borderId="0" xfId="0" applyNumberFormat="1" applyFont="1" applyFill="1"/>
    <xf numFmtId="0" fontId="0" fillId="0" borderId="10" xfId="0" applyFill="1" applyBorder="1"/>
    <xf numFmtId="4" fontId="0" fillId="0" borderId="16" xfId="0" applyNumberFormat="1" applyFill="1" applyBorder="1"/>
    <xf numFmtId="164" fontId="0" fillId="0" borderId="16" xfId="0" applyNumberFormat="1" applyFill="1" applyBorder="1"/>
    <xf numFmtId="0" fontId="0" fillId="0" borderId="16" xfId="0" applyFill="1" applyBorder="1"/>
    <xf numFmtId="0" fontId="0" fillId="0" borderId="30" xfId="0" applyFill="1" applyBorder="1"/>
    <xf numFmtId="3" fontId="0" fillId="0" borderId="0" xfId="0" applyNumberFormat="1" applyFill="1"/>
    <xf numFmtId="0" fontId="2" fillId="0" borderId="6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/>
    <xf numFmtId="3" fontId="0" fillId="55" borderId="16" xfId="0" applyNumberFormat="1" applyFill="1" applyBorder="1"/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1" fillId="0" borderId="0" xfId="0" applyFont="1" applyFill="1"/>
    <xf numFmtId="3" fontId="0" fillId="0" borderId="43" xfId="0" applyNumberForma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wrapText="1"/>
    </xf>
    <xf numFmtId="10" fontId="1" fillId="0" borderId="1" xfId="44" applyNumberFormat="1" applyFont="1" applyFill="1" applyBorder="1"/>
    <xf numFmtId="175" fontId="0" fillId="0" borderId="10" xfId="44" applyNumberFormat="1" applyFont="1" applyFill="1" applyBorder="1"/>
    <xf numFmtId="175" fontId="0" fillId="0" borderId="7" xfId="44" applyNumberFormat="1" applyFont="1" applyFill="1" applyBorder="1"/>
    <xf numFmtId="10" fontId="0" fillId="0" borderId="29" xfId="44" applyNumberFormat="1" applyFont="1" applyFill="1" applyBorder="1"/>
    <xf numFmtId="10" fontId="1" fillId="0" borderId="17" xfId="44" applyNumberFormat="1" applyFont="1" applyFill="1" applyBorder="1"/>
    <xf numFmtId="175" fontId="0" fillId="0" borderId="16" xfId="44" applyNumberFormat="1" applyFont="1" applyFill="1" applyBorder="1"/>
    <xf numFmtId="175" fontId="0" fillId="0" borderId="9" xfId="44" applyNumberFormat="1" applyFont="1" applyFill="1" applyBorder="1"/>
    <xf numFmtId="10" fontId="0" fillId="0" borderId="0" xfId="44" applyNumberFormat="1" applyFont="1" applyFill="1" applyBorder="1"/>
    <xf numFmtId="10" fontId="1" fillId="0" borderId="28" xfId="44" applyNumberFormat="1" applyFont="1" applyFill="1" applyBorder="1"/>
    <xf numFmtId="175" fontId="0" fillId="0" borderId="30" xfId="44" applyNumberFormat="1" applyFont="1" applyFill="1" applyBorder="1"/>
    <xf numFmtId="175" fontId="0" fillId="0" borderId="48" xfId="44" applyNumberFormat="1" applyFont="1" applyFill="1" applyBorder="1"/>
    <xf numFmtId="10" fontId="0" fillId="0" borderId="12" xfId="44" applyNumberFormat="1" applyFont="1" applyFill="1" applyBorder="1"/>
  </cellXfs>
  <cellStyles count="33959">
    <cellStyle name="20 % - Markeringsfarve1" xfId="21" builtinId="30" customBuiltin="1"/>
    <cellStyle name="20 % - Markeringsfarve1 10" xfId="1828"/>
    <cellStyle name="20 % - Markeringsfarve1 10 2" xfId="6816"/>
    <cellStyle name="20 % - Markeringsfarve1 10 2 2" xfId="17624"/>
    <cellStyle name="20 % - Markeringsfarve1 10 2 3" xfId="28981"/>
    <cellStyle name="20 % - Markeringsfarve1 10 3" xfId="12639"/>
    <cellStyle name="20 % - Markeringsfarve1 10 4" xfId="23997"/>
    <cellStyle name="20 % - Markeringsfarve1 11" xfId="3493"/>
    <cellStyle name="20 % - Markeringsfarve1 11 2" xfId="8478"/>
    <cellStyle name="20 % - Markeringsfarve1 11 2 2" xfId="19285"/>
    <cellStyle name="20 % - Markeringsfarve1 11 2 3" xfId="30642"/>
    <cellStyle name="20 % - Markeringsfarve1 11 3" xfId="14300"/>
    <cellStyle name="20 % - Markeringsfarve1 11 4" xfId="25658"/>
    <cellStyle name="20 % - Markeringsfarve1 12" xfId="5154"/>
    <cellStyle name="20 % - Markeringsfarve1 12 2" xfId="15963"/>
    <cellStyle name="20 % - Markeringsfarve1 12 3" xfId="27320"/>
    <cellStyle name="20 % - Markeringsfarve1 13" xfId="10139"/>
    <cellStyle name="20 % - Markeringsfarve1 13 2" xfId="20946"/>
    <cellStyle name="20 % - Markeringsfarve1 13 3" xfId="32303"/>
    <cellStyle name="20 % - Markeringsfarve1 14" xfId="10973"/>
    <cellStyle name="20 % - Markeringsfarve1 15" xfId="21780"/>
    <cellStyle name="20 % - Markeringsfarve1 16" xfId="22333"/>
    <cellStyle name="20 % - Markeringsfarve1 17" xfId="33136"/>
    <cellStyle name="20 % - Markeringsfarve1 18" xfId="33445"/>
    <cellStyle name="20 % - Markeringsfarve1 19" xfId="33716"/>
    <cellStyle name="20 % - Markeringsfarve1 2" xfId="51"/>
    <cellStyle name="20 % - Markeringsfarve1 2 10" xfId="1841"/>
    <cellStyle name="20 % - Markeringsfarve1 2 10 2" xfId="6829"/>
    <cellStyle name="20 % - Markeringsfarve1 2 10 2 2" xfId="17637"/>
    <cellStyle name="20 % - Markeringsfarve1 2 10 2 3" xfId="28994"/>
    <cellStyle name="20 % - Markeringsfarve1 2 10 3" xfId="12652"/>
    <cellStyle name="20 % - Markeringsfarve1 2 10 4" xfId="24010"/>
    <cellStyle name="20 % - Markeringsfarve1 2 11" xfId="3506"/>
    <cellStyle name="20 % - Markeringsfarve1 2 11 2" xfId="8491"/>
    <cellStyle name="20 % - Markeringsfarve1 2 11 2 2" xfId="19298"/>
    <cellStyle name="20 % - Markeringsfarve1 2 11 2 3" xfId="30655"/>
    <cellStyle name="20 % - Markeringsfarve1 2 11 3" xfId="14313"/>
    <cellStyle name="20 % - Markeringsfarve1 2 11 4" xfId="25671"/>
    <cellStyle name="20 % - Markeringsfarve1 2 12" xfId="5167"/>
    <cellStyle name="20 % - Markeringsfarve1 2 12 2" xfId="15976"/>
    <cellStyle name="20 % - Markeringsfarve1 2 12 3" xfId="27333"/>
    <cellStyle name="20 % - Markeringsfarve1 2 13" xfId="10152"/>
    <cellStyle name="20 % - Markeringsfarve1 2 13 2" xfId="20959"/>
    <cellStyle name="20 % - Markeringsfarve1 2 13 3" xfId="32316"/>
    <cellStyle name="20 % - Markeringsfarve1 2 14" xfId="10986"/>
    <cellStyle name="20 % - Markeringsfarve1 2 15" xfId="21793"/>
    <cellStyle name="20 % - Markeringsfarve1 2 16" xfId="22346"/>
    <cellStyle name="20 % - Markeringsfarve1 2 17" xfId="33149"/>
    <cellStyle name="20 % - Markeringsfarve1 2 18" xfId="33410"/>
    <cellStyle name="20 % - Markeringsfarve1 2 19" xfId="33681"/>
    <cellStyle name="20 % - Markeringsfarve1 2 2" xfId="79"/>
    <cellStyle name="20 % - Markeringsfarve1 2 2 10" xfId="3525"/>
    <cellStyle name="20 % - Markeringsfarve1 2 2 10 2" xfId="8510"/>
    <cellStyle name="20 % - Markeringsfarve1 2 2 10 2 2" xfId="19317"/>
    <cellStyle name="20 % - Markeringsfarve1 2 2 10 2 3" xfId="30674"/>
    <cellStyle name="20 % - Markeringsfarve1 2 2 10 3" xfId="14332"/>
    <cellStyle name="20 % - Markeringsfarve1 2 2 10 4" xfId="25690"/>
    <cellStyle name="20 % - Markeringsfarve1 2 2 11" xfId="5186"/>
    <cellStyle name="20 % - Markeringsfarve1 2 2 11 2" xfId="15995"/>
    <cellStyle name="20 % - Markeringsfarve1 2 2 11 3" xfId="27352"/>
    <cellStyle name="20 % - Markeringsfarve1 2 2 12" xfId="10170"/>
    <cellStyle name="20 % - Markeringsfarve1 2 2 12 2" xfId="20977"/>
    <cellStyle name="20 % - Markeringsfarve1 2 2 12 3" xfId="32334"/>
    <cellStyle name="20 % - Markeringsfarve1 2 2 13" xfId="11004"/>
    <cellStyle name="20 % - Markeringsfarve1 2 2 14" xfId="21811"/>
    <cellStyle name="20 % - Markeringsfarve1 2 2 15" xfId="22364"/>
    <cellStyle name="20 % - Markeringsfarve1 2 2 16" xfId="33167"/>
    <cellStyle name="20 % - Markeringsfarve1 2 2 17" xfId="33436"/>
    <cellStyle name="20 % - Markeringsfarve1 2 2 18" xfId="33707"/>
    <cellStyle name="20 % - Markeringsfarve1 2 2 2" xfId="207"/>
    <cellStyle name="20 % - Markeringsfarve1 2 2 2 10" xfId="21865"/>
    <cellStyle name="20 % - Markeringsfarve1 2 2 2 11" xfId="22418"/>
    <cellStyle name="20 % - Markeringsfarve1 2 2 2 12" xfId="33221"/>
    <cellStyle name="20 % - Markeringsfarve1 2 2 2 13" xfId="33496"/>
    <cellStyle name="20 % - Markeringsfarve1 2 2 2 14" xfId="33767"/>
    <cellStyle name="20 % - Markeringsfarve1 2 2 2 2" xfId="525"/>
    <cellStyle name="20 % - Markeringsfarve1 2 2 2 2 2" xfId="1357"/>
    <cellStyle name="20 % - Markeringsfarve1 2 2 2 2 2 2" xfId="3022"/>
    <cellStyle name="20 % - Markeringsfarve1 2 2 2 2 2 2 2" xfId="8010"/>
    <cellStyle name="20 % - Markeringsfarve1 2 2 2 2 2 2 2 2" xfId="18817"/>
    <cellStyle name="20 % - Markeringsfarve1 2 2 2 2 2 2 2 3" xfId="30174"/>
    <cellStyle name="20 % - Markeringsfarve1 2 2 2 2 2 2 3" xfId="13832"/>
    <cellStyle name="20 % - Markeringsfarve1 2 2 2 2 2 2 4" xfId="25190"/>
    <cellStyle name="20 % - Markeringsfarve1 2 2 2 2 2 3" xfId="4686"/>
    <cellStyle name="20 % - Markeringsfarve1 2 2 2 2 2 3 2" xfId="9671"/>
    <cellStyle name="20 % - Markeringsfarve1 2 2 2 2 2 3 2 2" xfId="20478"/>
    <cellStyle name="20 % - Markeringsfarve1 2 2 2 2 2 3 2 3" xfId="31835"/>
    <cellStyle name="20 % - Markeringsfarve1 2 2 2 2 2 3 3" xfId="15493"/>
    <cellStyle name="20 % - Markeringsfarve1 2 2 2 2 2 3 4" xfId="26851"/>
    <cellStyle name="20 % - Markeringsfarve1 2 2 2 2 2 4" xfId="6348"/>
    <cellStyle name="20 % - Markeringsfarve1 2 2 2 2 2 4 2" xfId="17156"/>
    <cellStyle name="20 % - Markeringsfarve1 2 2 2 2 2 4 3" xfId="28513"/>
    <cellStyle name="20 % - Markeringsfarve1 2 2 2 2 2 5" xfId="12171"/>
    <cellStyle name="20 % - Markeringsfarve1 2 2 2 2 2 6" xfId="23529"/>
    <cellStyle name="20 % - Markeringsfarve1 2 2 2 2 3" xfId="2191"/>
    <cellStyle name="20 % - Markeringsfarve1 2 2 2 2 3 2" xfId="7179"/>
    <cellStyle name="20 % - Markeringsfarve1 2 2 2 2 3 2 2" xfId="17986"/>
    <cellStyle name="20 % - Markeringsfarve1 2 2 2 2 3 2 3" xfId="29343"/>
    <cellStyle name="20 % - Markeringsfarve1 2 2 2 2 3 3" xfId="13001"/>
    <cellStyle name="20 % - Markeringsfarve1 2 2 2 2 3 4" xfId="24359"/>
    <cellStyle name="20 % - Markeringsfarve1 2 2 2 2 4" xfId="3855"/>
    <cellStyle name="20 % - Markeringsfarve1 2 2 2 2 4 2" xfId="8840"/>
    <cellStyle name="20 % - Markeringsfarve1 2 2 2 2 4 2 2" xfId="19647"/>
    <cellStyle name="20 % - Markeringsfarve1 2 2 2 2 4 2 3" xfId="31004"/>
    <cellStyle name="20 % - Markeringsfarve1 2 2 2 2 4 3" xfId="14662"/>
    <cellStyle name="20 % - Markeringsfarve1 2 2 2 2 4 4" xfId="26020"/>
    <cellStyle name="20 % - Markeringsfarve1 2 2 2 2 5" xfId="5517"/>
    <cellStyle name="20 % - Markeringsfarve1 2 2 2 2 5 2" xfId="16325"/>
    <cellStyle name="20 % - Markeringsfarve1 2 2 2 2 5 3" xfId="27682"/>
    <cellStyle name="20 % - Markeringsfarve1 2 2 2 2 6" xfId="10504"/>
    <cellStyle name="20 % - Markeringsfarve1 2 2 2 2 6 2" xfId="21311"/>
    <cellStyle name="20 % - Markeringsfarve1 2 2 2 2 6 3" xfId="32668"/>
    <cellStyle name="20 % - Markeringsfarve1 2 2 2 2 7" xfId="11338"/>
    <cellStyle name="20 % - Markeringsfarve1 2 2 2 2 8" xfId="22144"/>
    <cellStyle name="20 % - Markeringsfarve1 2 2 2 2 9" xfId="22698"/>
    <cellStyle name="20 % - Markeringsfarve1 2 2 2 3" xfId="799"/>
    <cellStyle name="20 % - Markeringsfarve1 2 2 2 3 2" xfId="1631"/>
    <cellStyle name="20 % - Markeringsfarve1 2 2 2 3 2 2" xfId="3296"/>
    <cellStyle name="20 % - Markeringsfarve1 2 2 2 3 2 2 2" xfId="8284"/>
    <cellStyle name="20 % - Markeringsfarve1 2 2 2 3 2 2 2 2" xfId="19091"/>
    <cellStyle name="20 % - Markeringsfarve1 2 2 2 3 2 2 2 3" xfId="30448"/>
    <cellStyle name="20 % - Markeringsfarve1 2 2 2 3 2 2 3" xfId="14106"/>
    <cellStyle name="20 % - Markeringsfarve1 2 2 2 3 2 2 4" xfId="25464"/>
    <cellStyle name="20 % - Markeringsfarve1 2 2 2 3 2 3" xfId="4960"/>
    <cellStyle name="20 % - Markeringsfarve1 2 2 2 3 2 3 2" xfId="9945"/>
    <cellStyle name="20 % - Markeringsfarve1 2 2 2 3 2 3 2 2" xfId="20752"/>
    <cellStyle name="20 % - Markeringsfarve1 2 2 2 3 2 3 2 3" xfId="32109"/>
    <cellStyle name="20 % - Markeringsfarve1 2 2 2 3 2 3 3" xfId="15767"/>
    <cellStyle name="20 % - Markeringsfarve1 2 2 2 3 2 3 4" xfId="27125"/>
    <cellStyle name="20 % - Markeringsfarve1 2 2 2 3 2 4" xfId="6622"/>
    <cellStyle name="20 % - Markeringsfarve1 2 2 2 3 2 4 2" xfId="17430"/>
    <cellStyle name="20 % - Markeringsfarve1 2 2 2 3 2 4 3" xfId="28787"/>
    <cellStyle name="20 % - Markeringsfarve1 2 2 2 3 2 5" xfId="12445"/>
    <cellStyle name="20 % - Markeringsfarve1 2 2 2 3 2 6" xfId="23803"/>
    <cellStyle name="20 % - Markeringsfarve1 2 2 2 3 3" xfId="2465"/>
    <cellStyle name="20 % - Markeringsfarve1 2 2 2 3 3 2" xfId="7453"/>
    <cellStyle name="20 % - Markeringsfarve1 2 2 2 3 3 2 2" xfId="18260"/>
    <cellStyle name="20 % - Markeringsfarve1 2 2 2 3 3 2 3" xfId="29617"/>
    <cellStyle name="20 % - Markeringsfarve1 2 2 2 3 3 3" xfId="13275"/>
    <cellStyle name="20 % - Markeringsfarve1 2 2 2 3 3 4" xfId="24633"/>
    <cellStyle name="20 % - Markeringsfarve1 2 2 2 3 4" xfId="4129"/>
    <cellStyle name="20 % - Markeringsfarve1 2 2 2 3 4 2" xfId="9114"/>
    <cellStyle name="20 % - Markeringsfarve1 2 2 2 3 4 2 2" xfId="19921"/>
    <cellStyle name="20 % - Markeringsfarve1 2 2 2 3 4 2 3" xfId="31278"/>
    <cellStyle name="20 % - Markeringsfarve1 2 2 2 3 4 3" xfId="14936"/>
    <cellStyle name="20 % - Markeringsfarve1 2 2 2 3 4 4" xfId="26294"/>
    <cellStyle name="20 % - Markeringsfarve1 2 2 2 3 5" xfId="5791"/>
    <cellStyle name="20 % - Markeringsfarve1 2 2 2 3 5 2" xfId="16599"/>
    <cellStyle name="20 % - Markeringsfarve1 2 2 2 3 5 3" xfId="27956"/>
    <cellStyle name="20 % - Markeringsfarve1 2 2 2 3 6" xfId="10778"/>
    <cellStyle name="20 % - Markeringsfarve1 2 2 2 3 6 2" xfId="21585"/>
    <cellStyle name="20 % - Markeringsfarve1 2 2 2 3 6 3" xfId="32942"/>
    <cellStyle name="20 % - Markeringsfarve1 2 2 2 3 7" xfId="11613"/>
    <cellStyle name="20 % - Markeringsfarve1 2 2 2 3 8" xfId="22972"/>
    <cellStyle name="20 % - Markeringsfarve1 2 2 2 4" xfId="1078"/>
    <cellStyle name="20 % - Markeringsfarve1 2 2 2 4 2" xfId="2743"/>
    <cellStyle name="20 % - Markeringsfarve1 2 2 2 4 2 2" xfId="7731"/>
    <cellStyle name="20 % - Markeringsfarve1 2 2 2 4 2 2 2" xfId="18538"/>
    <cellStyle name="20 % - Markeringsfarve1 2 2 2 4 2 2 3" xfId="29895"/>
    <cellStyle name="20 % - Markeringsfarve1 2 2 2 4 2 3" xfId="13553"/>
    <cellStyle name="20 % - Markeringsfarve1 2 2 2 4 2 4" xfId="24911"/>
    <cellStyle name="20 % - Markeringsfarve1 2 2 2 4 3" xfId="4407"/>
    <cellStyle name="20 % - Markeringsfarve1 2 2 2 4 3 2" xfId="9392"/>
    <cellStyle name="20 % - Markeringsfarve1 2 2 2 4 3 2 2" xfId="20199"/>
    <cellStyle name="20 % - Markeringsfarve1 2 2 2 4 3 2 3" xfId="31556"/>
    <cellStyle name="20 % - Markeringsfarve1 2 2 2 4 3 3" xfId="15214"/>
    <cellStyle name="20 % - Markeringsfarve1 2 2 2 4 3 4" xfId="26572"/>
    <cellStyle name="20 % - Markeringsfarve1 2 2 2 4 4" xfId="6069"/>
    <cellStyle name="20 % - Markeringsfarve1 2 2 2 4 4 2" xfId="16877"/>
    <cellStyle name="20 % - Markeringsfarve1 2 2 2 4 4 3" xfId="28234"/>
    <cellStyle name="20 % - Markeringsfarve1 2 2 2 4 5" xfId="11892"/>
    <cellStyle name="20 % - Markeringsfarve1 2 2 2 4 6" xfId="23250"/>
    <cellStyle name="20 % - Markeringsfarve1 2 2 2 5" xfId="1913"/>
    <cellStyle name="20 % - Markeringsfarve1 2 2 2 5 2" xfId="6901"/>
    <cellStyle name="20 % - Markeringsfarve1 2 2 2 5 2 2" xfId="17709"/>
    <cellStyle name="20 % - Markeringsfarve1 2 2 2 5 2 3" xfId="29066"/>
    <cellStyle name="20 % - Markeringsfarve1 2 2 2 5 3" xfId="12724"/>
    <cellStyle name="20 % - Markeringsfarve1 2 2 2 5 4" xfId="24082"/>
    <cellStyle name="20 % - Markeringsfarve1 2 2 2 6" xfId="3578"/>
    <cellStyle name="20 % - Markeringsfarve1 2 2 2 6 2" xfId="8563"/>
    <cellStyle name="20 % - Markeringsfarve1 2 2 2 6 2 2" xfId="19370"/>
    <cellStyle name="20 % - Markeringsfarve1 2 2 2 6 2 3" xfId="30727"/>
    <cellStyle name="20 % - Markeringsfarve1 2 2 2 6 3" xfId="14385"/>
    <cellStyle name="20 % - Markeringsfarve1 2 2 2 6 4" xfId="25743"/>
    <cellStyle name="20 % - Markeringsfarve1 2 2 2 7" xfId="5239"/>
    <cellStyle name="20 % - Markeringsfarve1 2 2 2 7 2" xfId="16048"/>
    <cellStyle name="20 % - Markeringsfarve1 2 2 2 7 3" xfId="27405"/>
    <cellStyle name="20 % - Markeringsfarve1 2 2 2 8" xfId="10224"/>
    <cellStyle name="20 % - Markeringsfarve1 2 2 2 8 2" xfId="21031"/>
    <cellStyle name="20 % - Markeringsfarve1 2 2 2 8 3" xfId="32388"/>
    <cellStyle name="20 % - Markeringsfarve1 2 2 2 9" xfId="11058"/>
    <cellStyle name="20 % - Markeringsfarve1 2 2 3" xfId="262"/>
    <cellStyle name="20 % - Markeringsfarve1 2 2 3 10" xfId="21919"/>
    <cellStyle name="20 % - Markeringsfarve1 2 2 3 11" xfId="22472"/>
    <cellStyle name="20 % - Markeringsfarve1 2 2 3 12" xfId="33275"/>
    <cellStyle name="20 % - Markeringsfarve1 2 2 3 13" xfId="33550"/>
    <cellStyle name="20 % - Markeringsfarve1 2 2 3 14" xfId="33821"/>
    <cellStyle name="20 % - Markeringsfarve1 2 2 3 2" xfId="579"/>
    <cellStyle name="20 % - Markeringsfarve1 2 2 3 2 2" xfId="1411"/>
    <cellStyle name="20 % - Markeringsfarve1 2 2 3 2 2 2" xfId="3076"/>
    <cellStyle name="20 % - Markeringsfarve1 2 2 3 2 2 2 2" xfId="8064"/>
    <cellStyle name="20 % - Markeringsfarve1 2 2 3 2 2 2 2 2" xfId="18871"/>
    <cellStyle name="20 % - Markeringsfarve1 2 2 3 2 2 2 2 3" xfId="30228"/>
    <cellStyle name="20 % - Markeringsfarve1 2 2 3 2 2 2 3" xfId="13886"/>
    <cellStyle name="20 % - Markeringsfarve1 2 2 3 2 2 2 4" xfId="25244"/>
    <cellStyle name="20 % - Markeringsfarve1 2 2 3 2 2 3" xfId="4740"/>
    <cellStyle name="20 % - Markeringsfarve1 2 2 3 2 2 3 2" xfId="9725"/>
    <cellStyle name="20 % - Markeringsfarve1 2 2 3 2 2 3 2 2" xfId="20532"/>
    <cellStyle name="20 % - Markeringsfarve1 2 2 3 2 2 3 2 3" xfId="31889"/>
    <cellStyle name="20 % - Markeringsfarve1 2 2 3 2 2 3 3" xfId="15547"/>
    <cellStyle name="20 % - Markeringsfarve1 2 2 3 2 2 3 4" xfId="26905"/>
    <cellStyle name="20 % - Markeringsfarve1 2 2 3 2 2 4" xfId="6402"/>
    <cellStyle name="20 % - Markeringsfarve1 2 2 3 2 2 4 2" xfId="17210"/>
    <cellStyle name="20 % - Markeringsfarve1 2 2 3 2 2 4 3" xfId="28567"/>
    <cellStyle name="20 % - Markeringsfarve1 2 2 3 2 2 5" xfId="12225"/>
    <cellStyle name="20 % - Markeringsfarve1 2 2 3 2 2 6" xfId="23583"/>
    <cellStyle name="20 % - Markeringsfarve1 2 2 3 2 3" xfId="2245"/>
    <cellStyle name="20 % - Markeringsfarve1 2 2 3 2 3 2" xfId="7233"/>
    <cellStyle name="20 % - Markeringsfarve1 2 2 3 2 3 2 2" xfId="18040"/>
    <cellStyle name="20 % - Markeringsfarve1 2 2 3 2 3 2 3" xfId="29397"/>
    <cellStyle name="20 % - Markeringsfarve1 2 2 3 2 3 3" xfId="13055"/>
    <cellStyle name="20 % - Markeringsfarve1 2 2 3 2 3 4" xfId="24413"/>
    <cellStyle name="20 % - Markeringsfarve1 2 2 3 2 4" xfId="3909"/>
    <cellStyle name="20 % - Markeringsfarve1 2 2 3 2 4 2" xfId="8894"/>
    <cellStyle name="20 % - Markeringsfarve1 2 2 3 2 4 2 2" xfId="19701"/>
    <cellStyle name="20 % - Markeringsfarve1 2 2 3 2 4 2 3" xfId="31058"/>
    <cellStyle name="20 % - Markeringsfarve1 2 2 3 2 4 3" xfId="14716"/>
    <cellStyle name="20 % - Markeringsfarve1 2 2 3 2 4 4" xfId="26074"/>
    <cellStyle name="20 % - Markeringsfarve1 2 2 3 2 5" xfId="5571"/>
    <cellStyle name="20 % - Markeringsfarve1 2 2 3 2 5 2" xfId="16379"/>
    <cellStyle name="20 % - Markeringsfarve1 2 2 3 2 5 3" xfId="27736"/>
    <cellStyle name="20 % - Markeringsfarve1 2 2 3 2 6" xfId="10558"/>
    <cellStyle name="20 % - Markeringsfarve1 2 2 3 2 6 2" xfId="21365"/>
    <cellStyle name="20 % - Markeringsfarve1 2 2 3 2 6 3" xfId="32722"/>
    <cellStyle name="20 % - Markeringsfarve1 2 2 3 2 7" xfId="11392"/>
    <cellStyle name="20 % - Markeringsfarve1 2 2 3 2 8" xfId="22198"/>
    <cellStyle name="20 % - Markeringsfarve1 2 2 3 2 9" xfId="22752"/>
    <cellStyle name="20 % - Markeringsfarve1 2 2 3 3" xfId="853"/>
    <cellStyle name="20 % - Markeringsfarve1 2 2 3 3 2" xfId="1685"/>
    <cellStyle name="20 % - Markeringsfarve1 2 2 3 3 2 2" xfId="3350"/>
    <cellStyle name="20 % - Markeringsfarve1 2 2 3 3 2 2 2" xfId="8338"/>
    <cellStyle name="20 % - Markeringsfarve1 2 2 3 3 2 2 2 2" xfId="19145"/>
    <cellStyle name="20 % - Markeringsfarve1 2 2 3 3 2 2 2 3" xfId="30502"/>
    <cellStyle name="20 % - Markeringsfarve1 2 2 3 3 2 2 3" xfId="14160"/>
    <cellStyle name="20 % - Markeringsfarve1 2 2 3 3 2 2 4" xfId="25518"/>
    <cellStyle name="20 % - Markeringsfarve1 2 2 3 3 2 3" xfId="5014"/>
    <cellStyle name="20 % - Markeringsfarve1 2 2 3 3 2 3 2" xfId="9999"/>
    <cellStyle name="20 % - Markeringsfarve1 2 2 3 3 2 3 2 2" xfId="20806"/>
    <cellStyle name="20 % - Markeringsfarve1 2 2 3 3 2 3 2 3" xfId="32163"/>
    <cellStyle name="20 % - Markeringsfarve1 2 2 3 3 2 3 3" xfId="15821"/>
    <cellStyle name="20 % - Markeringsfarve1 2 2 3 3 2 3 4" xfId="27179"/>
    <cellStyle name="20 % - Markeringsfarve1 2 2 3 3 2 4" xfId="6676"/>
    <cellStyle name="20 % - Markeringsfarve1 2 2 3 3 2 4 2" xfId="17484"/>
    <cellStyle name="20 % - Markeringsfarve1 2 2 3 3 2 4 3" xfId="28841"/>
    <cellStyle name="20 % - Markeringsfarve1 2 2 3 3 2 5" xfId="12499"/>
    <cellStyle name="20 % - Markeringsfarve1 2 2 3 3 2 6" xfId="23857"/>
    <cellStyle name="20 % - Markeringsfarve1 2 2 3 3 3" xfId="2519"/>
    <cellStyle name="20 % - Markeringsfarve1 2 2 3 3 3 2" xfId="7507"/>
    <cellStyle name="20 % - Markeringsfarve1 2 2 3 3 3 2 2" xfId="18314"/>
    <cellStyle name="20 % - Markeringsfarve1 2 2 3 3 3 2 3" xfId="29671"/>
    <cellStyle name="20 % - Markeringsfarve1 2 2 3 3 3 3" xfId="13329"/>
    <cellStyle name="20 % - Markeringsfarve1 2 2 3 3 3 4" xfId="24687"/>
    <cellStyle name="20 % - Markeringsfarve1 2 2 3 3 4" xfId="4183"/>
    <cellStyle name="20 % - Markeringsfarve1 2 2 3 3 4 2" xfId="9168"/>
    <cellStyle name="20 % - Markeringsfarve1 2 2 3 3 4 2 2" xfId="19975"/>
    <cellStyle name="20 % - Markeringsfarve1 2 2 3 3 4 2 3" xfId="31332"/>
    <cellStyle name="20 % - Markeringsfarve1 2 2 3 3 4 3" xfId="14990"/>
    <cellStyle name="20 % - Markeringsfarve1 2 2 3 3 4 4" xfId="26348"/>
    <cellStyle name="20 % - Markeringsfarve1 2 2 3 3 5" xfId="5845"/>
    <cellStyle name="20 % - Markeringsfarve1 2 2 3 3 5 2" xfId="16653"/>
    <cellStyle name="20 % - Markeringsfarve1 2 2 3 3 5 3" xfId="28010"/>
    <cellStyle name="20 % - Markeringsfarve1 2 2 3 3 6" xfId="10832"/>
    <cellStyle name="20 % - Markeringsfarve1 2 2 3 3 6 2" xfId="21639"/>
    <cellStyle name="20 % - Markeringsfarve1 2 2 3 3 6 3" xfId="32996"/>
    <cellStyle name="20 % - Markeringsfarve1 2 2 3 3 7" xfId="11667"/>
    <cellStyle name="20 % - Markeringsfarve1 2 2 3 3 8" xfId="23026"/>
    <cellStyle name="20 % - Markeringsfarve1 2 2 3 4" xfId="1132"/>
    <cellStyle name="20 % - Markeringsfarve1 2 2 3 4 2" xfId="2797"/>
    <cellStyle name="20 % - Markeringsfarve1 2 2 3 4 2 2" xfId="7785"/>
    <cellStyle name="20 % - Markeringsfarve1 2 2 3 4 2 2 2" xfId="18592"/>
    <cellStyle name="20 % - Markeringsfarve1 2 2 3 4 2 2 3" xfId="29949"/>
    <cellStyle name="20 % - Markeringsfarve1 2 2 3 4 2 3" xfId="13607"/>
    <cellStyle name="20 % - Markeringsfarve1 2 2 3 4 2 4" xfId="24965"/>
    <cellStyle name="20 % - Markeringsfarve1 2 2 3 4 3" xfId="4461"/>
    <cellStyle name="20 % - Markeringsfarve1 2 2 3 4 3 2" xfId="9446"/>
    <cellStyle name="20 % - Markeringsfarve1 2 2 3 4 3 2 2" xfId="20253"/>
    <cellStyle name="20 % - Markeringsfarve1 2 2 3 4 3 2 3" xfId="31610"/>
    <cellStyle name="20 % - Markeringsfarve1 2 2 3 4 3 3" xfId="15268"/>
    <cellStyle name="20 % - Markeringsfarve1 2 2 3 4 3 4" xfId="26626"/>
    <cellStyle name="20 % - Markeringsfarve1 2 2 3 4 4" xfId="6123"/>
    <cellStyle name="20 % - Markeringsfarve1 2 2 3 4 4 2" xfId="16931"/>
    <cellStyle name="20 % - Markeringsfarve1 2 2 3 4 4 3" xfId="28288"/>
    <cellStyle name="20 % - Markeringsfarve1 2 2 3 4 5" xfId="11946"/>
    <cellStyle name="20 % - Markeringsfarve1 2 2 3 4 6" xfId="23304"/>
    <cellStyle name="20 % - Markeringsfarve1 2 2 3 5" xfId="1967"/>
    <cellStyle name="20 % - Markeringsfarve1 2 2 3 5 2" xfId="6955"/>
    <cellStyle name="20 % - Markeringsfarve1 2 2 3 5 2 2" xfId="17763"/>
    <cellStyle name="20 % - Markeringsfarve1 2 2 3 5 2 3" xfId="29120"/>
    <cellStyle name="20 % - Markeringsfarve1 2 2 3 5 3" xfId="12778"/>
    <cellStyle name="20 % - Markeringsfarve1 2 2 3 5 4" xfId="24136"/>
    <cellStyle name="20 % - Markeringsfarve1 2 2 3 6" xfId="3632"/>
    <cellStyle name="20 % - Markeringsfarve1 2 2 3 6 2" xfId="8617"/>
    <cellStyle name="20 % - Markeringsfarve1 2 2 3 6 2 2" xfId="19424"/>
    <cellStyle name="20 % - Markeringsfarve1 2 2 3 6 2 3" xfId="30781"/>
    <cellStyle name="20 % - Markeringsfarve1 2 2 3 6 3" xfId="14439"/>
    <cellStyle name="20 % - Markeringsfarve1 2 2 3 6 4" xfId="25797"/>
    <cellStyle name="20 % - Markeringsfarve1 2 2 3 7" xfId="5293"/>
    <cellStyle name="20 % - Markeringsfarve1 2 2 3 7 2" xfId="16102"/>
    <cellStyle name="20 % - Markeringsfarve1 2 2 3 7 3" xfId="27459"/>
    <cellStyle name="20 % - Markeringsfarve1 2 2 3 8" xfId="10278"/>
    <cellStyle name="20 % - Markeringsfarve1 2 2 3 8 2" xfId="21085"/>
    <cellStyle name="20 % - Markeringsfarve1 2 2 3 8 3" xfId="32442"/>
    <cellStyle name="20 % - Markeringsfarve1 2 2 3 9" xfId="11112"/>
    <cellStyle name="20 % - Markeringsfarve1 2 2 4" xfId="317"/>
    <cellStyle name="20 % - Markeringsfarve1 2 2 4 10" xfId="21974"/>
    <cellStyle name="20 % - Markeringsfarve1 2 2 4 11" xfId="22527"/>
    <cellStyle name="20 % - Markeringsfarve1 2 2 4 12" xfId="33330"/>
    <cellStyle name="20 % - Markeringsfarve1 2 2 4 13" xfId="33605"/>
    <cellStyle name="20 % - Markeringsfarve1 2 2 4 14" xfId="33876"/>
    <cellStyle name="20 % - Markeringsfarve1 2 2 4 2" xfId="634"/>
    <cellStyle name="20 % - Markeringsfarve1 2 2 4 2 2" xfId="1466"/>
    <cellStyle name="20 % - Markeringsfarve1 2 2 4 2 2 2" xfId="3131"/>
    <cellStyle name="20 % - Markeringsfarve1 2 2 4 2 2 2 2" xfId="8119"/>
    <cellStyle name="20 % - Markeringsfarve1 2 2 4 2 2 2 2 2" xfId="18926"/>
    <cellStyle name="20 % - Markeringsfarve1 2 2 4 2 2 2 2 3" xfId="30283"/>
    <cellStyle name="20 % - Markeringsfarve1 2 2 4 2 2 2 3" xfId="13941"/>
    <cellStyle name="20 % - Markeringsfarve1 2 2 4 2 2 2 4" xfId="25299"/>
    <cellStyle name="20 % - Markeringsfarve1 2 2 4 2 2 3" xfId="4795"/>
    <cellStyle name="20 % - Markeringsfarve1 2 2 4 2 2 3 2" xfId="9780"/>
    <cellStyle name="20 % - Markeringsfarve1 2 2 4 2 2 3 2 2" xfId="20587"/>
    <cellStyle name="20 % - Markeringsfarve1 2 2 4 2 2 3 2 3" xfId="31944"/>
    <cellStyle name="20 % - Markeringsfarve1 2 2 4 2 2 3 3" xfId="15602"/>
    <cellStyle name="20 % - Markeringsfarve1 2 2 4 2 2 3 4" xfId="26960"/>
    <cellStyle name="20 % - Markeringsfarve1 2 2 4 2 2 4" xfId="6457"/>
    <cellStyle name="20 % - Markeringsfarve1 2 2 4 2 2 4 2" xfId="17265"/>
    <cellStyle name="20 % - Markeringsfarve1 2 2 4 2 2 4 3" xfId="28622"/>
    <cellStyle name="20 % - Markeringsfarve1 2 2 4 2 2 5" xfId="12280"/>
    <cellStyle name="20 % - Markeringsfarve1 2 2 4 2 2 6" xfId="23638"/>
    <cellStyle name="20 % - Markeringsfarve1 2 2 4 2 3" xfId="2300"/>
    <cellStyle name="20 % - Markeringsfarve1 2 2 4 2 3 2" xfId="7288"/>
    <cellStyle name="20 % - Markeringsfarve1 2 2 4 2 3 2 2" xfId="18095"/>
    <cellStyle name="20 % - Markeringsfarve1 2 2 4 2 3 2 3" xfId="29452"/>
    <cellStyle name="20 % - Markeringsfarve1 2 2 4 2 3 3" xfId="13110"/>
    <cellStyle name="20 % - Markeringsfarve1 2 2 4 2 3 4" xfId="24468"/>
    <cellStyle name="20 % - Markeringsfarve1 2 2 4 2 4" xfId="3964"/>
    <cellStyle name="20 % - Markeringsfarve1 2 2 4 2 4 2" xfId="8949"/>
    <cellStyle name="20 % - Markeringsfarve1 2 2 4 2 4 2 2" xfId="19756"/>
    <cellStyle name="20 % - Markeringsfarve1 2 2 4 2 4 2 3" xfId="31113"/>
    <cellStyle name="20 % - Markeringsfarve1 2 2 4 2 4 3" xfId="14771"/>
    <cellStyle name="20 % - Markeringsfarve1 2 2 4 2 4 4" xfId="26129"/>
    <cellStyle name="20 % - Markeringsfarve1 2 2 4 2 5" xfId="5626"/>
    <cellStyle name="20 % - Markeringsfarve1 2 2 4 2 5 2" xfId="16434"/>
    <cellStyle name="20 % - Markeringsfarve1 2 2 4 2 5 3" xfId="27791"/>
    <cellStyle name="20 % - Markeringsfarve1 2 2 4 2 6" xfId="10613"/>
    <cellStyle name="20 % - Markeringsfarve1 2 2 4 2 6 2" xfId="21420"/>
    <cellStyle name="20 % - Markeringsfarve1 2 2 4 2 6 3" xfId="32777"/>
    <cellStyle name="20 % - Markeringsfarve1 2 2 4 2 7" xfId="11447"/>
    <cellStyle name="20 % - Markeringsfarve1 2 2 4 2 8" xfId="22253"/>
    <cellStyle name="20 % - Markeringsfarve1 2 2 4 2 9" xfId="22807"/>
    <cellStyle name="20 % - Markeringsfarve1 2 2 4 3" xfId="908"/>
    <cellStyle name="20 % - Markeringsfarve1 2 2 4 3 2" xfId="1740"/>
    <cellStyle name="20 % - Markeringsfarve1 2 2 4 3 2 2" xfId="3405"/>
    <cellStyle name="20 % - Markeringsfarve1 2 2 4 3 2 2 2" xfId="8393"/>
    <cellStyle name="20 % - Markeringsfarve1 2 2 4 3 2 2 2 2" xfId="19200"/>
    <cellStyle name="20 % - Markeringsfarve1 2 2 4 3 2 2 2 3" xfId="30557"/>
    <cellStyle name="20 % - Markeringsfarve1 2 2 4 3 2 2 3" xfId="14215"/>
    <cellStyle name="20 % - Markeringsfarve1 2 2 4 3 2 2 4" xfId="25573"/>
    <cellStyle name="20 % - Markeringsfarve1 2 2 4 3 2 3" xfId="5069"/>
    <cellStyle name="20 % - Markeringsfarve1 2 2 4 3 2 3 2" xfId="10054"/>
    <cellStyle name="20 % - Markeringsfarve1 2 2 4 3 2 3 2 2" xfId="20861"/>
    <cellStyle name="20 % - Markeringsfarve1 2 2 4 3 2 3 2 3" xfId="32218"/>
    <cellStyle name="20 % - Markeringsfarve1 2 2 4 3 2 3 3" xfId="15876"/>
    <cellStyle name="20 % - Markeringsfarve1 2 2 4 3 2 3 4" xfId="27234"/>
    <cellStyle name="20 % - Markeringsfarve1 2 2 4 3 2 4" xfId="6731"/>
    <cellStyle name="20 % - Markeringsfarve1 2 2 4 3 2 4 2" xfId="17539"/>
    <cellStyle name="20 % - Markeringsfarve1 2 2 4 3 2 4 3" xfId="28896"/>
    <cellStyle name="20 % - Markeringsfarve1 2 2 4 3 2 5" xfId="12554"/>
    <cellStyle name="20 % - Markeringsfarve1 2 2 4 3 2 6" xfId="23912"/>
    <cellStyle name="20 % - Markeringsfarve1 2 2 4 3 3" xfId="2574"/>
    <cellStyle name="20 % - Markeringsfarve1 2 2 4 3 3 2" xfId="7562"/>
    <cellStyle name="20 % - Markeringsfarve1 2 2 4 3 3 2 2" xfId="18369"/>
    <cellStyle name="20 % - Markeringsfarve1 2 2 4 3 3 2 3" xfId="29726"/>
    <cellStyle name="20 % - Markeringsfarve1 2 2 4 3 3 3" xfId="13384"/>
    <cellStyle name="20 % - Markeringsfarve1 2 2 4 3 3 4" xfId="24742"/>
    <cellStyle name="20 % - Markeringsfarve1 2 2 4 3 4" xfId="4238"/>
    <cellStyle name="20 % - Markeringsfarve1 2 2 4 3 4 2" xfId="9223"/>
    <cellStyle name="20 % - Markeringsfarve1 2 2 4 3 4 2 2" xfId="20030"/>
    <cellStyle name="20 % - Markeringsfarve1 2 2 4 3 4 2 3" xfId="31387"/>
    <cellStyle name="20 % - Markeringsfarve1 2 2 4 3 4 3" xfId="15045"/>
    <cellStyle name="20 % - Markeringsfarve1 2 2 4 3 4 4" xfId="26403"/>
    <cellStyle name="20 % - Markeringsfarve1 2 2 4 3 5" xfId="5900"/>
    <cellStyle name="20 % - Markeringsfarve1 2 2 4 3 5 2" xfId="16708"/>
    <cellStyle name="20 % - Markeringsfarve1 2 2 4 3 5 3" xfId="28065"/>
    <cellStyle name="20 % - Markeringsfarve1 2 2 4 3 6" xfId="10887"/>
    <cellStyle name="20 % - Markeringsfarve1 2 2 4 3 6 2" xfId="21694"/>
    <cellStyle name="20 % - Markeringsfarve1 2 2 4 3 6 3" xfId="33051"/>
    <cellStyle name="20 % - Markeringsfarve1 2 2 4 3 7" xfId="11722"/>
    <cellStyle name="20 % - Markeringsfarve1 2 2 4 3 8" xfId="23081"/>
    <cellStyle name="20 % - Markeringsfarve1 2 2 4 4" xfId="1187"/>
    <cellStyle name="20 % - Markeringsfarve1 2 2 4 4 2" xfId="2852"/>
    <cellStyle name="20 % - Markeringsfarve1 2 2 4 4 2 2" xfId="7840"/>
    <cellStyle name="20 % - Markeringsfarve1 2 2 4 4 2 2 2" xfId="18647"/>
    <cellStyle name="20 % - Markeringsfarve1 2 2 4 4 2 2 3" xfId="30004"/>
    <cellStyle name="20 % - Markeringsfarve1 2 2 4 4 2 3" xfId="13662"/>
    <cellStyle name="20 % - Markeringsfarve1 2 2 4 4 2 4" xfId="25020"/>
    <cellStyle name="20 % - Markeringsfarve1 2 2 4 4 3" xfId="4516"/>
    <cellStyle name="20 % - Markeringsfarve1 2 2 4 4 3 2" xfId="9501"/>
    <cellStyle name="20 % - Markeringsfarve1 2 2 4 4 3 2 2" xfId="20308"/>
    <cellStyle name="20 % - Markeringsfarve1 2 2 4 4 3 2 3" xfId="31665"/>
    <cellStyle name="20 % - Markeringsfarve1 2 2 4 4 3 3" xfId="15323"/>
    <cellStyle name="20 % - Markeringsfarve1 2 2 4 4 3 4" xfId="26681"/>
    <cellStyle name="20 % - Markeringsfarve1 2 2 4 4 4" xfId="6178"/>
    <cellStyle name="20 % - Markeringsfarve1 2 2 4 4 4 2" xfId="16986"/>
    <cellStyle name="20 % - Markeringsfarve1 2 2 4 4 4 3" xfId="28343"/>
    <cellStyle name="20 % - Markeringsfarve1 2 2 4 4 5" xfId="12001"/>
    <cellStyle name="20 % - Markeringsfarve1 2 2 4 4 6" xfId="23359"/>
    <cellStyle name="20 % - Markeringsfarve1 2 2 4 5" xfId="2022"/>
    <cellStyle name="20 % - Markeringsfarve1 2 2 4 5 2" xfId="7010"/>
    <cellStyle name="20 % - Markeringsfarve1 2 2 4 5 2 2" xfId="17818"/>
    <cellStyle name="20 % - Markeringsfarve1 2 2 4 5 2 3" xfId="29175"/>
    <cellStyle name="20 % - Markeringsfarve1 2 2 4 5 3" xfId="12833"/>
    <cellStyle name="20 % - Markeringsfarve1 2 2 4 5 4" xfId="24191"/>
    <cellStyle name="20 % - Markeringsfarve1 2 2 4 6" xfId="3687"/>
    <cellStyle name="20 % - Markeringsfarve1 2 2 4 6 2" xfId="8672"/>
    <cellStyle name="20 % - Markeringsfarve1 2 2 4 6 2 2" xfId="19479"/>
    <cellStyle name="20 % - Markeringsfarve1 2 2 4 6 2 3" xfId="30836"/>
    <cellStyle name="20 % - Markeringsfarve1 2 2 4 6 3" xfId="14494"/>
    <cellStyle name="20 % - Markeringsfarve1 2 2 4 6 4" xfId="25852"/>
    <cellStyle name="20 % - Markeringsfarve1 2 2 4 7" xfId="5348"/>
    <cellStyle name="20 % - Markeringsfarve1 2 2 4 7 2" xfId="16157"/>
    <cellStyle name="20 % - Markeringsfarve1 2 2 4 7 3" xfId="27514"/>
    <cellStyle name="20 % - Markeringsfarve1 2 2 4 8" xfId="10333"/>
    <cellStyle name="20 % - Markeringsfarve1 2 2 4 8 2" xfId="21140"/>
    <cellStyle name="20 % - Markeringsfarve1 2 2 4 8 3" xfId="32497"/>
    <cellStyle name="20 % - Markeringsfarve1 2 2 4 9" xfId="11167"/>
    <cellStyle name="20 % - Markeringsfarve1 2 2 5" xfId="373"/>
    <cellStyle name="20 % - Markeringsfarve1 2 2 5 10" xfId="22030"/>
    <cellStyle name="20 % - Markeringsfarve1 2 2 5 11" xfId="22583"/>
    <cellStyle name="20 % - Markeringsfarve1 2 2 5 12" xfId="33386"/>
    <cellStyle name="20 % - Markeringsfarve1 2 2 5 13" xfId="33661"/>
    <cellStyle name="20 % - Markeringsfarve1 2 2 5 14" xfId="33932"/>
    <cellStyle name="20 % - Markeringsfarve1 2 2 5 2" xfId="690"/>
    <cellStyle name="20 % - Markeringsfarve1 2 2 5 2 2" xfId="1522"/>
    <cellStyle name="20 % - Markeringsfarve1 2 2 5 2 2 2" xfId="3187"/>
    <cellStyle name="20 % - Markeringsfarve1 2 2 5 2 2 2 2" xfId="8175"/>
    <cellStyle name="20 % - Markeringsfarve1 2 2 5 2 2 2 2 2" xfId="18982"/>
    <cellStyle name="20 % - Markeringsfarve1 2 2 5 2 2 2 2 3" xfId="30339"/>
    <cellStyle name="20 % - Markeringsfarve1 2 2 5 2 2 2 3" xfId="13997"/>
    <cellStyle name="20 % - Markeringsfarve1 2 2 5 2 2 2 4" xfId="25355"/>
    <cellStyle name="20 % - Markeringsfarve1 2 2 5 2 2 3" xfId="4851"/>
    <cellStyle name="20 % - Markeringsfarve1 2 2 5 2 2 3 2" xfId="9836"/>
    <cellStyle name="20 % - Markeringsfarve1 2 2 5 2 2 3 2 2" xfId="20643"/>
    <cellStyle name="20 % - Markeringsfarve1 2 2 5 2 2 3 2 3" xfId="32000"/>
    <cellStyle name="20 % - Markeringsfarve1 2 2 5 2 2 3 3" xfId="15658"/>
    <cellStyle name="20 % - Markeringsfarve1 2 2 5 2 2 3 4" xfId="27016"/>
    <cellStyle name="20 % - Markeringsfarve1 2 2 5 2 2 4" xfId="6513"/>
    <cellStyle name="20 % - Markeringsfarve1 2 2 5 2 2 4 2" xfId="17321"/>
    <cellStyle name="20 % - Markeringsfarve1 2 2 5 2 2 4 3" xfId="28678"/>
    <cellStyle name="20 % - Markeringsfarve1 2 2 5 2 2 5" xfId="12336"/>
    <cellStyle name="20 % - Markeringsfarve1 2 2 5 2 2 6" xfId="23694"/>
    <cellStyle name="20 % - Markeringsfarve1 2 2 5 2 3" xfId="2356"/>
    <cellStyle name="20 % - Markeringsfarve1 2 2 5 2 3 2" xfId="7344"/>
    <cellStyle name="20 % - Markeringsfarve1 2 2 5 2 3 2 2" xfId="18151"/>
    <cellStyle name="20 % - Markeringsfarve1 2 2 5 2 3 2 3" xfId="29508"/>
    <cellStyle name="20 % - Markeringsfarve1 2 2 5 2 3 3" xfId="13166"/>
    <cellStyle name="20 % - Markeringsfarve1 2 2 5 2 3 4" xfId="24524"/>
    <cellStyle name="20 % - Markeringsfarve1 2 2 5 2 4" xfId="4020"/>
    <cellStyle name="20 % - Markeringsfarve1 2 2 5 2 4 2" xfId="9005"/>
    <cellStyle name="20 % - Markeringsfarve1 2 2 5 2 4 2 2" xfId="19812"/>
    <cellStyle name="20 % - Markeringsfarve1 2 2 5 2 4 2 3" xfId="31169"/>
    <cellStyle name="20 % - Markeringsfarve1 2 2 5 2 4 3" xfId="14827"/>
    <cellStyle name="20 % - Markeringsfarve1 2 2 5 2 4 4" xfId="26185"/>
    <cellStyle name="20 % - Markeringsfarve1 2 2 5 2 5" xfId="5682"/>
    <cellStyle name="20 % - Markeringsfarve1 2 2 5 2 5 2" xfId="16490"/>
    <cellStyle name="20 % - Markeringsfarve1 2 2 5 2 5 3" xfId="27847"/>
    <cellStyle name="20 % - Markeringsfarve1 2 2 5 2 6" xfId="10669"/>
    <cellStyle name="20 % - Markeringsfarve1 2 2 5 2 6 2" xfId="21476"/>
    <cellStyle name="20 % - Markeringsfarve1 2 2 5 2 6 3" xfId="32833"/>
    <cellStyle name="20 % - Markeringsfarve1 2 2 5 2 7" xfId="11503"/>
    <cellStyle name="20 % - Markeringsfarve1 2 2 5 2 8" xfId="22309"/>
    <cellStyle name="20 % - Markeringsfarve1 2 2 5 2 9" xfId="22863"/>
    <cellStyle name="20 % - Markeringsfarve1 2 2 5 3" xfId="964"/>
    <cellStyle name="20 % - Markeringsfarve1 2 2 5 3 2" xfId="1796"/>
    <cellStyle name="20 % - Markeringsfarve1 2 2 5 3 2 2" xfId="3461"/>
    <cellStyle name="20 % - Markeringsfarve1 2 2 5 3 2 2 2" xfId="8449"/>
    <cellStyle name="20 % - Markeringsfarve1 2 2 5 3 2 2 2 2" xfId="19256"/>
    <cellStyle name="20 % - Markeringsfarve1 2 2 5 3 2 2 2 3" xfId="30613"/>
    <cellStyle name="20 % - Markeringsfarve1 2 2 5 3 2 2 3" xfId="14271"/>
    <cellStyle name="20 % - Markeringsfarve1 2 2 5 3 2 2 4" xfId="25629"/>
    <cellStyle name="20 % - Markeringsfarve1 2 2 5 3 2 3" xfId="5125"/>
    <cellStyle name="20 % - Markeringsfarve1 2 2 5 3 2 3 2" xfId="10110"/>
    <cellStyle name="20 % - Markeringsfarve1 2 2 5 3 2 3 2 2" xfId="20917"/>
    <cellStyle name="20 % - Markeringsfarve1 2 2 5 3 2 3 2 3" xfId="32274"/>
    <cellStyle name="20 % - Markeringsfarve1 2 2 5 3 2 3 3" xfId="15932"/>
    <cellStyle name="20 % - Markeringsfarve1 2 2 5 3 2 3 4" xfId="27290"/>
    <cellStyle name="20 % - Markeringsfarve1 2 2 5 3 2 4" xfId="6787"/>
    <cellStyle name="20 % - Markeringsfarve1 2 2 5 3 2 4 2" xfId="17595"/>
    <cellStyle name="20 % - Markeringsfarve1 2 2 5 3 2 4 3" xfId="28952"/>
    <cellStyle name="20 % - Markeringsfarve1 2 2 5 3 2 5" xfId="12610"/>
    <cellStyle name="20 % - Markeringsfarve1 2 2 5 3 2 6" xfId="23968"/>
    <cellStyle name="20 % - Markeringsfarve1 2 2 5 3 3" xfId="2630"/>
    <cellStyle name="20 % - Markeringsfarve1 2 2 5 3 3 2" xfId="7618"/>
    <cellStyle name="20 % - Markeringsfarve1 2 2 5 3 3 2 2" xfId="18425"/>
    <cellStyle name="20 % - Markeringsfarve1 2 2 5 3 3 2 3" xfId="29782"/>
    <cellStyle name="20 % - Markeringsfarve1 2 2 5 3 3 3" xfId="13440"/>
    <cellStyle name="20 % - Markeringsfarve1 2 2 5 3 3 4" xfId="24798"/>
    <cellStyle name="20 % - Markeringsfarve1 2 2 5 3 4" xfId="4294"/>
    <cellStyle name="20 % - Markeringsfarve1 2 2 5 3 4 2" xfId="9279"/>
    <cellStyle name="20 % - Markeringsfarve1 2 2 5 3 4 2 2" xfId="20086"/>
    <cellStyle name="20 % - Markeringsfarve1 2 2 5 3 4 2 3" xfId="31443"/>
    <cellStyle name="20 % - Markeringsfarve1 2 2 5 3 4 3" xfId="15101"/>
    <cellStyle name="20 % - Markeringsfarve1 2 2 5 3 4 4" xfId="26459"/>
    <cellStyle name="20 % - Markeringsfarve1 2 2 5 3 5" xfId="5956"/>
    <cellStyle name="20 % - Markeringsfarve1 2 2 5 3 5 2" xfId="16764"/>
    <cellStyle name="20 % - Markeringsfarve1 2 2 5 3 5 3" xfId="28121"/>
    <cellStyle name="20 % - Markeringsfarve1 2 2 5 3 6" xfId="10943"/>
    <cellStyle name="20 % - Markeringsfarve1 2 2 5 3 6 2" xfId="21750"/>
    <cellStyle name="20 % - Markeringsfarve1 2 2 5 3 6 3" xfId="33107"/>
    <cellStyle name="20 % - Markeringsfarve1 2 2 5 3 7" xfId="11778"/>
    <cellStyle name="20 % - Markeringsfarve1 2 2 5 3 8" xfId="23137"/>
    <cellStyle name="20 % - Markeringsfarve1 2 2 5 4" xfId="1243"/>
    <cellStyle name="20 % - Markeringsfarve1 2 2 5 4 2" xfId="2908"/>
    <cellStyle name="20 % - Markeringsfarve1 2 2 5 4 2 2" xfId="7896"/>
    <cellStyle name="20 % - Markeringsfarve1 2 2 5 4 2 2 2" xfId="18703"/>
    <cellStyle name="20 % - Markeringsfarve1 2 2 5 4 2 2 3" xfId="30060"/>
    <cellStyle name="20 % - Markeringsfarve1 2 2 5 4 2 3" xfId="13718"/>
    <cellStyle name="20 % - Markeringsfarve1 2 2 5 4 2 4" xfId="25076"/>
    <cellStyle name="20 % - Markeringsfarve1 2 2 5 4 3" xfId="4572"/>
    <cellStyle name="20 % - Markeringsfarve1 2 2 5 4 3 2" xfId="9557"/>
    <cellStyle name="20 % - Markeringsfarve1 2 2 5 4 3 2 2" xfId="20364"/>
    <cellStyle name="20 % - Markeringsfarve1 2 2 5 4 3 2 3" xfId="31721"/>
    <cellStyle name="20 % - Markeringsfarve1 2 2 5 4 3 3" xfId="15379"/>
    <cellStyle name="20 % - Markeringsfarve1 2 2 5 4 3 4" xfId="26737"/>
    <cellStyle name="20 % - Markeringsfarve1 2 2 5 4 4" xfId="6234"/>
    <cellStyle name="20 % - Markeringsfarve1 2 2 5 4 4 2" xfId="17042"/>
    <cellStyle name="20 % - Markeringsfarve1 2 2 5 4 4 3" xfId="28399"/>
    <cellStyle name="20 % - Markeringsfarve1 2 2 5 4 5" xfId="12057"/>
    <cellStyle name="20 % - Markeringsfarve1 2 2 5 4 6" xfId="23415"/>
    <cellStyle name="20 % - Markeringsfarve1 2 2 5 5" xfId="2078"/>
    <cellStyle name="20 % - Markeringsfarve1 2 2 5 5 2" xfId="7066"/>
    <cellStyle name="20 % - Markeringsfarve1 2 2 5 5 2 2" xfId="17874"/>
    <cellStyle name="20 % - Markeringsfarve1 2 2 5 5 2 3" xfId="29231"/>
    <cellStyle name="20 % - Markeringsfarve1 2 2 5 5 3" xfId="12889"/>
    <cellStyle name="20 % - Markeringsfarve1 2 2 5 5 4" xfId="24247"/>
    <cellStyle name="20 % - Markeringsfarve1 2 2 5 6" xfId="3743"/>
    <cellStyle name="20 % - Markeringsfarve1 2 2 5 6 2" xfId="8728"/>
    <cellStyle name="20 % - Markeringsfarve1 2 2 5 6 2 2" xfId="19535"/>
    <cellStyle name="20 % - Markeringsfarve1 2 2 5 6 2 3" xfId="30892"/>
    <cellStyle name="20 % - Markeringsfarve1 2 2 5 6 3" xfId="14550"/>
    <cellStyle name="20 % - Markeringsfarve1 2 2 5 6 4" xfId="25908"/>
    <cellStyle name="20 % - Markeringsfarve1 2 2 5 7" xfId="5404"/>
    <cellStyle name="20 % - Markeringsfarve1 2 2 5 7 2" xfId="16213"/>
    <cellStyle name="20 % - Markeringsfarve1 2 2 5 7 3" xfId="27570"/>
    <cellStyle name="20 % - Markeringsfarve1 2 2 5 8" xfId="10389"/>
    <cellStyle name="20 % - Markeringsfarve1 2 2 5 8 2" xfId="21196"/>
    <cellStyle name="20 % - Markeringsfarve1 2 2 5 8 3" xfId="32553"/>
    <cellStyle name="20 % - Markeringsfarve1 2 2 5 9" xfId="11223"/>
    <cellStyle name="20 % - Markeringsfarve1 2 2 6" xfId="473"/>
    <cellStyle name="20 % - Markeringsfarve1 2 2 6 2" xfId="1303"/>
    <cellStyle name="20 % - Markeringsfarve1 2 2 6 2 2" xfId="2968"/>
    <cellStyle name="20 % - Markeringsfarve1 2 2 6 2 2 2" xfId="7956"/>
    <cellStyle name="20 % - Markeringsfarve1 2 2 6 2 2 2 2" xfId="18763"/>
    <cellStyle name="20 % - Markeringsfarve1 2 2 6 2 2 2 3" xfId="30120"/>
    <cellStyle name="20 % - Markeringsfarve1 2 2 6 2 2 3" xfId="13778"/>
    <cellStyle name="20 % - Markeringsfarve1 2 2 6 2 2 4" xfId="25136"/>
    <cellStyle name="20 % - Markeringsfarve1 2 2 6 2 3" xfId="4632"/>
    <cellStyle name="20 % - Markeringsfarve1 2 2 6 2 3 2" xfId="9617"/>
    <cellStyle name="20 % - Markeringsfarve1 2 2 6 2 3 2 2" xfId="20424"/>
    <cellStyle name="20 % - Markeringsfarve1 2 2 6 2 3 2 3" xfId="31781"/>
    <cellStyle name="20 % - Markeringsfarve1 2 2 6 2 3 3" xfId="15439"/>
    <cellStyle name="20 % - Markeringsfarve1 2 2 6 2 3 4" xfId="26797"/>
    <cellStyle name="20 % - Markeringsfarve1 2 2 6 2 4" xfId="6294"/>
    <cellStyle name="20 % - Markeringsfarve1 2 2 6 2 4 2" xfId="17102"/>
    <cellStyle name="20 % - Markeringsfarve1 2 2 6 2 4 3" xfId="28459"/>
    <cellStyle name="20 % - Markeringsfarve1 2 2 6 2 5" xfId="12117"/>
    <cellStyle name="20 % - Markeringsfarve1 2 2 6 2 6" xfId="23475"/>
    <cellStyle name="20 % - Markeringsfarve1 2 2 6 3" xfId="2139"/>
    <cellStyle name="20 % - Markeringsfarve1 2 2 6 3 2" xfId="7127"/>
    <cellStyle name="20 % - Markeringsfarve1 2 2 6 3 2 2" xfId="17934"/>
    <cellStyle name="20 % - Markeringsfarve1 2 2 6 3 2 3" xfId="29291"/>
    <cellStyle name="20 % - Markeringsfarve1 2 2 6 3 3" xfId="12949"/>
    <cellStyle name="20 % - Markeringsfarve1 2 2 6 3 4" xfId="24307"/>
    <cellStyle name="20 % - Markeringsfarve1 2 2 6 4" xfId="3803"/>
    <cellStyle name="20 % - Markeringsfarve1 2 2 6 4 2" xfId="8788"/>
    <cellStyle name="20 % - Markeringsfarve1 2 2 6 4 2 2" xfId="19595"/>
    <cellStyle name="20 % - Markeringsfarve1 2 2 6 4 2 3" xfId="30952"/>
    <cellStyle name="20 % - Markeringsfarve1 2 2 6 4 3" xfId="14610"/>
    <cellStyle name="20 % - Markeringsfarve1 2 2 6 4 4" xfId="25968"/>
    <cellStyle name="20 % - Markeringsfarve1 2 2 6 5" xfId="5465"/>
    <cellStyle name="20 % - Markeringsfarve1 2 2 6 5 2" xfId="16273"/>
    <cellStyle name="20 % - Markeringsfarve1 2 2 6 5 3" xfId="27630"/>
    <cellStyle name="20 % - Markeringsfarve1 2 2 6 6" xfId="10437"/>
    <cellStyle name="20 % - Markeringsfarve1 2 2 6 6 2" xfId="21244"/>
    <cellStyle name="20 % - Markeringsfarve1 2 2 6 6 3" xfId="32601"/>
    <cellStyle name="20 % - Markeringsfarve1 2 2 6 7" xfId="11284"/>
    <cellStyle name="20 % - Markeringsfarve1 2 2 6 8" xfId="22090"/>
    <cellStyle name="20 % - Markeringsfarve1 2 2 6 9" xfId="22644"/>
    <cellStyle name="20 % - Markeringsfarve1 2 2 7" xfId="745"/>
    <cellStyle name="20 % - Markeringsfarve1 2 2 7 2" xfId="1577"/>
    <cellStyle name="20 % - Markeringsfarve1 2 2 7 2 2" xfId="3242"/>
    <cellStyle name="20 % - Markeringsfarve1 2 2 7 2 2 2" xfId="8230"/>
    <cellStyle name="20 % - Markeringsfarve1 2 2 7 2 2 2 2" xfId="19037"/>
    <cellStyle name="20 % - Markeringsfarve1 2 2 7 2 2 2 3" xfId="30394"/>
    <cellStyle name="20 % - Markeringsfarve1 2 2 7 2 2 3" xfId="14052"/>
    <cellStyle name="20 % - Markeringsfarve1 2 2 7 2 2 4" xfId="25410"/>
    <cellStyle name="20 % - Markeringsfarve1 2 2 7 2 3" xfId="4906"/>
    <cellStyle name="20 % - Markeringsfarve1 2 2 7 2 3 2" xfId="9891"/>
    <cellStyle name="20 % - Markeringsfarve1 2 2 7 2 3 2 2" xfId="20698"/>
    <cellStyle name="20 % - Markeringsfarve1 2 2 7 2 3 2 3" xfId="32055"/>
    <cellStyle name="20 % - Markeringsfarve1 2 2 7 2 3 3" xfId="15713"/>
    <cellStyle name="20 % - Markeringsfarve1 2 2 7 2 3 4" xfId="27071"/>
    <cellStyle name="20 % - Markeringsfarve1 2 2 7 2 4" xfId="6568"/>
    <cellStyle name="20 % - Markeringsfarve1 2 2 7 2 4 2" xfId="17376"/>
    <cellStyle name="20 % - Markeringsfarve1 2 2 7 2 4 3" xfId="28733"/>
    <cellStyle name="20 % - Markeringsfarve1 2 2 7 2 5" xfId="12391"/>
    <cellStyle name="20 % - Markeringsfarve1 2 2 7 2 6" xfId="23749"/>
    <cellStyle name="20 % - Markeringsfarve1 2 2 7 3" xfId="2411"/>
    <cellStyle name="20 % - Markeringsfarve1 2 2 7 3 2" xfId="7399"/>
    <cellStyle name="20 % - Markeringsfarve1 2 2 7 3 2 2" xfId="18206"/>
    <cellStyle name="20 % - Markeringsfarve1 2 2 7 3 2 3" xfId="29563"/>
    <cellStyle name="20 % - Markeringsfarve1 2 2 7 3 3" xfId="13221"/>
    <cellStyle name="20 % - Markeringsfarve1 2 2 7 3 4" xfId="24579"/>
    <cellStyle name="20 % - Markeringsfarve1 2 2 7 4" xfId="4075"/>
    <cellStyle name="20 % - Markeringsfarve1 2 2 7 4 2" xfId="9060"/>
    <cellStyle name="20 % - Markeringsfarve1 2 2 7 4 2 2" xfId="19867"/>
    <cellStyle name="20 % - Markeringsfarve1 2 2 7 4 2 3" xfId="31224"/>
    <cellStyle name="20 % - Markeringsfarve1 2 2 7 4 3" xfId="14882"/>
    <cellStyle name="20 % - Markeringsfarve1 2 2 7 4 4" xfId="26240"/>
    <cellStyle name="20 % - Markeringsfarve1 2 2 7 5" xfId="5737"/>
    <cellStyle name="20 % - Markeringsfarve1 2 2 7 5 2" xfId="16545"/>
    <cellStyle name="20 % - Markeringsfarve1 2 2 7 5 3" xfId="27902"/>
    <cellStyle name="20 % - Markeringsfarve1 2 2 7 6" xfId="10724"/>
    <cellStyle name="20 % - Markeringsfarve1 2 2 7 6 2" xfId="21531"/>
    <cellStyle name="20 % - Markeringsfarve1 2 2 7 6 3" xfId="32888"/>
    <cellStyle name="20 % - Markeringsfarve1 2 2 7 7" xfId="11559"/>
    <cellStyle name="20 % - Markeringsfarve1 2 2 7 8" xfId="22918"/>
    <cellStyle name="20 % - Markeringsfarve1 2 2 8" xfId="1024"/>
    <cellStyle name="20 % - Markeringsfarve1 2 2 8 2" xfId="2689"/>
    <cellStyle name="20 % - Markeringsfarve1 2 2 8 2 2" xfId="7677"/>
    <cellStyle name="20 % - Markeringsfarve1 2 2 8 2 2 2" xfId="18484"/>
    <cellStyle name="20 % - Markeringsfarve1 2 2 8 2 2 3" xfId="29841"/>
    <cellStyle name="20 % - Markeringsfarve1 2 2 8 2 3" xfId="13499"/>
    <cellStyle name="20 % - Markeringsfarve1 2 2 8 2 4" xfId="24857"/>
    <cellStyle name="20 % - Markeringsfarve1 2 2 8 3" xfId="4353"/>
    <cellStyle name="20 % - Markeringsfarve1 2 2 8 3 2" xfId="9338"/>
    <cellStyle name="20 % - Markeringsfarve1 2 2 8 3 2 2" xfId="20145"/>
    <cellStyle name="20 % - Markeringsfarve1 2 2 8 3 2 3" xfId="31502"/>
    <cellStyle name="20 % - Markeringsfarve1 2 2 8 3 3" xfId="15160"/>
    <cellStyle name="20 % - Markeringsfarve1 2 2 8 3 4" xfId="26518"/>
    <cellStyle name="20 % - Markeringsfarve1 2 2 8 4" xfId="6015"/>
    <cellStyle name="20 % - Markeringsfarve1 2 2 8 4 2" xfId="16823"/>
    <cellStyle name="20 % - Markeringsfarve1 2 2 8 4 3" xfId="28180"/>
    <cellStyle name="20 % - Markeringsfarve1 2 2 8 5" xfId="11838"/>
    <cellStyle name="20 % - Markeringsfarve1 2 2 8 6" xfId="23196"/>
    <cellStyle name="20 % - Markeringsfarve1 2 2 9" xfId="1860"/>
    <cellStyle name="20 % - Markeringsfarve1 2 2 9 2" xfId="6848"/>
    <cellStyle name="20 % - Markeringsfarve1 2 2 9 2 2" xfId="17656"/>
    <cellStyle name="20 % - Markeringsfarve1 2 2 9 2 3" xfId="29013"/>
    <cellStyle name="20 % - Markeringsfarve1 2 2 9 3" xfId="12671"/>
    <cellStyle name="20 % - Markeringsfarve1 2 2 9 4" xfId="24029"/>
    <cellStyle name="20 % - Markeringsfarve1 2 3" xfId="190"/>
    <cellStyle name="20 % - Markeringsfarve1 2 3 10" xfId="21848"/>
    <cellStyle name="20 % - Markeringsfarve1 2 3 11" xfId="22401"/>
    <cellStyle name="20 % - Markeringsfarve1 2 3 12" xfId="33204"/>
    <cellStyle name="20 % - Markeringsfarve1 2 3 13" xfId="33477"/>
    <cellStyle name="20 % - Markeringsfarve1 2 3 14" xfId="33748"/>
    <cellStyle name="20 % - Markeringsfarve1 2 3 2" xfId="510"/>
    <cellStyle name="20 % - Markeringsfarve1 2 3 2 2" xfId="1340"/>
    <cellStyle name="20 % - Markeringsfarve1 2 3 2 2 2" xfId="3005"/>
    <cellStyle name="20 % - Markeringsfarve1 2 3 2 2 2 2" xfId="7993"/>
    <cellStyle name="20 % - Markeringsfarve1 2 3 2 2 2 2 2" xfId="18800"/>
    <cellStyle name="20 % - Markeringsfarve1 2 3 2 2 2 2 3" xfId="30157"/>
    <cellStyle name="20 % - Markeringsfarve1 2 3 2 2 2 3" xfId="13815"/>
    <cellStyle name="20 % - Markeringsfarve1 2 3 2 2 2 4" xfId="25173"/>
    <cellStyle name="20 % - Markeringsfarve1 2 3 2 2 3" xfId="4669"/>
    <cellStyle name="20 % - Markeringsfarve1 2 3 2 2 3 2" xfId="9654"/>
    <cellStyle name="20 % - Markeringsfarve1 2 3 2 2 3 2 2" xfId="20461"/>
    <cellStyle name="20 % - Markeringsfarve1 2 3 2 2 3 2 3" xfId="31818"/>
    <cellStyle name="20 % - Markeringsfarve1 2 3 2 2 3 3" xfId="15476"/>
    <cellStyle name="20 % - Markeringsfarve1 2 3 2 2 3 4" xfId="26834"/>
    <cellStyle name="20 % - Markeringsfarve1 2 3 2 2 4" xfId="6331"/>
    <cellStyle name="20 % - Markeringsfarve1 2 3 2 2 4 2" xfId="17139"/>
    <cellStyle name="20 % - Markeringsfarve1 2 3 2 2 4 3" xfId="28496"/>
    <cellStyle name="20 % - Markeringsfarve1 2 3 2 2 5" xfId="12154"/>
    <cellStyle name="20 % - Markeringsfarve1 2 3 2 2 6" xfId="23512"/>
    <cellStyle name="20 % - Markeringsfarve1 2 3 2 3" xfId="2176"/>
    <cellStyle name="20 % - Markeringsfarve1 2 3 2 3 2" xfId="7164"/>
    <cellStyle name="20 % - Markeringsfarve1 2 3 2 3 2 2" xfId="17971"/>
    <cellStyle name="20 % - Markeringsfarve1 2 3 2 3 2 3" xfId="29328"/>
    <cellStyle name="20 % - Markeringsfarve1 2 3 2 3 3" xfId="12986"/>
    <cellStyle name="20 % - Markeringsfarve1 2 3 2 3 4" xfId="24344"/>
    <cellStyle name="20 % - Markeringsfarve1 2 3 2 4" xfId="3840"/>
    <cellStyle name="20 % - Markeringsfarve1 2 3 2 4 2" xfId="8825"/>
    <cellStyle name="20 % - Markeringsfarve1 2 3 2 4 2 2" xfId="19632"/>
    <cellStyle name="20 % - Markeringsfarve1 2 3 2 4 2 3" xfId="30989"/>
    <cellStyle name="20 % - Markeringsfarve1 2 3 2 4 3" xfId="14647"/>
    <cellStyle name="20 % - Markeringsfarve1 2 3 2 4 4" xfId="26005"/>
    <cellStyle name="20 % - Markeringsfarve1 2 3 2 5" xfId="5502"/>
    <cellStyle name="20 % - Markeringsfarve1 2 3 2 5 2" xfId="16310"/>
    <cellStyle name="20 % - Markeringsfarve1 2 3 2 5 3" xfId="27667"/>
    <cellStyle name="20 % - Markeringsfarve1 2 3 2 6" xfId="10487"/>
    <cellStyle name="20 % - Markeringsfarve1 2 3 2 6 2" xfId="21294"/>
    <cellStyle name="20 % - Markeringsfarve1 2 3 2 6 3" xfId="32651"/>
    <cellStyle name="20 % - Markeringsfarve1 2 3 2 7" xfId="11321"/>
    <cellStyle name="20 % - Markeringsfarve1 2 3 2 8" xfId="22127"/>
    <cellStyle name="20 % - Markeringsfarve1 2 3 2 9" xfId="22681"/>
    <cellStyle name="20 % - Markeringsfarve1 2 3 3" xfId="782"/>
    <cellStyle name="20 % - Markeringsfarve1 2 3 3 2" xfId="1614"/>
    <cellStyle name="20 % - Markeringsfarve1 2 3 3 2 2" xfId="3279"/>
    <cellStyle name="20 % - Markeringsfarve1 2 3 3 2 2 2" xfId="8267"/>
    <cellStyle name="20 % - Markeringsfarve1 2 3 3 2 2 2 2" xfId="19074"/>
    <cellStyle name="20 % - Markeringsfarve1 2 3 3 2 2 2 3" xfId="30431"/>
    <cellStyle name="20 % - Markeringsfarve1 2 3 3 2 2 3" xfId="14089"/>
    <cellStyle name="20 % - Markeringsfarve1 2 3 3 2 2 4" xfId="25447"/>
    <cellStyle name="20 % - Markeringsfarve1 2 3 3 2 3" xfId="4943"/>
    <cellStyle name="20 % - Markeringsfarve1 2 3 3 2 3 2" xfId="9928"/>
    <cellStyle name="20 % - Markeringsfarve1 2 3 3 2 3 2 2" xfId="20735"/>
    <cellStyle name="20 % - Markeringsfarve1 2 3 3 2 3 2 3" xfId="32092"/>
    <cellStyle name="20 % - Markeringsfarve1 2 3 3 2 3 3" xfId="15750"/>
    <cellStyle name="20 % - Markeringsfarve1 2 3 3 2 3 4" xfId="27108"/>
    <cellStyle name="20 % - Markeringsfarve1 2 3 3 2 4" xfId="6605"/>
    <cellStyle name="20 % - Markeringsfarve1 2 3 3 2 4 2" xfId="17413"/>
    <cellStyle name="20 % - Markeringsfarve1 2 3 3 2 4 3" xfId="28770"/>
    <cellStyle name="20 % - Markeringsfarve1 2 3 3 2 5" xfId="12428"/>
    <cellStyle name="20 % - Markeringsfarve1 2 3 3 2 6" xfId="23786"/>
    <cellStyle name="20 % - Markeringsfarve1 2 3 3 3" xfId="2448"/>
    <cellStyle name="20 % - Markeringsfarve1 2 3 3 3 2" xfId="7436"/>
    <cellStyle name="20 % - Markeringsfarve1 2 3 3 3 2 2" xfId="18243"/>
    <cellStyle name="20 % - Markeringsfarve1 2 3 3 3 2 3" xfId="29600"/>
    <cellStyle name="20 % - Markeringsfarve1 2 3 3 3 3" xfId="13258"/>
    <cellStyle name="20 % - Markeringsfarve1 2 3 3 3 4" xfId="24616"/>
    <cellStyle name="20 % - Markeringsfarve1 2 3 3 4" xfId="4112"/>
    <cellStyle name="20 % - Markeringsfarve1 2 3 3 4 2" xfId="9097"/>
    <cellStyle name="20 % - Markeringsfarve1 2 3 3 4 2 2" xfId="19904"/>
    <cellStyle name="20 % - Markeringsfarve1 2 3 3 4 2 3" xfId="31261"/>
    <cellStyle name="20 % - Markeringsfarve1 2 3 3 4 3" xfId="14919"/>
    <cellStyle name="20 % - Markeringsfarve1 2 3 3 4 4" xfId="26277"/>
    <cellStyle name="20 % - Markeringsfarve1 2 3 3 5" xfId="5774"/>
    <cellStyle name="20 % - Markeringsfarve1 2 3 3 5 2" xfId="16582"/>
    <cellStyle name="20 % - Markeringsfarve1 2 3 3 5 3" xfId="27939"/>
    <cellStyle name="20 % - Markeringsfarve1 2 3 3 6" xfId="10761"/>
    <cellStyle name="20 % - Markeringsfarve1 2 3 3 6 2" xfId="21568"/>
    <cellStyle name="20 % - Markeringsfarve1 2 3 3 6 3" xfId="32925"/>
    <cellStyle name="20 % - Markeringsfarve1 2 3 3 7" xfId="11596"/>
    <cellStyle name="20 % - Markeringsfarve1 2 3 3 8" xfId="22955"/>
    <cellStyle name="20 % - Markeringsfarve1 2 3 4" xfId="1061"/>
    <cellStyle name="20 % - Markeringsfarve1 2 3 4 2" xfId="2726"/>
    <cellStyle name="20 % - Markeringsfarve1 2 3 4 2 2" xfId="7714"/>
    <cellStyle name="20 % - Markeringsfarve1 2 3 4 2 2 2" xfId="18521"/>
    <cellStyle name="20 % - Markeringsfarve1 2 3 4 2 2 3" xfId="29878"/>
    <cellStyle name="20 % - Markeringsfarve1 2 3 4 2 3" xfId="13536"/>
    <cellStyle name="20 % - Markeringsfarve1 2 3 4 2 4" xfId="24894"/>
    <cellStyle name="20 % - Markeringsfarve1 2 3 4 3" xfId="4390"/>
    <cellStyle name="20 % - Markeringsfarve1 2 3 4 3 2" xfId="9375"/>
    <cellStyle name="20 % - Markeringsfarve1 2 3 4 3 2 2" xfId="20182"/>
    <cellStyle name="20 % - Markeringsfarve1 2 3 4 3 2 3" xfId="31539"/>
    <cellStyle name="20 % - Markeringsfarve1 2 3 4 3 3" xfId="15197"/>
    <cellStyle name="20 % - Markeringsfarve1 2 3 4 3 4" xfId="26555"/>
    <cellStyle name="20 % - Markeringsfarve1 2 3 4 4" xfId="6052"/>
    <cellStyle name="20 % - Markeringsfarve1 2 3 4 4 2" xfId="16860"/>
    <cellStyle name="20 % - Markeringsfarve1 2 3 4 4 3" xfId="28217"/>
    <cellStyle name="20 % - Markeringsfarve1 2 3 4 5" xfId="11875"/>
    <cellStyle name="20 % - Markeringsfarve1 2 3 4 6" xfId="23233"/>
    <cellStyle name="20 % - Markeringsfarve1 2 3 5" xfId="1896"/>
    <cellStyle name="20 % - Markeringsfarve1 2 3 5 2" xfId="6884"/>
    <cellStyle name="20 % - Markeringsfarve1 2 3 5 2 2" xfId="17692"/>
    <cellStyle name="20 % - Markeringsfarve1 2 3 5 2 3" xfId="29049"/>
    <cellStyle name="20 % - Markeringsfarve1 2 3 5 3" xfId="12707"/>
    <cellStyle name="20 % - Markeringsfarve1 2 3 5 4" xfId="24065"/>
    <cellStyle name="20 % - Markeringsfarve1 2 3 6" xfId="3561"/>
    <cellStyle name="20 % - Markeringsfarve1 2 3 6 2" xfId="8546"/>
    <cellStyle name="20 % - Markeringsfarve1 2 3 6 2 2" xfId="19353"/>
    <cellStyle name="20 % - Markeringsfarve1 2 3 6 2 3" xfId="30710"/>
    <cellStyle name="20 % - Markeringsfarve1 2 3 6 3" xfId="14368"/>
    <cellStyle name="20 % - Markeringsfarve1 2 3 6 4" xfId="25726"/>
    <cellStyle name="20 % - Markeringsfarve1 2 3 7" xfId="5222"/>
    <cellStyle name="20 % - Markeringsfarve1 2 3 7 2" xfId="16031"/>
    <cellStyle name="20 % - Markeringsfarve1 2 3 7 3" xfId="27388"/>
    <cellStyle name="20 % - Markeringsfarve1 2 3 8" xfId="10207"/>
    <cellStyle name="20 % - Markeringsfarve1 2 3 8 2" xfId="21014"/>
    <cellStyle name="20 % - Markeringsfarve1 2 3 8 3" xfId="32371"/>
    <cellStyle name="20 % - Markeringsfarve1 2 3 9" xfId="11041"/>
    <cellStyle name="20 % - Markeringsfarve1 2 4" xfId="244"/>
    <cellStyle name="20 % - Markeringsfarve1 2 4 10" xfId="21901"/>
    <cellStyle name="20 % - Markeringsfarve1 2 4 11" xfId="22454"/>
    <cellStyle name="20 % - Markeringsfarve1 2 4 12" xfId="33257"/>
    <cellStyle name="20 % - Markeringsfarve1 2 4 13" xfId="33532"/>
    <cellStyle name="20 % - Markeringsfarve1 2 4 14" xfId="33803"/>
    <cellStyle name="20 % - Markeringsfarve1 2 4 2" xfId="561"/>
    <cellStyle name="20 % - Markeringsfarve1 2 4 2 2" xfId="1393"/>
    <cellStyle name="20 % - Markeringsfarve1 2 4 2 2 2" xfId="3058"/>
    <cellStyle name="20 % - Markeringsfarve1 2 4 2 2 2 2" xfId="8046"/>
    <cellStyle name="20 % - Markeringsfarve1 2 4 2 2 2 2 2" xfId="18853"/>
    <cellStyle name="20 % - Markeringsfarve1 2 4 2 2 2 2 3" xfId="30210"/>
    <cellStyle name="20 % - Markeringsfarve1 2 4 2 2 2 3" xfId="13868"/>
    <cellStyle name="20 % - Markeringsfarve1 2 4 2 2 2 4" xfId="25226"/>
    <cellStyle name="20 % - Markeringsfarve1 2 4 2 2 3" xfId="4722"/>
    <cellStyle name="20 % - Markeringsfarve1 2 4 2 2 3 2" xfId="9707"/>
    <cellStyle name="20 % - Markeringsfarve1 2 4 2 2 3 2 2" xfId="20514"/>
    <cellStyle name="20 % - Markeringsfarve1 2 4 2 2 3 2 3" xfId="31871"/>
    <cellStyle name="20 % - Markeringsfarve1 2 4 2 2 3 3" xfId="15529"/>
    <cellStyle name="20 % - Markeringsfarve1 2 4 2 2 3 4" xfId="26887"/>
    <cellStyle name="20 % - Markeringsfarve1 2 4 2 2 4" xfId="6384"/>
    <cellStyle name="20 % - Markeringsfarve1 2 4 2 2 4 2" xfId="17192"/>
    <cellStyle name="20 % - Markeringsfarve1 2 4 2 2 4 3" xfId="28549"/>
    <cellStyle name="20 % - Markeringsfarve1 2 4 2 2 5" xfId="12207"/>
    <cellStyle name="20 % - Markeringsfarve1 2 4 2 2 6" xfId="23565"/>
    <cellStyle name="20 % - Markeringsfarve1 2 4 2 3" xfId="2227"/>
    <cellStyle name="20 % - Markeringsfarve1 2 4 2 3 2" xfId="7215"/>
    <cellStyle name="20 % - Markeringsfarve1 2 4 2 3 2 2" xfId="18022"/>
    <cellStyle name="20 % - Markeringsfarve1 2 4 2 3 2 3" xfId="29379"/>
    <cellStyle name="20 % - Markeringsfarve1 2 4 2 3 3" xfId="13037"/>
    <cellStyle name="20 % - Markeringsfarve1 2 4 2 3 4" xfId="24395"/>
    <cellStyle name="20 % - Markeringsfarve1 2 4 2 4" xfId="3891"/>
    <cellStyle name="20 % - Markeringsfarve1 2 4 2 4 2" xfId="8876"/>
    <cellStyle name="20 % - Markeringsfarve1 2 4 2 4 2 2" xfId="19683"/>
    <cellStyle name="20 % - Markeringsfarve1 2 4 2 4 2 3" xfId="31040"/>
    <cellStyle name="20 % - Markeringsfarve1 2 4 2 4 3" xfId="14698"/>
    <cellStyle name="20 % - Markeringsfarve1 2 4 2 4 4" xfId="26056"/>
    <cellStyle name="20 % - Markeringsfarve1 2 4 2 5" xfId="5553"/>
    <cellStyle name="20 % - Markeringsfarve1 2 4 2 5 2" xfId="16361"/>
    <cellStyle name="20 % - Markeringsfarve1 2 4 2 5 3" xfId="27718"/>
    <cellStyle name="20 % - Markeringsfarve1 2 4 2 6" xfId="10540"/>
    <cellStyle name="20 % - Markeringsfarve1 2 4 2 6 2" xfId="21347"/>
    <cellStyle name="20 % - Markeringsfarve1 2 4 2 6 3" xfId="32704"/>
    <cellStyle name="20 % - Markeringsfarve1 2 4 2 7" xfId="11374"/>
    <cellStyle name="20 % - Markeringsfarve1 2 4 2 8" xfId="22180"/>
    <cellStyle name="20 % - Markeringsfarve1 2 4 2 9" xfId="22734"/>
    <cellStyle name="20 % - Markeringsfarve1 2 4 3" xfId="835"/>
    <cellStyle name="20 % - Markeringsfarve1 2 4 3 2" xfId="1667"/>
    <cellStyle name="20 % - Markeringsfarve1 2 4 3 2 2" xfId="3332"/>
    <cellStyle name="20 % - Markeringsfarve1 2 4 3 2 2 2" xfId="8320"/>
    <cellStyle name="20 % - Markeringsfarve1 2 4 3 2 2 2 2" xfId="19127"/>
    <cellStyle name="20 % - Markeringsfarve1 2 4 3 2 2 2 3" xfId="30484"/>
    <cellStyle name="20 % - Markeringsfarve1 2 4 3 2 2 3" xfId="14142"/>
    <cellStyle name="20 % - Markeringsfarve1 2 4 3 2 2 4" xfId="25500"/>
    <cellStyle name="20 % - Markeringsfarve1 2 4 3 2 3" xfId="4996"/>
    <cellStyle name="20 % - Markeringsfarve1 2 4 3 2 3 2" xfId="9981"/>
    <cellStyle name="20 % - Markeringsfarve1 2 4 3 2 3 2 2" xfId="20788"/>
    <cellStyle name="20 % - Markeringsfarve1 2 4 3 2 3 2 3" xfId="32145"/>
    <cellStyle name="20 % - Markeringsfarve1 2 4 3 2 3 3" xfId="15803"/>
    <cellStyle name="20 % - Markeringsfarve1 2 4 3 2 3 4" xfId="27161"/>
    <cellStyle name="20 % - Markeringsfarve1 2 4 3 2 4" xfId="6658"/>
    <cellStyle name="20 % - Markeringsfarve1 2 4 3 2 4 2" xfId="17466"/>
    <cellStyle name="20 % - Markeringsfarve1 2 4 3 2 4 3" xfId="28823"/>
    <cellStyle name="20 % - Markeringsfarve1 2 4 3 2 5" xfId="12481"/>
    <cellStyle name="20 % - Markeringsfarve1 2 4 3 2 6" xfId="23839"/>
    <cellStyle name="20 % - Markeringsfarve1 2 4 3 3" xfId="2501"/>
    <cellStyle name="20 % - Markeringsfarve1 2 4 3 3 2" xfId="7489"/>
    <cellStyle name="20 % - Markeringsfarve1 2 4 3 3 2 2" xfId="18296"/>
    <cellStyle name="20 % - Markeringsfarve1 2 4 3 3 2 3" xfId="29653"/>
    <cellStyle name="20 % - Markeringsfarve1 2 4 3 3 3" xfId="13311"/>
    <cellStyle name="20 % - Markeringsfarve1 2 4 3 3 4" xfId="24669"/>
    <cellStyle name="20 % - Markeringsfarve1 2 4 3 4" xfId="4165"/>
    <cellStyle name="20 % - Markeringsfarve1 2 4 3 4 2" xfId="9150"/>
    <cellStyle name="20 % - Markeringsfarve1 2 4 3 4 2 2" xfId="19957"/>
    <cellStyle name="20 % - Markeringsfarve1 2 4 3 4 2 3" xfId="31314"/>
    <cellStyle name="20 % - Markeringsfarve1 2 4 3 4 3" xfId="14972"/>
    <cellStyle name="20 % - Markeringsfarve1 2 4 3 4 4" xfId="26330"/>
    <cellStyle name="20 % - Markeringsfarve1 2 4 3 5" xfId="5827"/>
    <cellStyle name="20 % - Markeringsfarve1 2 4 3 5 2" xfId="16635"/>
    <cellStyle name="20 % - Markeringsfarve1 2 4 3 5 3" xfId="27992"/>
    <cellStyle name="20 % - Markeringsfarve1 2 4 3 6" xfId="10814"/>
    <cellStyle name="20 % - Markeringsfarve1 2 4 3 6 2" xfId="21621"/>
    <cellStyle name="20 % - Markeringsfarve1 2 4 3 6 3" xfId="32978"/>
    <cellStyle name="20 % - Markeringsfarve1 2 4 3 7" xfId="11649"/>
    <cellStyle name="20 % - Markeringsfarve1 2 4 3 8" xfId="23008"/>
    <cellStyle name="20 % - Markeringsfarve1 2 4 4" xfId="1114"/>
    <cellStyle name="20 % - Markeringsfarve1 2 4 4 2" xfId="2779"/>
    <cellStyle name="20 % - Markeringsfarve1 2 4 4 2 2" xfId="7767"/>
    <cellStyle name="20 % - Markeringsfarve1 2 4 4 2 2 2" xfId="18574"/>
    <cellStyle name="20 % - Markeringsfarve1 2 4 4 2 2 3" xfId="29931"/>
    <cellStyle name="20 % - Markeringsfarve1 2 4 4 2 3" xfId="13589"/>
    <cellStyle name="20 % - Markeringsfarve1 2 4 4 2 4" xfId="24947"/>
    <cellStyle name="20 % - Markeringsfarve1 2 4 4 3" xfId="4443"/>
    <cellStyle name="20 % - Markeringsfarve1 2 4 4 3 2" xfId="9428"/>
    <cellStyle name="20 % - Markeringsfarve1 2 4 4 3 2 2" xfId="20235"/>
    <cellStyle name="20 % - Markeringsfarve1 2 4 4 3 2 3" xfId="31592"/>
    <cellStyle name="20 % - Markeringsfarve1 2 4 4 3 3" xfId="15250"/>
    <cellStyle name="20 % - Markeringsfarve1 2 4 4 3 4" xfId="26608"/>
    <cellStyle name="20 % - Markeringsfarve1 2 4 4 4" xfId="6105"/>
    <cellStyle name="20 % - Markeringsfarve1 2 4 4 4 2" xfId="16913"/>
    <cellStyle name="20 % - Markeringsfarve1 2 4 4 4 3" xfId="28270"/>
    <cellStyle name="20 % - Markeringsfarve1 2 4 4 5" xfId="11928"/>
    <cellStyle name="20 % - Markeringsfarve1 2 4 4 6" xfId="23286"/>
    <cellStyle name="20 % - Markeringsfarve1 2 4 5" xfId="1949"/>
    <cellStyle name="20 % - Markeringsfarve1 2 4 5 2" xfId="6937"/>
    <cellStyle name="20 % - Markeringsfarve1 2 4 5 2 2" xfId="17745"/>
    <cellStyle name="20 % - Markeringsfarve1 2 4 5 2 3" xfId="29102"/>
    <cellStyle name="20 % - Markeringsfarve1 2 4 5 3" xfId="12760"/>
    <cellStyle name="20 % - Markeringsfarve1 2 4 5 4" xfId="24118"/>
    <cellStyle name="20 % - Markeringsfarve1 2 4 6" xfId="3614"/>
    <cellStyle name="20 % - Markeringsfarve1 2 4 6 2" xfId="8599"/>
    <cellStyle name="20 % - Markeringsfarve1 2 4 6 2 2" xfId="19406"/>
    <cellStyle name="20 % - Markeringsfarve1 2 4 6 2 3" xfId="30763"/>
    <cellStyle name="20 % - Markeringsfarve1 2 4 6 3" xfId="14421"/>
    <cellStyle name="20 % - Markeringsfarve1 2 4 6 4" xfId="25779"/>
    <cellStyle name="20 % - Markeringsfarve1 2 4 7" xfId="5275"/>
    <cellStyle name="20 % - Markeringsfarve1 2 4 7 2" xfId="16084"/>
    <cellStyle name="20 % - Markeringsfarve1 2 4 7 3" xfId="27441"/>
    <cellStyle name="20 % - Markeringsfarve1 2 4 8" xfId="10260"/>
    <cellStyle name="20 % - Markeringsfarve1 2 4 8 2" xfId="21067"/>
    <cellStyle name="20 % - Markeringsfarve1 2 4 8 3" xfId="32424"/>
    <cellStyle name="20 % - Markeringsfarve1 2 4 9" xfId="11094"/>
    <cellStyle name="20 % - Markeringsfarve1 2 5" xfId="298"/>
    <cellStyle name="20 % - Markeringsfarve1 2 5 10" xfId="21955"/>
    <cellStyle name="20 % - Markeringsfarve1 2 5 11" xfId="22508"/>
    <cellStyle name="20 % - Markeringsfarve1 2 5 12" xfId="33311"/>
    <cellStyle name="20 % - Markeringsfarve1 2 5 13" xfId="33586"/>
    <cellStyle name="20 % - Markeringsfarve1 2 5 14" xfId="33857"/>
    <cellStyle name="20 % - Markeringsfarve1 2 5 2" xfId="615"/>
    <cellStyle name="20 % - Markeringsfarve1 2 5 2 2" xfId="1447"/>
    <cellStyle name="20 % - Markeringsfarve1 2 5 2 2 2" xfId="3112"/>
    <cellStyle name="20 % - Markeringsfarve1 2 5 2 2 2 2" xfId="8100"/>
    <cellStyle name="20 % - Markeringsfarve1 2 5 2 2 2 2 2" xfId="18907"/>
    <cellStyle name="20 % - Markeringsfarve1 2 5 2 2 2 2 3" xfId="30264"/>
    <cellStyle name="20 % - Markeringsfarve1 2 5 2 2 2 3" xfId="13922"/>
    <cellStyle name="20 % - Markeringsfarve1 2 5 2 2 2 4" xfId="25280"/>
    <cellStyle name="20 % - Markeringsfarve1 2 5 2 2 3" xfId="4776"/>
    <cellStyle name="20 % - Markeringsfarve1 2 5 2 2 3 2" xfId="9761"/>
    <cellStyle name="20 % - Markeringsfarve1 2 5 2 2 3 2 2" xfId="20568"/>
    <cellStyle name="20 % - Markeringsfarve1 2 5 2 2 3 2 3" xfId="31925"/>
    <cellStyle name="20 % - Markeringsfarve1 2 5 2 2 3 3" xfId="15583"/>
    <cellStyle name="20 % - Markeringsfarve1 2 5 2 2 3 4" xfId="26941"/>
    <cellStyle name="20 % - Markeringsfarve1 2 5 2 2 4" xfId="6438"/>
    <cellStyle name="20 % - Markeringsfarve1 2 5 2 2 4 2" xfId="17246"/>
    <cellStyle name="20 % - Markeringsfarve1 2 5 2 2 4 3" xfId="28603"/>
    <cellStyle name="20 % - Markeringsfarve1 2 5 2 2 5" xfId="12261"/>
    <cellStyle name="20 % - Markeringsfarve1 2 5 2 2 6" xfId="23619"/>
    <cellStyle name="20 % - Markeringsfarve1 2 5 2 3" xfId="2281"/>
    <cellStyle name="20 % - Markeringsfarve1 2 5 2 3 2" xfId="7269"/>
    <cellStyle name="20 % - Markeringsfarve1 2 5 2 3 2 2" xfId="18076"/>
    <cellStyle name="20 % - Markeringsfarve1 2 5 2 3 2 3" xfId="29433"/>
    <cellStyle name="20 % - Markeringsfarve1 2 5 2 3 3" xfId="13091"/>
    <cellStyle name="20 % - Markeringsfarve1 2 5 2 3 4" xfId="24449"/>
    <cellStyle name="20 % - Markeringsfarve1 2 5 2 4" xfId="3945"/>
    <cellStyle name="20 % - Markeringsfarve1 2 5 2 4 2" xfId="8930"/>
    <cellStyle name="20 % - Markeringsfarve1 2 5 2 4 2 2" xfId="19737"/>
    <cellStyle name="20 % - Markeringsfarve1 2 5 2 4 2 3" xfId="31094"/>
    <cellStyle name="20 % - Markeringsfarve1 2 5 2 4 3" xfId="14752"/>
    <cellStyle name="20 % - Markeringsfarve1 2 5 2 4 4" xfId="26110"/>
    <cellStyle name="20 % - Markeringsfarve1 2 5 2 5" xfId="5607"/>
    <cellStyle name="20 % - Markeringsfarve1 2 5 2 5 2" xfId="16415"/>
    <cellStyle name="20 % - Markeringsfarve1 2 5 2 5 3" xfId="27772"/>
    <cellStyle name="20 % - Markeringsfarve1 2 5 2 6" xfId="10594"/>
    <cellStyle name="20 % - Markeringsfarve1 2 5 2 6 2" xfId="21401"/>
    <cellStyle name="20 % - Markeringsfarve1 2 5 2 6 3" xfId="32758"/>
    <cellStyle name="20 % - Markeringsfarve1 2 5 2 7" xfId="11428"/>
    <cellStyle name="20 % - Markeringsfarve1 2 5 2 8" xfId="22234"/>
    <cellStyle name="20 % - Markeringsfarve1 2 5 2 9" xfId="22788"/>
    <cellStyle name="20 % - Markeringsfarve1 2 5 3" xfId="889"/>
    <cellStyle name="20 % - Markeringsfarve1 2 5 3 2" xfId="1721"/>
    <cellStyle name="20 % - Markeringsfarve1 2 5 3 2 2" xfId="3386"/>
    <cellStyle name="20 % - Markeringsfarve1 2 5 3 2 2 2" xfId="8374"/>
    <cellStyle name="20 % - Markeringsfarve1 2 5 3 2 2 2 2" xfId="19181"/>
    <cellStyle name="20 % - Markeringsfarve1 2 5 3 2 2 2 3" xfId="30538"/>
    <cellStyle name="20 % - Markeringsfarve1 2 5 3 2 2 3" xfId="14196"/>
    <cellStyle name="20 % - Markeringsfarve1 2 5 3 2 2 4" xfId="25554"/>
    <cellStyle name="20 % - Markeringsfarve1 2 5 3 2 3" xfId="5050"/>
    <cellStyle name="20 % - Markeringsfarve1 2 5 3 2 3 2" xfId="10035"/>
    <cellStyle name="20 % - Markeringsfarve1 2 5 3 2 3 2 2" xfId="20842"/>
    <cellStyle name="20 % - Markeringsfarve1 2 5 3 2 3 2 3" xfId="32199"/>
    <cellStyle name="20 % - Markeringsfarve1 2 5 3 2 3 3" xfId="15857"/>
    <cellStyle name="20 % - Markeringsfarve1 2 5 3 2 3 4" xfId="27215"/>
    <cellStyle name="20 % - Markeringsfarve1 2 5 3 2 4" xfId="6712"/>
    <cellStyle name="20 % - Markeringsfarve1 2 5 3 2 4 2" xfId="17520"/>
    <cellStyle name="20 % - Markeringsfarve1 2 5 3 2 4 3" xfId="28877"/>
    <cellStyle name="20 % - Markeringsfarve1 2 5 3 2 5" xfId="12535"/>
    <cellStyle name="20 % - Markeringsfarve1 2 5 3 2 6" xfId="23893"/>
    <cellStyle name="20 % - Markeringsfarve1 2 5 3 3" xfId="2555"/>
    <cellStyle name="20 % - Markeringsfarve1 2 5 3 3 2" xfId="7543"/>
    <cellStyle name="20 % - Markeringsfarve1 2 5 3 3 2 2" xfId="18350"/>
    <cellStyle name="20 % - Markeringsfarve1 2 5 3 3 2 3" xfId="29707"/>
    <cellStyle name="20 % - Markeringsfarve1 2 5 3 3 3" xfId="13365"/>
    <cellStyle name="20 % - Markeringsfarve1 2 5 3 3 4" xfId="24723"/>
    <cellStyle name="20 % - Markeringsfarve1 2 5 3 4" xfId="4219"/>
    <cellStyle name="20 % - Markeringsfarve1 2 5 3 4 2" xfId="9204"/>
    <cellStyle name="20 % - Markeringsfarve1 2 5 3 4 2 2" xfId="20011"/>
    <cellStyle name="20 % - Markeringsfarve1 2 5 3 4 2 3" xfId="31368"/>
    <cellStyle name="20 % - Markeringsfarve1 2 5 3 4 3" xfId="15026"/>
    <cellStyle name="20 % - Markeringsfarve1 2 5 3 4 4" xfId="26384"/>
    <cellStyle name="20 % - Markeringsfarve1 2 5 3 5" xfId="5881"/>
    <cellStyle name="20 % - Markeringsfarve1 2 5 3 5 2" xfId="16689"/>
    <cellStyle name="20 % - Markeringsfarve1 2 5 3 5 3" xfId="28046"/>
    <cellStyle name="20 % - Markeringsfarve1 2 5 3 6" xfId="10868"/>
    <cellStyle name="20 % - Markeringsfarve1 2 5 3 6 2" xfId="21675"/>
    <cellStyle name="20 % - Markeringsfarve1 2 5 3 6 3" xfId="33032"/>
    <cellStyle name="20 % - Markeringsfarve1 2 5 3 7" xfId="11703"/>
    <cellStyle name="20 % - Markeringsfarve1 2 5 3 8" xfId="23062"/>
    <cellStyle name="20 % - Markeringsfarve1 2 5 4" xfId="1168"/>
    <cellStyle name="20 % - Markeringsfarve1 2 5 4 2" xfId="2833"/>
    <cellStyle name="20 % - Markeringsfarve1 2 5 4 2 2" xfId="7821"/>
    <cellStyle name="20 % - Markeringsfarve1 2 5 4 2 2 2" xfId="18628"/>
    <cellStyle name="20 % - Markeringsfarve1 2 5 4 2 2 3" xfId="29985"/>
    <cellStyle name="20 % - Markeringsfarve1 2 5 4 2 3" xfId="13643"/>
    <cellStyle name="20 % - Markeringsfarve1 2 5 4 2 4" xfId="25001"/>
    <cellStyle name="20 % - Markeringsfarve1 2 5 4 3" xfId="4497"/>
    <cellStyle name="20 % - Markeringsfarve1 2 5 4 3 2" xfId="9482"/>
    <cellStyle name="20 % - Markeringsfarve1 2 5 4 3 2 2" xfId="20289"/>
    <cellStyle name="20 % - Markeringsfarve1 2 5 4 3 2 3" xfId="31646"/>
    <cellStyle name="20 % - Markeringsfarve1 2 5 4 3 3" xfId="15304"/>
    <cellStyle name="20 % - Markeringsfarve1 2 5 4 3 4" xfId="26662"/>
    <cellStyle name="20 % - Markeringsfarve1 2 5 4 4" xfId="6159"/>
    <cellStyle name="20 % - Markeringsfarve1 2 5 4 4 2" xfId="16967"/>
    <cellStyle name="20 % - Markeringsfarve1 2 5 4 4 3" xfId="28324"/>
    <cellStyle name="20 % - Markeringsfarve1 2 5 4 5" xfId="11982"/>
    <cellStyle name="20 % - Markeringsfarve1 2 5 4 6" xfId="23340"/>
    <cellStyle name="20 % - Markeringsfarve1 2 5 5" xfId="2003"/>
    <cellStyle name="20 % - Markeringsfarve1 2 5 5 2" xfId="6991"/>
    <cellStyle name="20 % - Markeringsfarve1 2 5 5 2 2" xfId="17799"/>
    <cellStyle name="20 % - Markeringsfarve1 2 5 5 2 3" xfId="29156"/>
    <cellStyle name="20 % - Markeringsfarve1 2 5 5 3" xfId="12814"/>
    <cellStyle name="20 % - Markeringsfarve1 2 5 5 4" xfId="24172"/>
    <cellStyle name="20 % - Markeringsfarve1 2 5 6" xfId="3668"/>
    <cellStyle name="20 % - Markeringsfarve1 2 5 6 2" xfId="8653"/>
    <cellStyle name="20 % - Markeringsfarve1 2 5 6 2 2" xfId="19460"/>
    <cellStyle name="20 % - Markeringsfarve1 2 5 6 2 3" xfId="30817"/>
    <cellStyle name="20 % - Markeringsfarve1 2 5 6 3" xfId="14475"/>
    <cellStyle name="20 % - Markeringsfarve1 2 5 6 4" xfId="25833"/>
    <cellStyle name="20 % - Markeringsfarve1 2 5 7" xfId="5329"/>
    <cellStyle name="20 % - Markeringsfarve1 2 5 7 2" xfId="16138"/>
    <cellStyle name="20 % - Markeringsfarve1 2 5 7 3" xfId="27495"/>
    <cellStyle name="20 % - Markeringsfarve1 2 5 8" xfId="10314"/>
    <cellStyle name="20 % - Markeringsfarve1 2 5 8 2" xfId="21121"/>
    <cellStyle name="20 % - Markeringsfarve1 2 5 8 3" xfId="32478"/>
    <cellStyle name="20 % - Markeringsfarve1 2 5 9" xfId="11148"/>
    <cellStyle name="20 % - Markeringsfarve1 2 6" xfId="354"/>
    <cellStyle name="20 % - Markeringsfarve1 2 6 10" xfId="22011"/>
    <cellStyle name="20 % - Markeringsfarve1 2 6 11" xfId="22564"/>
    <cellStyle name="20 % - Markeringsfarve1 2 6 12" xfId="33367"/>
    <cellStyle name="20 % - Markeringsfarve1 2 6 13" xfId="33642"/>
    <cellStyle name="20 % - Markeringsfarve1 2 6 14" xfId="33913"/>
    <cellStyle name="20 % - Markeringsfarve1 2 6 2" xfId="671"/>
    <cellStyle name="20 % - Markeringsfarve1 2 6 2 2" xfId="1503"/>
    <cellStyle name="20 % - Markeringsfarve1 2 6 2 2 2" xfId="3168"/>
    <cellStyle name="20 % - Markeringsfarve1 2 6 2 2 2 2" xfId="8156"/>
    <cellStyle name="20 % - Markeringsfarve1 2 6 2 2 2 2 2" xfId="18963"/>
    <cellStyle name="20 % - Markeringsfarve1 2 6 2 2 2 2 3" xfId="30320"/>
    <cellStyle name="20 % - Markeringsfarve1 2 6 2 2 2 3" xfId="13978"/>
    <cellStyle name="20 % - Markeringsfarve1 2 6 2 2 2 4" xfId="25336"/>
    <cellStyle name="20 % - Markeringsfarve1 2 6 2 2 3" xfId="4832"/>
    <cellStyle name="20 % - Markeringsfarve1 2 6 2 2 3 2" xfId="9817"/>
    <cellStyle name="20 % - Markeringsfarve1 2 6 2 2 3 2 2" xfId="20624"/>
    <cellStyle name="20 % - Markeringsfarve1 2 6 2 2 3 2 3" xfId="31981"/>
    <cellStyle name="20 % - Markeringsfarve1 2 6 2 2 3 3" xfId="15639"/>
    <cellStyle name="20 % - Markeringsfarve1 2 6 2 2 3 4" xfId="26997"/>
    <cellStyle name="20 % - Markeringsfarve1 2 6 2 2 4" xfId="6494"/>
    <cellStyle name="20 % - Markeringsfarve1 2 6 2 2 4 2" xfId="17302"/>
    <cellStyle name="20 % - Markeringsfarve1 2 6 2 2 4 3" xfId="28659"/>
    <cellStyle name="20 % - Markeringsfarve1 2 6 2 2 5" xfId="12317"/>
    <cellStyle name="20 % - Markeringsfarve1 2 6 2 2 6" xfId="23675"/>
    <cellStyle name="20 % - Markeringsfarve1 2 6 2 3" xfId="2337"/>
    <cellStyle name="20 % - Markeringsfarve1 2 6 2 3 2" xfId="7325"/>
    <cellStyle name="20 % - Markeringsfarve1 2 6 2 3 2 2" xfId="18132"/>
    <cellStyle name="20 % - Markeringsfarve1 2 6 2 3 2 3" xfId="29489"/>
    <cellStyle name="20 % - Markeringsfarve1 2 6 2 3 3" xfId="13147"/>
    <cellStyle name="20 % - Markeringsfarve1 2 6 2 3 4" xfId="24505"/>
    <cellStyle name="20 % - Markeringsfarve1 2 6 2 4" xfId="4001"/>
    <cellStyle name="20 % - Markeringsfarve1 2 6 2 4 2" xfId="8986"/>
    <cellStyle name="20 % - Markeringsfarve1 2 6 2 4 2 2" xfId="19793"/>
    <cellStyle name="20 % - Markeringsfarve1 2 6 2 4 2 3" xfId="31150"/>
    <cellStyle name="20 % - Markeringsfarve1 2 6 2 4 3" xfId="14808"/>
    <cellStyle name="20 % - Markeringsfarve1 2 6 2 4 4" xfId="26166"/>
    <cellStyle name="20 % - Markeringsfarve1 2 6 2 5" xfId="5663"/>
    <cellStyle name="20 % - Markeringsfarve1 2 6 2 5 2" xfId="16471"/>
    <cellStyle name="20 % - Markeringsfarve1 2 6 2 5 3" xfId="27828"/>
    <cellStyle name="20 % - Markeringsfarve1 2 6 2 6" xfId="10650"/>
    <cellStyle name="20 % - Markeringsfarve1 2 6 2 6 2" xfId="21457"/>
    <cellStyle name="20 % - Markeringsfarve1 2 6 2 6 3" xfId="32814"/>
    <cellStyle name="20 % - Markeringsfarve1 2 6 2 7" xfId="11484"/>
    <cellStyle name="20 % - Markeringsfarve1 2 6 2 8" xfId="22290"/>
    <cellStyle name="20 % - Markeringsfarve1 2 6 2 9" xfId="22844"/>
    <cellStyle name="20 % - Markeringsfarve1 2 6 3" xfId="945"/>
    <cellStyle name="20 % - Markeringsfarve1 2 6 3 2" xfId="1777"/>
    <cellStyle name="20 % - Markeringsfarve1 2 6 3 2 2" xfId="3442"/>
    <cellStyle name="20 % - Markeringsfarve1 2 6 3 2 2 2" xfId="8430"/>
    <cellStyle name="20 % - Markeringsfarve1 2 6 3 2 2 2 2" xfId="19237"/>
    <cellStyle name="20 % - Markeringsfarve1 2 6 3 2 2 2 3" xfId="30594"/>
    <cellStyle name="20 % - Markeringsfarve1 2 6 3 2 2 3" xfId="14252"/>
    <cellStyle name="20 % - Markeringsfarve1 2 6 3 2 2 4" xfId="25610"/>
    <cellStyle name="20 % - Markeringsfarve1 2 6 3 2 3" xfId="5106"/>
    <cellStyle name="20 % - Markeringsfarve1 2 6 3 2 3 2" xfId="10091"/>
    <cellStyle name="20 % - Markeringsfarve1 2 6 3 2 3 2 2" xfId="20898"/>
    <cellStyle name="20 % - Markeringsfarve1 2 6 3 2 3 2 3" xfId="32255"/>
    <cellStyle name="20 % - Markeringsfarve1 2 6 3 2 3 3" xfId="15913"/>
    <cellStyle name="20 % - Markeringsfarve1 2 6 3 2 3 4" xfId="27271"/>
    <cellStyle name="20 % - Markeringsfarve1 2 6 3 2 4" xfId="6768"/>
    <cellStyle name="20 % - Markeringsfarve1 2 6 3 2 4 2" xfId="17576"/>
    <cellStyle name="20 % - Markeringsfarve1 2 6 3 2 4 3" xfId="28933"/>
    <cellStyle name="20 % - Markeringsfarve1 2 6 3 2 5" xfId="12591"/>
    <cellStyle name="20 % - Markeringsfarve1 2 6 3 2 6" xfId="23949"/>
    <cellStyle name="20 % - Markeringsfarve1 2 6 3 3" xfId="2611"/>
    <cellStyle name="20 % - Markeringsfarve1 2 6 3 3 2" xfId="7599"/>
    <cellStyle name="20 % - Markeringsfarve1 2 6 3 3 2 2" xfId="18406"/>
    <cellStyle name="20 % - Markeringsfarve1 2 6 3 3 2 3" xfId="29763"/>
    <cellStyle name="20 % - Markeringsfarve1 2 6 3 3 3" xfId="13421"/>
    <cellStyle name="20 % - Markeringsfarve1 2 6 3 3 4" xfId="24779"/>
    <cellStyle name="20 % - Markeringsfarve1 2 6 3 4" xfId="4275"/>
    <cellStyle name="20 % - Markeringsfarve1 2 6 3 4 2" xfId="9260"/>
    <cellStyle name="20 % - Markeringsfarve1 2 6 3 4 2 2" xfId="20067"/>
    <cellStyle name="20 % - Markeringsfarve1 2 6 3 4 2 3" xfId="31424"/>
    <cellStyle name="20 % - Markeringsfarve1 2 6 3 4 3" xfId="15082"/>
    <cellStyle name="20 % - Markeringsfarve1 2 6 3 4 4" xfId="26440"/>
    <cellStyle name="20 % - Markeringsfarve1 2 6 3 5" xfId="5937"/>
    <cellStyle name="20 % - Markeringsfarve1 2 6 3 5 2" xfId="16745"/>
    <cellStyle name="20 % - Markeringsfarve1 2 6 3 5 3" xfId="28102"/>
    <cellStyle name="20 % - Markeringsfarve1 2 6 3 6" xfId="10924"/>
    <cellStyle name="20 % - Markeringsfarve1 2 6 3 6 2" xfId="21731"/>
    <cellStyle name="20 % - Markeringsfarve1 2 6 3 6 3" xfId="33088"/>
    <cellStyle name="20 % - Markeringsfarve1 2 6 3 7" xfId="11759"/>
    <cellStyle name="20 % - Markeringsfarve1 2 6 3 8" xfId="23118"/>
    <cellStyle name="20 % - Markeringsfarve1 2 6 4" xfId="1224"/>
    <cellStyle name="20 % - Markeringsfarve1 2 6 4 2" xfId="2889"/>
    <cellStyle name="20 % - Markeringsfarve1 2 6 4 2 2" xfId="7877"/>
    <cellStyle name="20 % - Markeringsfarve1 2 6 4 2 2 2" xfId="18684"/>
    <cellStyle name="20 % - Markeringsfarve1 2 6 4 2 2 3" xfId="30041"/>
    <cellStyle name="20 % - Markeringsfarve1 2 6 4 2 3" xfId="13699"/>
    <cellStyle name="20 % - Markeringsfarve1 2 6 4 2 4" xfId="25057"/>
    <cellStyle name="20 % - Markeringsfarve1 2 6 4 3" xfId="4553"/>
    <cellStyle name="20 % - Markeringsfarve1 2 6 4 3 2" xfId="9538"/>
    <cellStyle name="20 % - Markeringsfarve1 2 6 4 3 2 2" xfId="20345"/>
    <cellStyle name="20 % - Markeringsfarve1 2 6 4 3 2 3" xfId="31702"/>
    <cellStyle name="20 % - Markeringsfarve1 2 6 4 3 3" xfId="15360"/>
    <cellStyle name="20 % - Markeringsfarve1 2 6 4 3 4" xfId="26718"/>
    <cellStyle name="20 % - Markeringsfarve1 2 6 4 4" xfId="6215"/>
    <cellStyle name="20 % - Markeringsfarve1 2 6 4 4 2" xfId="17023"/>
    <cellStyle name="20 % - Markeringsfarve1 2 6 4 4 3" xfId="28380"/>
    <cellStyle name="20 % - Markeringsfarve1 2 6 4 5" xfId="12038"/>
    <cellStyle name="20 % - Markeringsfarve1 2 6 4 6" xfId="23396"/>
    <cellStyle name="20 % - Markeringsfarve1 2 6 5" xfId="2059"/>
    <cellStyle name="20 % - Markeringsfarve1 2 6 5 2" xfId="7047"/>
    <cellStyle name="20 % - Markeringsfarve1 2 6 5 2 2" xfId="17855"/>
    <cellStyle name="20 % - Markeringsfarve1 2 6 5 2 3" xfId="29212"/>
    <cellStyle name="20 % - Markeringsfarve1 2 6 5 3" xfId="12870"/>
    <cellStyle name="20 % - Markeringsfarve1 2 6 5 4" xfId="24228"/>
    <cellStyle name="20 % - Markeringsfarve1 2 6 6" xfId="3724"/>
    <cellStyle name="20 % - Markeringsfarve1 2 6 6 2" xfId="8709"/>
    <cellStyle name="20 % - Markeringsfarve1 2 6 6 2 2" xfId="19516"/>
    <cellStyle name="20 % - Markeringsfarve1 2 6 6 2 3" xfId="30873"/>
    <cellStyle name="20 % - Markeringsfarve1 2 6 6 3" xfId="14531"/>
    <cellStyle name="20 % - Markeringsfarve1 2 6 6 4" xfId="25889"/>
    <cellStyle name="20 % - Markeringsfarve1 2 6 7" xfId="5385"/>
    <cellStyle name="20 % - Markeringsfarve1 2 6 7 2" xfId="16194"/>
    <cellStyle name="20 % - Markeringsfarve1 2 6 7 3" xfId="27551"/>
    <cellStyle name="20 % - Markeringsfarve1 2 6 8" xfId="10370"/>
    <cellStyle name="20 % - Markeringsfarve1 2 6 8 2" xfId="21177"/>
    <cellStyle name="20 % - Markeringsfarve1 2 6 8 3" xfId="32534"/>
    <cellStyle name="20 % - Markeringsfarve1 2 6 9" xfId="11204"/>
    <cellStyle name="20 % - Markeringsfarve1 2 7" xfId="455"/>
    <cellStyle name="20 % - Markeringsfarve1 2 7 2" xfId="1285"/>
    <cellStyle name="20 % - Markeringsfarve1 2 7 2 2" xfId="2950"/>
    <cellStyle name="20 % - Markeringsfarve1 2 7 2 2 2" xfId="7938"/>
    <cellStyle name="20 % - Markeringsfarve1 2 7 2 2 2 2" xfId="18745"/>
    <cellStyle name="20 % - Markeringsfarve1 2 7 2 2 2 3" xfId="30102"/>
    <cellStyle name="20 % - Markeringsfarve1 2 7 2 2 3" xfId="13760"/>
    <cellStyle name="20 % - Markeringsfarve1 2 7 2 2 4" xfId="25118"/>
    <cellStyle name="20 % - Markeringsfarve1 2 7 2 3" xfId="4614"/>
    <cellStyle name="20 % - Markeringsfarve1 2 7 2 3 2" xfId="9599"/>
    <cellStyle name="20 % - Markeringsfarve1 2 7 2 3 2 2" xfId="20406"/>
    <cellStyle name="20 % - Markeringsfarve1 2 7 2 3 2 3" xfId="31763"/>
    <cellStyle name="20 % - Markeringsfarve1 2 7 2 3 3" xfId="15421"/>
    <cellStyle name="20 % - Markeringsfarve1 2 7 2 3 4" xfId="26779"/>
    <cellStyle name="20 % - Markeringsfarve1 2 7 2 4" xfId="6276"/>
    <cellStyle name="20 % - Markeringsfarve1 2 7 2 4 2" xfId="17084"/>
    <cellStyle name="20 % - Markeringsfarve1 2 7 2 4 3" xfId="28441"/>
    <cellStyle name="20 % - Markeringsfarve1 2 7 2 5" xfId="12099"/>
    <cellStyle name="20 % - Markeringsfarve1 2 7 2 6" xfId="23457"/>
    <cellStyle name="20 % - Markeringsfarve1 2 7 3" xfId="2121"/>
    <cellStyle name="20 % - Markeringsfarve1 2 7 3 2" xfId="7109"/>
    <cellStyle name="20 % - Markeringsfarve1 2 7 3 2 2" xfId="17916"/>
    <cellStyle name="20 % - Markeringsfarve1 2 7 3 2 3" xfId="29273"/>
    <cellStyle name="20 % - Markeringsfarve1 2 7 3 3" xfId="12931"/>
    <cellStyle name="20 % - Markeringsfarve1 2 7 3 4" xfId="24289"/>
    <cellStyle name="20 % - Markeringsfarve1 2 7 4" xfId="3785"/>
    <cellStyle name="20 % - Markeringsfarve1 2 7 4 2" xfId="8770"/>
    <cellStyle name="20 % - Markeringsfarve1 2 7 4 2 2" xfId="19577"/>
    <cellStyle name="20 % - Markeringsfarve1 2 7 4 2 3" xfId="30934"/>
    <cellStyle name="20 % - Markeringsfarve1 2 7 4 3" xfId="14592"/>
    <cellStyle name="20 % - Markeringsfarve1 2 7 4 4" xfId="25950"/>
    <cellStyle name="20 % - Markeringsfarve1 2 7 5" xfId="5447"/>
    <cellStyle name="20 % - Markeringsfarve1 2 7 5 2" xfId="16255"/>
    <cellStyle name="20 % - Markeringsfarve1 2 7 5 3" xfId="27612"/>
    <cellStyle name="20 % - Markeringsfarve1 2 7 6" xfId="10426"/>
    <cellStyle name="20 % - Markeringsfarve1 2 7 6 2" xfId="21233"/>
    <cellStyle name="20 % - Markeringsfarve1 2 7 6 3" xfId="32590"/>
    <cellStyle name="20 % - Markeringsfarve1 2 7 7" xfId="11266"/>
    <cellStyle name="20 % - Markeringsfarve1 2 7 8" xfId="22072"/>
    <cellStyle name="20 % - Markeringsfarve1 2 7 9" xfId="22626"/>
    <cellStyle name="20 % - Markeringsfarve1 2 8" xfId="727"/>
    <cellStyle name="20 % - Markeringsfarve1 2 8 2" xfId="1559"/>
    <cellStyle name="20 % - Markeringsfarve1 2 8 2 2" xfId="3224"/>
    <cellStyle name="20 % - Markeringsfarve1 2 8 2 2 2" xfId="8212"/>
    <cellStyle name="20 % - Markeringsfarve1 2 8 2 2 2 2" xfId="19019"/>
    <cellStyle name="20 % - Markeringsfarve1 2 8 2 2 2 3" xfId="30376"/>
    <cellStyle name="20 % - Markeringsfarve1 2 8 2 2 3" xfId="14034"/>
    <cellStyle name="20 % - Markeringsfarve1 2 8 2 2 4" xfId="25392"/>
    <cellStyle name="20 % - Markeringsfarve1 2 8 2 3" xfId="4888"/>
    <cellStyle name="20 % - Markeringsfarve1 2 8 2 3 2" xfId="9873"/>
    <cellStyle name="20 % - Markeringsfarve1 2 8 2 3 2 2" xfId="20680"/>
    <cellStyle name="20 % - Markeringsfarve1 2 8 2 3 2 3" xfId="32037"/>
    <cellStyle name="20 % - Markeringsfarve1 2 8 2 3 3" xfId="15695"/>
    <cellStyle name="20 % - Markeringsfarve1 2 8 2 3 4" xfId="27053"/>
    <cellStyle name="20 % - Markeringsfarve1 2 8 2 4" xfId="6550"/>
    <cellStyle name="20 % - Markeringsfarve1 2 8 2 4 2" xfId="17358"/>
    <cellStyle name="20 % - Markeringsfarve1 2 8 2 4 3" xfId="28715"/>
    <cellStyle name="20 % - Markeringsfarve1 2 8 2 5" xfId="12373"/>
    <cellStyle name="20 % - Markeringsfarve1 2 8 2 6" xfId="23731"/>
    <cellStyle name="20 % - Markeringsfarve1 2 8 3" xfId="2393"/>
    <cellStyle name="20 % - Markeringsfarve1 2 8 3 2" xfId="7381"/>
    <cellStyle name="20 % - Markeringsfarve1 2 8 3 2 2" xfId="18188"/>
    <cellStyle name="20 % - Markeringsfarve1 2 8 3 2 3" xfId="29545"/>
    <cellStyle name="20 % - Markeringsfarve1 2 8 3 3" xfId="13203"/>
    <cellStyle name="20 % - Markeringsfarve1 2 8 3 4" xfId="24561"/>
    <cellStyle name="20 % - Markeringsfarve1 2 8 4" xfId="4057"/>
    <cellStyle name="20 % - Markeringsfarve1 2 8 4 2" xfId="9042"/>
    <cellStyle name="20 % - Markeringsfarve1 2 8 4 2 2" xfId="19849"/>
    <cellStyle name="20 % - Markeringsfarve1 2 8 4 2 3" xfId="31206"/>
    <cellStyle name="20 % - Markeringsfarve1 2 8 4 3" xfId="14864"/>
    <cellStyle name="20 % - Markeringsfarve1 2 8 4 4" xfId="26222"/>
    <cellStyle name="20 % - Markeringsfarve1 2 8 5" xfId="5719"/>
    <cellStyle name="20 % - Markeringsfarve1 2 8 5 2" xfId="16527"/>
    <cellStyle name="20 % - Markeringsfarve1 2 8 5 3" xfId="27884"/>
    <cellStyle name="20 % - Markeringsfarve1 2 8 6" xfId="10706"/>
    <cellStyle name="20 % - Markeringsfarve1 2 8 6 2" xfId="21513"/>
    <cellStyle name="20 % - Markeringsfarve1 2 8 6 3" xfId="32870"/>
    <cellStyle name="20 % - Markeringsfarve1 2 8 7" xfId="11541"/>
    <cellStyle name="20 % - Markeringsfarve1 2 8 8" xfId="22900"/>
    <cellStyle name="20 % - Markeringsfarve1 2 9" xfId="1006"/>
    <cellStyle name="20 % - Markeringsfarve1 2 9 2" xfId="2671"/>
    <cellStyle name="20 % - Markeringsfarve1 2 9 2 2" xfId="7659"/>
    <cellStyle name="20 % - Markeringsfarve1 2 9 2 2 2" xfId="18466"/>
    <cellStyle name="20 % - Markeringsfarve1 2 9 2 2 3" xfId="29823"/>
    <cellStyle name="20 % - Markeringsfarve1 2 9 2 3" xfId="13481"/>
    <cellStyle name="20 % - Markeringsfarve1 2 9 2 4" xfId="24839"/>
    <cellStyle name="20 % - Markeringsfarve1 2 9 3" xfId="4335"/>
    <cellStyle name="20 % - Markeringsfarve1 2 9 3 2" xfId="9320"/>
    <cellStyle name="20 % - Markeringsfarve1 2 9 3 2 2" xfId="20127"/>
    <cellStyle name="20 % - Markeringsfarve1 2 9 3 2 3" xfId="31484"/>
    <cellStyle name="20 % - Markeringsfarve1 2 9 3 3" xfId="15142"/>
    <cellStyle name="20 % - Markeringsfarve1 2 9 3 4" xfId="26500"/>
    <cellStyle name="20 % - Markeringsfarve1 2 9 4" xfId="5997"/>
    <cellStyle name="20 % - Markeringsfarve1 2 9 4 2" xfId="16805"/>
    <cellStyle name="20 % - Markeringsfarve1 2 9 4 3" xfId="28162"/>
    <cellStyle name="20 % - Markeringsfarve1 2 9 5" xfId="11820"/>
    <cellStyle name="20 % - Markeringsfarve1 2 9 6" xfId="23178"/>
    <cellStyle name="20 % - Markeringsfarve1 3" xfId="177"/>
    <cellStyle name="20 % - Markeringsfarve1 3 10" xfId="21835"/>
    <cellStyle name="20 % - Markeringsfarve1 3 11" xfId="22388"/>
    <cellStyle name="20 % - Markeringsfarve1 3 12" xfId="33191"/>
    <cellStyle name="20 % - Markeringsfarve1 3 13" xfId="33464"/>
    <cellStyle name="20 % - Markeringsfarve1 3 14" xfId="33735"/>
    <cellStyle name="20 % - Markeringsfarve1 3 2" xfId="497"/>
    <cellStyle name="20 % - Markeringsfarve1 3 2 2" xfId="1327"/>
    <cellStyle name="20 % - Markeringsfarve1 3 2 2 2" xfId="2992"/>
    <cellStyle name="20 % - Markeringsfarve1 3 2 2 2 2" xfId="7980"/>
    <cellStyle name="20 % - Markeringsfarve1 3 2 2 2 2 2" xfId="18787"/>
    <cellStyle name="20 % - Markeringsfarve1 3 2 2 2 2 3" xfId="30144"/>
    <cellStyle name="20 % - Markeringsfarve1 3 2 2 2 3" xfId="13802"/>
    <cellStyle name="20 % - Markeringsfarve1 3 2 2 2 4" xfId="25160"/>
    <cellStyle name="20 % - Markeringsfarve1 3 2 2 3" xfId="4656"/>
    <cellStyle name="20 % - Markeringsfarve1 3 2 2 3 2" xfId="9641"/>
    <cellStyle name="20 % - Markeringsfarve1 3 2 2 3 2 2" xfId="20448"/>
    <cellStyle name="20 % - Markeringsfarve1 3 2 2 3 2 3" xfId="31805"/>
    <cellStyle name="20 % - Markeringsfarve1 3 2 2 3 3" xfId="15463"/>
    <cellStyle name="20 % - Markeringsfarve1 3 2 2 3 4" xfId="26821"/>
    <cellStyle name="20 % - Markeringsfarve1 3 2 2 4" xfId="6318"/>
    <cellStyle name="20 % - Markeringsfarve1 3 2 2 4 2" xfId="17126"/>
    <cellStyle name="20 % - Markeringsfarve1 3 2 2 4 3" xfId="28483"/>
    <cellStyle name="20 % - Markeringsfarve1 3 2 2 5" xfId="12141"/>
    <cellStyle name="20 % - Markeringsfarve1 3 2 2 6" xfId="23499"/>
    <cellStyle name="20 % - Markeringsfarve1 3 2 3" xfId="2163"/>
    <cellStyle name="20 % - Markeringsfarve1 3 2 3 2" xfId="7151"/>
    <cellStyle name="20 % - Markeringsfarve1 3 2 3 2 2" xfId="17958"/>
    <cellStyle name="20 % - Markeringsfarve1 3 2 3 2 3" xfId="29315"/>
    <cellStyle name="20 % - Markeringsfarve1 3 2 3 3" xfId="12973"/>
    <cellStyle name="20 % - Markeringsfarve1 3 2 3 4" xfId="24331"/>
    <cellStyle name="20 % - Markeringsfarve1 3 2 4" xfId="3827"/>
    <cellStyle name="20 % - Markeringsfarve1 3 2 4 2" xfId="8812"/>
    <cellStyle name="20 % - Markeringsfarve1 3 2 4 2 2" xfId="19619"/>
    <cellStyle name="20 % - Markeringsfarve1 3 2 4 2 3" xfId="30976"/>
    <cellStyle name="20 % - Markeringsfarve1 3 2 4 3" xfId="14634"/>
    <cellStyle name="20 % - Markeringsfarve1 3 2 4 4" xfId="25992"/>
    <cellStyle name="20 % - Markeringsfarve1 3 2 5" xfId="5489"/>
    <cellStyle name="20 % - Markeringsfarve1 3 2 5 2" xfId="16297"/>
    <cellStyle name="20 % - Markeringsfarve1 3 2 5 3" xfId="27654"/>
    <cellStyle name="20 % - Markeringsfarve1 3 2 6" xfId="10474"/>
    <cellStyle name="20 % - Markeringsfarve1 3 2 6 2" xfId="21281"/>
    <cellStyle name="20 % - Markeringsfarve1 3 2 6 3" xfId="32638"/>
    <cellStyle name="20 % - Markeringsfarve1 3 2 7" xfId="11308"/>
    <cellStyle name="20 % - Markeringsfarve1 3 2 8" xfId="22114"/>
    <cellStyle name="20 % - Markeringsfarve1 3 2 9" xfId="22668"/>
    <cellStyle name="20 % - Markeringsfarve1 3 3" xfId="769"/>
    <cellStyle name="20 % - Markeringsfarve1 3 3 2" xfId="1601"/>
    <cellStyle name="20 % - Markeringsfarve1 3 3 2 2" xfId="3266"/>
    <cellStyle name="20 % - Markeringsfarve1 3 3 2 2 2" xfId="8254"/>
    <cellStyle name="20 % - Markeringsfarve1 3 3 2 2 2 2" xfId="19061"/>
    <cellStyle name="20 % - Markeringsfarve1 3 3 2 2 2 3" xfId="30418"/>
    <cellStyle name="20 % - Markeringsfarve1 3 3 2 2 3" xfId="14076"/>
    <cellStyle name="20 % - Markeringsfarve1 3 3 2 2 4" xfId="25434"/>
    <cellStyle name="20 % - Markeringsfarve1 3 3 2 3" xfId="4930"/>
    <cellStyle name="20 % - Markeringsfarve1 3 3 2 3 2" xfId="9915"/>
    <cellStyle name="20 % - Markeringsfarve1 3 3 2 3 2 2" xfId="20722"/>
    <cellStyle name="20 % - Markeringsfarve1 3 3 2 3 2 3" xfId="32079"/>
    <cellStyle name="20 % - Markeringsfarve1 3 3 2 3 3" xfId="15737"/>
    <cellStyle name="20 % - Markeringsfarve1 3 3 2 3 4" xfId="27095"/>
    <cellStyle name="20 % - Markeringsfarve1 3 3 2 4" xfId="6592"/>
    <cellStyle name="20 % - Markeringsfarve1 3 3 2 4 2" xfId="17400"/>
    <cellStyle name="20 % - Markeringsfarve1 3 3 2 4 3" xfId="28757"/>
    <cellStyle name="20 % - Markeringsfarve1 3 3 2 5" xfId="12415"/>
    <cellStyle name="20 % - Markeringsfarve1 3 3 2 6" xfId="23773"/>
    <cellStyle name="20 % - Markeringsfarve1 3 3 3" xfId="2435"/>
    <cellStyle name="20 % - Markeringsfarve1 3 3 3 2" xfId="7423"/>
    <cellStyle name="20 % - Markeringsfarve1 3 3 3 2 2" xfId="18230"/>
    <cellStyle name="20 % - Markeringsfarve1 3 3 3 2 3" xfId="29587"/>
    <cellStyle name="20 % - Markeringsfarve1 3 3 3 3" xfId="13245"/>
    <cellStyle name="20 % - Markeringsfarve1 3 3 3 4" xfId="24603"/>
    <cellStyle name="20 % - Markeringsfarve1 3 3 4" xfId="4099"/>
    <cellStyle name="20 % - Markeringsfarve1 3 3 4 2" xfId="9084"/>
    <cellStyle name="20 % - Markeringsfarve1 3 3 4 2 2" xfId="19891"/>
    <cellStyle name="20 % - Markeringsfarve1 3 3 4 2 3" xfId="31248"/>
    <cellStyle name="20 % - Markeringsfarve1 3 3 4 3" xfId="14906"/>
    <cellStyle name="20 % - Markeringsfarve1 3 3 4 4" xfId="26264"/>
    <cellStyle name="20 % - Markeringsfarve1 3 3 5" xfId="5761"/>
    <cellStyle name="20 % - Markeringsfarve1 3 3 5 2" xfId="16569"/>
    <cellStyle name="20 % - Markeringsfarve1 3 3 5 3" xfId="27926"/>
    <cellStyle name="20 % - Markeringsfarve1 3 3 6" xfId="10748"/>
    <cellStyle name="20 % - Markeringsfarve1 3 3 6 2" xfId="21555"/>
    <cellStyle name="20 % - Markeringsfarve1 3 3 6 3" xfId="32912"/>
    <cellStyle name="20 % - Markeringsfarve1 3 3 7" xfId="11583"/>
    <cellStyle name="20 % - Markeringsfarve1 3 3 8" xfId="22942"/>
    <cellStyle name="20 % - Markeringsfarve1 3 4" xfId="1048"/>
    <cellStyle name="20 % - Markeringsfarve1 3 4 2" xfId="2713"/>
    <cellStyle name="20 % - Markeringsfarve1 3 4 2 2" xfId="7701"/>
    <cellStyle name="20 % - Markeringsfarve1 3 4 2 2 2" xfId="18508"/>
    <cellStyle name="20 % - Markeringsfarve1 3 4 2 2 3" xfId="29865"/>
    <cellStyle name="20 % - Markeringsfarve1 3 4 2 3" xfId="13523"/>
    <cellStyle name="20 % - Markeringsfarve1 3 4 2 4" xfId="24881"/>
    <cellStyle name="20 % - Markeringsfarve1 3 4 3" xfId="4377"/>
    <cellStyle name="20 % - Markeringsfarve1 3 4 3 2" xfId="9362"/>
    <cellStyle name="20 % - Markeringsfarve1 3 4 3 2 2" xfId="20169"/>
    <cellStyle name="20 % - Markeringsfarve1 3 4 3 2 3" xfId="31526"/>
    <cellStyle name="20 % - Markeringsfarve1 3 4 3 3" xfId="15184"/>
    <cellStyle name="20 % - Markeringsfarve1 3 4 3 4" xfId="26542"/>
    <cellStyle name="20 % - Markeringsfarve1 3 4 4" xfId="6039"/>
    <cellStyle name="20 % - Markeringsfarve1 3 4 4 2" xfId="16847"/>
    <cellStyle name="20 % - Markeringsfarve1 3 4 4 3" xfId="28204"/>
    <cellStyle name="20 % - Markeringsfarve1 3 4 5" xfId="11862"/>
    <cellStyle name="20 % - Markeringsfarve1 3 4 6" xfId="23220"/>
    <cellStyle name="20 % - Markeringsfarve1 3 5" xfId="1883"/>
    <cellStyle name="20 % - Markeringsfarve1 3 5 2" xfId="6871"/>
    <cellStyle name="20 % - Markeringsfarve1 3 5 2 2" xfId="17679"/>
    <cellStyle name="20 % - Markeringsfarve1 3 5 2 3" xfId="29036"/>
    <cellStyle name="20 % - Markeringsfarve1 3 5 3" xfId="12694"/>
    <cellStyle name="20 % - Markeringsfarve1 3 5 4" xfId="24052"/>
    <cellStyle name="20 % - Markeringsfarve1 3 6" xfId="3548"/>
    <cellStyle name="20 % - Markeringsfarve1 3 6 2" xfId="8533"/>
    <cellStyle name="20 % - Markeringsfarve1 3 6 2 2" xfId="19340"/>
    <cellStyle name="20 % - Markeringsfarve1 3 6 2 3" xfId="30697"/>
    <cellStyle name="20 % - Markeringsfarve1 3 6 3" xfId="14355"/>
    <cellStyle name="20 % - Markeringsfarve1 3 6 4" xfId="25713"/>
    <cellStyle name="20 % - Markeringsfarve1 3 7" xfId="5209"/>
    <cellStyle name="20 % - Markeringsfarve1 3 7 2" xfId="16018"/>
    <cellStyle name="20 % - Markeringsfarve1 3 7 3" xfId="27375"/>
    <cellStyle name="20 % - Markeringsfarve1 3 8" xfId="10194"/>
    <cellStyle name="20 % - Markeringsfarve1 3 8 2" xfId="21001"/>
    <cellStyle name="20 % - Markeringsfarve1 3 8 3" xfId="32358"/>
    <cellStyle name="20 % - Markeringsfarve1 3 9" xfId="11028"/>
    <cellStyle name="20 % - Markeringsfarve1 4" xfId="230"/>
    <cellStyle name="20 % - Markeringsfarve1 4 10" xfId="21888"/>
    <cellStyle name="20 % - Markeringsfarve1 4 11" xfId="22441"/>
    <cellStyle name="20 % - Markeringsfarve1 4 12" xfId="33244"/>
    <cellStyle name="20 % - Markeringsfarve1 4 13" xfId="33519"/>
    <cellStyle name="20 % - Markeringsfarve1 4 14" xfId="33790"/>
    <cellStyle name="20 % - Markeringsfarve1 4 2" xfId="548"/>
    <cellStyle name="20 % - Markeringsfarve1 4 2 2" xfId="1380"/>
    <cellStyle name="20 % - Markeringsfarve1 4 2 2 2" xfId="3045"/>
    <cellStyle name="20 % - Markeringsfarve1 4 2 2 2 2" xfId="8033"/>
    <cellStyle name="20 % - Markeringsfarve1 4 2 2 2 2 2" xfId="18840"/>
    <cellStyle name="20 % - Markeringsfarve1 4 2 2 2 2 3" xfId="30197"/>
    <cellStyle name="20 % - Markeringsfarve1 4 2 2 2 3" xfId="13855"/>
    <cellStyle name="20 % - Markeringsfarve1 4 2 2 2 4" xfId="25213"/>
    <cellStyle name="20 % - Markeringsfarve1 4 2 2 3" xfId="4709"/>
    <cellStyle name="20 % - Markeringsfarve1 4 2 2 3 2" xfId="9694"/>
    <cellStyle name="20 % - Markeringsfarve1 4 2 2 3 2 2" xfId="20501"/>
    <cellStyle name="20 % - Markeringsfarve1 4 2 2 3 2 3" xfId="31858"/>
    <cellStyle name="20 % - Markeringsfarve1 4 2 2 3 3" xfId="15516"/>
    <cellStyle name="20 % - Markeringsfarve1 4 2 2 3 4" xfId="26874"/>
    <cellStyle name="20 % - Markeringsfarve1 4 2 2 4" xfId="6371"/>
    <cellStyle name="20 % - Markeringsfarve1 4 2 2 4 2" xfId="17179"/>
    <cellStyle name="20 % - Markeringsfarve1 4 2 2 4 3" xfId="28536"/>
    <cellStyle name="20 % - Markeringsfarve1 4 2 2 5" xfId="12194"/>
    <cellStyle name="20 % - Markeringsfarve1 4 2 2 6" xfId="23552"/>
    <cellStyle name="20 % - Markeringsfarve1 4 2 3" xfId="2214"/>
    <cellStyle name="20 % - Markeringsfarve1 4 2 3 2" xfId="7202"/>
    <cellStyle name="20 % - Markeringsfarve1 4 2 3 2 2" xfId="18009"/>
    <cellStyle name="20 % - Markeringsfarve1 4 2 3 2 3" xfId="29366"/>
    <cellStyle name="20 % - Markeringsfarve1 4 2 3 3" xfId="13024"/>
    <cellStyle name="20 % - Markeringsfarve1 4 2 3 4" xfId="24382"/>
    <cellStyle name="20 % - Markeringsfarve1 4 2 4" xfId="3878"/>
    <cellStyle name="20 % - Markeringsfarve1 4 2 4 2" xfId="8863"/>
    <cellStyle name="20 % - Markeringsfarve1 4 2 4 2 2" xfId="19670"/>
    <cellStyle name="20 % - Markeringsfarve1 4 2 4 2 3" xfId="31027"/>
    <cellStyle name="20 % - Markeringsfarve1 4 2 4 3" xfId="14685"/>
    <cellStyle name="20 % - Markeringsfarve1 4 2 4 4" xfId="26043"/>
    <cellStyle name="20 % - Markeringsfarve1 4 2 5" xfId="5540"/>
    <cellStyle name="20 % - Markeringsfarve1 4 2 5 2" xfId="16348"/>
    <cellStyle name="20 % - Markeringsfarve1 4 2 5 3" xfId="27705"/>
    <cellStyle name="20 % - Markeringsfarve1 4 2 6" xfId="10527"/>
    <cellStyle name="20 % - Markeringsfarve1 4 2 6 2" xfId="21334"/>
    <cellStyle name="20 % - Markeringsfarve1 4 2 6 3" xfId="32691"/>
    <cellStyle name="20 % - Markeringsfarve1 4 2 7" xfId="11361"/>
    <cellStyle name="20 % - Markeringsfarve1 4 2 8" xfId="22167"/>
    <cellStyle name="20 % - Markeringsfarve1 4 2 9" xfId="22721"/>
    <cellStyle name="20 % - Markeringsfarve1 4 3" xfId="822"/>
    <cellStyle name="20 % - Markeringsfarve1 4 3 2" xfId="1654"/>
    <cellStyle name="20 % - Markeringsfarve1 4 3 2 2" xfId="3319"/>
    <cellStyle name="20 % - Markeringsfarve1 4 3 2 2 2" xfId="8307"/>
    <cellStyle name="20 % - Markeringsfarve1 4 3 2 2 2 2" xfId="19114"/>
    <cellStyle name="20 % - Markeringsfarve1 4 3 2 2 2 3" xfId="30471"/>
    <cellStyle name="20 % - Markeringsfarve1 4 3 2 2 3" xfId="14129"/>
    <cellStyle name="20 % - Markeringsfarve1 4 3 2 2 4" xfId="25487"/>
    <cellStyle name="20 % - Markeringsfarve1 4 3 2 3" xfId="4983"/>
    <cellStyle name="20 % - Markeringsfarve1 4 3 2 3 2" xfId="9968"/>
    <cellStyle name="20 % - Markeringsfarve1 4 3 2 3 2 2" xfId="20775"/>
    <cellStyle name="20 % - Markeringsfarve1 4 3 2 3 2 3" xfId="32132"/>
    <cellStyle name="20 % - Markeringsfarve1 4 3 2 3 3" xfId="15790"/>
    <cellStyle name="20 % - Markeringsfarve1 4 3 2 3 4" xfId="27148"/>
    <cellStyle name="20 % - Markeringsfarve1 4 3 2 4" xfId="6645"/>
    <cellStyle name="20 % - Markeringsfarve1 4 3 2 4 2" xfId="17453"/>
    <cellStyle name="20 % - Markeringsfarve1 4 3 2 4 3" xfId="28810"/>
    <cellStyle name="20 % - Markeringsfarve1 4 3 2 5" xfId="12468"/>
    <cellStyle name="20 % - Markeringsfarve1 4 3 2 6" xfId="23826"/>
    <cellStyle name="20 % - Markeringsfarve1 4 3 3" xfId="2488"/>
    <cellStyle name="20 % - Markeringsfarve1 4 3 3 2" xfId="7476"/>
    <cellStyle name="20 % - Markeringsfarve1 4 3 3 2 2" xfId="18283"/>
    <cellStyle name="20 % - Markeringsfarve1 4 3 3 2 3" xfId="29640"/>
    <cellStyle name="20 % - Markeringsfarve1 4 3 3 3" xfId="13298"/>
    <cellStyle name="20 % - Markeringsfarve1 4 3 3 4" xfId="24656"/>
    <cellStyle name="20 % - Markeringsfarve1 4 3 4" xfId="4152"/>
    <cellStyle name="20 % - Markeringsfarve1 4 3 4 2" xfId="9137"/>
    <cellStyle name="20 % - Markeringsfarve1 4 3 4 2 2" xfId="19944"/>
    <cellStyle name="20 % - Markeringsfarve1 4 3 4 2 3" xfId="31301"/>
    <cellStyle name="20 % - Markeringsfarve1 4 3 4 3" xfId="14959"/>
    <cellStyle name="20 % - Markeringsfarve1 4 3 4 4" xfId="26317"/>
    <cellStyle name="20 % - Markeringsfarve1 4 3 5" xfId="5814"/>
    <cellStyle name="20 % - Markeringsfarve1 4 3 5 2" xfId="16622"/>
    <cellStyle name="20 % - Markeringsfarve1 4 3 5 3" xfId="27979"/>
    <cellStyle name="20 % - Markeringsfarve1 4 3 6" xfId="10801"/>
    <cellStyle name="20 % - Markeringsfarve1 4 3 6 2" xfId="21608"/>
    <cellStyle name="20 % - Markeringsfarve1 4 3 6 3" xfId="32965"/>
    <cellStyle name="20 % - Markeringsfarve1 4 3 7" xfId="11636"/>
    <cellStyle name="20 % - Markeringsfarve1 4 3 8" xfId="22995"/>
    <cellStyle name="20 % - Markeringsfarve1 4 4" xfId="1101"/>
    <cellStyle name="20 % - Markeringsfarve1 4 4 2" xfId="2766"/>
    <cellStyle name="20 % - Markeringsfarve1 4 4 2 2" xfId="7754"/>
    <cellStyle name="20 % - Markeringsfarve1 4 4 2 2 2" xfId="18561"/>
    <cellStyle name="20 % - Markeringsfarve1 4 4 2 2 3" xfId="29918"/>
    <cellStyle name="20 % - Markeringsfarve1 4 4 2 3" xfId="13576"/>
    <cellStyle name="20 % - Markeringsfarve1 4 4 2 4" xfId="24934"/>
    <cellStyle name="20 % - Markeringsfarve1 4 4 3" xfId="4430"/>
    <cellStyle name="20 % - Markeringsfarve1 4 4 3 2" xfId="9415"/>
    <cellStyle name="20 % - Markeringsfarve1 4 4 3 2 2" xfId="20222"/>
    <cellStyle name="20 % - Markeringsfarve1 4 4 3 2 3" xfId="31579"/>
    <cellStyle name="20 % - Markeringsfarve1 4 4 3 3" xfId="15237"/>
    <cellStyle name="20 % - Markeringsfarve1 4 4 3 4" xfId="26595"/>
    <cellStyle name="20 % - Markeringsfarve1 4 4 4" xfId="6092"/>
    <cellStyle name="20 % - Markeringsfarve1 4 4 4 2" xfId="16900"/>
    <cellStyle name="20 % - Markeringsfarve1 4 4 4 3" xfId="28257"/>
    <cellStyle name="20 % - Markeringsfarve1 4 4 5" xfId="11915"/>
    <cellStyle name="20 % - Markeringsfarve1 4 4 6" xfId="23273"/>
    <cellStyle name="20 % - Markeringsfarve1 4 5" xfId="1936"/>
    <cellStyle name="20 % - Markeringsfarve1 4 5 2" xfId="6924"/>
    <cellStyle name="20 % - Markeringsfarve1 4 5 2 2" xfId="17732"/>
    <cellStyle name="20 % - Markeringsfarve1 4 5 2 3" xfId="29089"/>
    <cellStyle name="20 % - Markeringsfarve1 4 5 3" xfId="12747"/>
    <cellStyle name="20 % - Markeringsfarve1 4 5 4" xfId="24105"/>
    <cellStyle name="20 % - Markeringsfarve1 4 6" xfId="3601"/>
    <cellStyle name="20 % - Markeringsfarve1 4 6 2" xfId="8586"/>
    <cellStyle name="20 % - Markeringsfarve1 4 6 2 2" xfId="19393"/>
    <cellStyle name="20 % - Markeringsfarve1 4 6 2 3" xfId="30750"/>
    <cellStyle name="20 % - Markeringsfarve1 4 6 3" xfId="14408"/>
    <cellStyle name="20 % - Markeringsfarve1 4 6 4" xfId="25766"/>
    <cellStyle name="20 % - Markeringsfarve1 4 7" xfId="5262"/>
    <cellStyle name="20 % - Markeringsfarve1 4 7 2" xfId="16071"/>
    <cellStyle name="20 % - Markeringsfarve1 4 7 3" xfId="27428"/>
    <cellStyle name="20 % - Markeringsfarve1 4 8" xfId="10247"/>
    <cellStyle name="20 % - Markeringsfarve1 4 8 2" xfId="21054"/>
    <cellStyle name="20 % - Markeringsfarve1 4 8 3" xfId="32411"/>
    <cellStyle name="20 % - Markeringsfarve1 4 9" xfId="11081"/>
    <cellStyle name="20 % - Markeringsfarve1 5" xfId="286"/>
    <cellStyle name="20 % - Markeringsfarve1 5 10" xfId="21943"/>
    <cellStyle name="20 % - Markeringsfarve1 5 11" xfId="22496"/>
    <cellStyle name="20 % - Markeringsfarve1 5 12" xfId="33299"/>
    <cellStyle name="20 % - Markeringsfarve1 5 13" xfId="33574"/>
    <cellStyle name="20 % - Markeringsfarve1 5 14" xfId="33845"/>
    <cellStyle name="20 % - Markeringsfarve1 5 2" xfId="603"/>
    <cellStyle name="20 % - Markeringsfarve1 5 2 2" xfId="1435"/>
    <cellStyle name="20 % - Markeringsfarve1 5 2 2 2" xfId="3100"/>
    <cellStyle name="20 % - Markeringsfarve1 5 2 2 2 2" xfId="8088"/>
    <cellStyle name="20 % - Markeringsfarve1 5 2 2 2 2 2" xfId="18895"/>
    <cellStyle name="20 % - Markeringsfarve1 5 2 2 2 2 3" xfId="30252"/>
    <cellStyle name="20 % - Markeringsfarve1 5 2 2 2 3" xfId="13910"/>
    <cellStyle name="20 % - Markeringsfarve1 5 2 2 2 4" xfId="25268"/>
    <cellStyle name="20 % - Markeringsfarve1 5 2 2 3" xfId="4764"/>
    <cellStyle name="20 % - Markeringsfarve1 5 2 2 3 2" xfId="9749"/>
    <cellStyle name="20 % - Markeringsfarve1 5 2 2 3 2 2" xfId="20556"/>
    <cellStyle name="20 % - Markeringsfarve1 5 2 2 3 2 3" xfId="31913"/>
    <cellStyle name="20 % - Markeringsfarve1 5 2 2 3 3" xfId="15571"/>
    <cellStyle name="20 % - Markeringsfarve1 5 2 2 3 4" xfId="26929"/>
    <cellStyle name="20 % - Markeringsfarve1 5 2 2 4" xfId="6426"/>
    <cellStyle name="20 % - Markeringsfarve1 5 2 2 4 2" xfId="17234"/>
    <cellStyle name="20 % - Markeringsfarve1 5 2 2 4 3" xfId="28591"/>
    <cellStyle name="20 % - Markeringsfarve1 5 2 2 5" xfId="12249"/>
    <cellStyle name="20 % - Markeringsfarve1 5 2 2 6" xfId="23607"/>
    <cellStyle name="20 % - Markeringsfarve1 5 2 3" xfId="2269"/>
    <cellStyle name="20 % - Markeringsfarve1 5 2 3 2" xfId="7257"/>
    <cellStyle name="20 % - Markeringsfarve1 5 2 3 2 2" xfId="18064"/>
    <cellStyle name="20 % - Markeringsfarve1 5 2 3 2 3" xfId="29421"/>
    <cellStyle name="20 % - Markeringsfarve1 5 2 3 3" xfId="13079"/>
    <cellStyle name="20 % - Markeringsfarve1 5 2 3 4" xfId="24437"/>
    <cellStyle name="20 % - Markeringsfarve1 5 2 4" xfId="3933"/>
    <cellStyle name="20 % - Markeringsfarve1 5 2 4 2" xfId="8918"/>
    <cellStyle name="20 % - Markeringsfarve1 5 2 4 2 2" xfId="19725"/>
    <cellStyle name="20 % - Markeringsfarve1 5 2 4 2 3" xfId="31082"/>
    <cellStyle name="20 % - Markeringsfarve1 5 2 4 3" xfId="14740"/>
    <cellStyle name="20 % - Markeringsfarve1 5 2 4 4" xfId="26098"/>
    <cellStyle name="20 % - Markeringsfarve1 5 2 5" xfId="5595"/>
    <cellStyle name="20 % - Markeringsfarve1 5 2 5 2" xfId="16403"/>
    <cellStyle name="20 % - Markeringsfarve1 5 2 5 3" xfId="27760"/>
    <cellStyle name="20 % - Markeringsfarve1 5 2 6" xfId="10582"/>
    <cellStyle name="20 % - Markeringsfarve1 5 2 6 2" xfId="21389"/>
    <cellStyle name="20 % - Markeringsfarve1 5 2 6 3" xfId="32746"/>
    <cellStyle name="20 % - Markeringsfarve1 5 2 7" xfId="11416"/>
    <cellStyle name="20 % - Markeringsfarve1 5 2 8" xfId="22222"/>
    <cellStyle name="20 % - Markeringsfarve1 5 2 9" xfId="22776"/>
    <cellStyle name="20 % - Markeringsfarve1 5 3" xfId="877"/>
    <cellStyle name="20 % - Markeringsfarve1 5 3 2" xfId="1709"/>
    <cellStyle name="20 % - Markeringsfarve1 5 3 2 2" xfId="3374"/>
    <cellStyle name="20 % - Markeringsfarve1 5 3 2 2 2" xfId="8362"/>
    <cellStyle name="20 % - Markeringsfarve1 5 3 2 2 2 2" xfId="19169"/>
    <cellStyle name="20 % - Markeringsfarve1 5 3 2 2 2 3" xfId="30526"/>
    <cellStyle name="20 % - Markeringsfarve1 5 3 2 2 3" xfId="14184"/>
    <cellStyle name="20 % - Markeringsfarve1 5 3 2 2 4" xfId="25542"/>
    <cellStyle name="20 % - Markeringsfarve1 5 3 2 3" xfId="5038"/>
    <cellStyle name="20 % - Markeringsfarve1 5 3 2 3 2" xfId="10023"/>
    <cellStyle name="20 % - Markeringsfarve1 5 3 2 3 2 2" xfId="20830"/>
    <cellStyle name="20 % - Markeringsfarve1 5 3 2 3 2 3" xfId="32187"/>
    <cellStyle name="20 % - Markeringsfarve1 5 3 2 3 3" xfId="15845"/>
    <cellStyle name="20 % - Markeringsfarve1 5 3 2 3 4" xfId="27203"/>
    <cellStyle name="20 % - Markeringsfarve1 5 3 2 4" xfId="6700"/>
    <cellStyle name="20 % - Markeringsfarve1 5 3 2 4 2" xfId="17508"/>
    <cellStyle name="20 % - Markeringsfarve1 5 3 2 4 3" xfId="28865"/>
    <cellStyle name="20 % - Markeringsfarve1 5 3 2 5" xfId="12523"/>
    <cellStyle name="20 % - Markeringsfarve1 5 3 2 6" xfId="23881"/>
    <cellStyle name="20 % - Markeringsfarve1 5 3 3" xfId="2543"/>
    <cellStyle name="20 % - Markeringsfarve1 5 3 3 2" xfId="7531"/>
    <cellStyle name="20 % - Markeringsfarve1 5 3 3 2 2" xfId="18338"/>
    <cellStyle name="20 % - Markeringsfarve1 5 3 3 2 3" xfId="29695"/>
    <cellStyle name="20 % - Markeringsfarve1 5 3 3 3" xfId="13353"/>
    <cellStyle name="20 % - Markeringsfarve1 5 3 3 4" xfId="24711"/>
    <cellStyle name="20 % - Markeringsfarve1 5 3 4" xfId="4207"/>
    <cellStyle name="20 % - Markeringsfarve1 5 3 4 2" xfId="9192"/>
    <cellStyle name="20 % - Markeringsfarve1 5 3 4 2 2" xfId="19999"/>
    <cellStyle name="20 % - Markeringsfarve1 5 3 4 2 3" xfId="31356"/>
    <cellStyle name="20 % - Markeringsfarve1 5 3 4 3" xfId="15014"/>
    <cellStyle name="20 % - Markeringsfarve1 5 3 4 4" xfId="26372"/>
    <cellStyle name="20 % - Markeringsfarve1 5 3 5" xfId="5869"/>
    <cellStyle name="20 % - Markeringsfarve1 5 3 5 2" xfId="16677"/>
    <cellStyle name="20 % - Markeringsfarve1 5 3 5 3" xfId="28034"/>
    <cellStyle name="20 % - Markeringsfarve1 5 3 6" xfId="10856"/>
    <cellStyle name="20 % - Markeringsfarve1 5 3 6 2" xfId="21663"/>
    <cellStyle name="20 % - Markeringsfarve1 5 3 6 3" xfId="33020"/>
    <cellStyle name="20 % - Markeringsfarve1 5 3 7" xfId="11691"/>
    <cellStyle name="20 % - Markeringsfarve1 5 3 8" xfId="23050"/>
    <cellStyle name="20 % - Markeringsfarve1 5 4" xfId="1156"/>
    <cellStyle name="20 % - Markeringsfarve1 5 4 2" xfId="2821"/>
    <cellStyle name="20 % - Markeringsfarve1 5 4 2 2" xfId="7809"/>
    <cellStyle name="20 % - Markeringsfarve1 5 4 2 2 2" xfId="18616"/>
    <cellStyle name="20 % - Markeringsfarve1 5 4 2 2 3" xfId="29973"/>
    <cellStyle name="20 % - Markeringsfarve1 5 4 2 3" xfId="13631"/>
    <cellStyle name="20 % - Markeringsfarve1 5 4 2 4" xfId="24989"/>
    <cellStyle name="20 % - Markeringsfarve1 5 4 3" xfId="4485"/>
    <cellStyle name="20 % - Markeringsfarve1 5 4 3 2" xfId="9470"/>
    <cellStyle name="20 % - Markeringsfarve1 5 4 3 2 2" xfId="20277"/>
    <cellStyle name="20 % - Markeringsfarve1 5 4 3 2 3" xfId="31634"/>
    <cellStyle name="20 % - Markeringsfarve1 5 4 3 3" xfId="15292"/>
    <cellStyle name="20 % - Markeringsfarve1 5 4 3 4" xfId="26650"/>
    <cellStyle name="20 % - Markeringsfarve1 5 4 4" xfId="6147"/>
    <cellStyle name="20 % - Markeringsfarve1 5 4 4 2" xfId="16955"/>
    <cellStyle name="20 % - Markeringsfarve1 5 4 4 3" xfId="28312"/>
    <cellStyle name="20 % - Markeringsfarve1 5 4 5" xfId="11970"/>
    <cellStyle name="20 % - Markeringsfarve1 5 4 6" xfId="23328"/>
    <cellStyle name="20 % - Markeringsfarve1 5 5" xfId="1991"/>
    <cellStyle name="20 % - Markeringsfarve1 5 5 2" xfId="6979"/>
    <cellStyle name="20 % - Markeringsfarve1 5 5 2 2" xfId="17787"/>
    <cellStyle name="20 % - Markeringsfarve1 5 5 2 3" xfId="29144"/>
    <cellStyle name="20 % - Markeringsfarve1 5 5 3" xfId="12802"/>
    <cellStyle name="20 % - Markeringsfarve1 5 5 4" xfId="24160"/>
    <cellStyle name="20 % - Markeringsfarve1 5 6" xfId="3656"/>
    <cellStyle name="20 % - Markeringsfarve1 5 6 2" xfId="8641"/>
    <cellStyle name="20 % - Markeringsfarve1 5 6 2 2" xfId="19448"/>
    <cellStyle name="20 % - Markeringsfarve1 5 6 2 3" xfId="30805"/>
    <cellStyle name="20 % - Markeringsfarve1 5 6 3" xfId="14463"/>
    <cellStyle name="20 % - Markeringsfarve1 5 6 4" xfId="25821"/>
    <cellStyle name="20 % - Markeringsfarve1 5 7" xfId="5317"/>
    <cellStyle name="20 % - Markeringsfarve1 5 7 2" xfId="16126"/>
    <cellStyle name="20 % - Markeringsfarve1 5 7 3" xfId="27483"/>
    <cellStyle name="20 % - Markeringsfarve1 5 8" xfId="10302"/>
    <cellStyle name="20 % - Markeringsfarve1 5 8 2" xfId="21109"/>
    <cellStyle name="20 % - Markeringsfarve1 5 8 3" xfId="32466"/>
    <cellStyle name="20 % - Markeringsfarve1 5 9" xfId="11136"/>
    <cellStyle name="20 % - Markeringsfarve1 6" xfId="341"/>
    <cellStyle name="20 % - Markeringsfarve1 6 10" xfId="21998"/>
    <cellStyle name="20 % - Markeringsfarve1 6 11" xfId="22551"/>
    <cellStyle name="20 % - Markeringsfarve1 6 12" xfId="33354"/>
    <cellStyle name="20 % - Markeringsfarve1 6 13" xfId="33629"/>
    <cellStyle name="20 % - Markeringsfarve1 6 14" xfId="33900"/>
    <cellStyle name="20 % - Markeringsfarve1 6 2" xfId="658"/>
    <cellStyle name="20 % - Markeringsfarve1 6 2 2" xfId="1490"/>
    <cellStyle name="20 % - Markeringsfarve1 6 2 2 2" xfId="3155"/>
    <cellStyle name="20 % - Markeringsfarve1 6 2 2 2 2" xfId="8143"/>
    <cellStyle name="20 % - Markeringsfarve1 6 2 2 2 2 2" xfId="18950"/>
    <cellStyle name="20 % - Markeringsfarve1 6 2 2 2 2 3" xfId="30307"/>
    <cellStyle name="20 % - Markeringsfarve1 6 2 2 2 3" xfId="13965"/>
    <cellStyle name="20 % - Markeringsfarve1 6 2 2 2 4" xfId="25323"/>
    <cellStyle name="20 % - Markeringsfarve1 6 2 2 3" xfId="4819"/>
    <cellStyle name="20 % - Markeringsfarve1 6 2 2 3 2" xfId="9804"/>
    <cellStyle name="20 % - Markeringsfarve1 6 2 2 3 2 2" xfId="20611"/>
    <cellStyle name="20 % - Markeringsfarve1 6 2 2 3 2 3" xfId="31968"/>
    <cellStyle name="20 % - Markeringsfarve1 6 2 2 3 3" xfId="15626"/>
    <cellStyle name="20 % - Markeringsfarve1 6 2 2 3 4" xfId="26984"/>
    <cellStyle name="20 % - Markeringsfarve1 6 2 2 4" xfId="6481"/>
    <cellStyle name="20 % - Markeringsfarve1 6 2 2 4 2" xfId="17289"/>
    <cellStyle name="20 % - Markeringsfarve1 6 2 2 4 3" xfId="28646"/>
    <cellStyle name="20 % - Markeringsfarve1 6 2 2 5" xfId="12304"/>
    <cellStyle name="20 % - Markeringsfarve1 6 2 2 6" xfId="23662"/>
    <cellStyle name="20 % - Markeringsfarve1 6 2 3" xfId="2324"/>
    <cellStyle name="20 % - Markeringsfarve1 6 2 3 2" xfId="7312"/>
    <cellStyle name="20 % - Markeringsfarve1 6 2 3 2 2" xfId="18119"/>
    <cellStyle name="20 % - Markeringsfarve1 6 2 3 2 3" xfId="29476"/>
    <cellStyle name="20 % - Markeringsfarve1 6 2 3 3" xfId="13134"/>
    <cellStyle name="20 % - Markeringsfarve1 6 2 3 4" xfId="24492"/>
    <cellStyle name="20 % - Markeringsfarve1 6 2 4" xfId="3988"/>
    <cellStyle name="20 % - Markeringsfarve1 6 2 4 2" xfId="8973"/>
    <cellStyle name="20 % - Markeringsfarve1 6 2 4 2 2" xfId="19780"/>
    <cellStyle name="20 % - Markeringsfarve1 6 2 4 2 3" xfId="31137"/>
    <cellStyle name="20 % - Markeringsfarve1 6 2 4 3" xfId="14795"/>
    <cellStyle name="20 % - Markeringsfarve1 6 2 4 4" xfId="26153"/>
    <cellStyle name="20 % - Markeringsfarve1 6 2 5" xfId="5650"/>
    <cellStyle name="20 % - Markeringsfarve1 6 2 5 2" xfId="16458"/>
    <cellStyle name="20 % - Markeringsfarve1 6 2 5 3" xfId="27815"/>
    <cellStyle name="20 % - Markeringsfarve1 6 2 6" xfId="10637"/>
    <cellStyle name="20 % - Markeringsfarve1 6 2 6 2" xfId="21444"/>
    <cellStyle name="20 % - Markeringsfarve1 6 2 6 3" xfId="32801"/>
    <cellStyle name="20 % - Markeringsfarve1 6 2 7" xfId="11471"/>
    <cellStyle name="20 % - Markeringsfarve1 6 2 8" xfId="22277"/>
    <cellStyle name="20 % - Markeringsfarve1 6 2 9" xfId="22831"/>
    <cellStyle name="20 % - Markeringsfarve1 6 3" xfId="932"/>
    <cellStyle name="20 % - Markeringsfarve1 6 3 2" xfId="1764"/>
    <cellStyle name="20 % - Markeringsfarve1 6 3 2 2" xfId="3429"/>
    <cellStyle name="20 % - Markeringsfarve1 6 3 2 2 2" xfId="8417"/>
    <cellStyle name="20 % - Markeringsfarve1 6 3 2 2 2 2" xfId="19224"/>
    <cellStyle name="20 % - Markeringsfarve1 6 3 2 2 2 3" xfId="30581"/>
    <cellStyle name="20 % - Markeringsfarve1 6 3 2 2 3" xfId="14239"/>
    <cellStyle name="20 % - Markeringsfarve1 6 3 2 2 4" xfId="25597"/>
    <cellStyle name="20 % - Markeringsfarve1 6 3 2 3" xfId="5093"/>
    <cellStyle name="20 % - Markeringsfarve1 6 3 2 3 2" xfId="10078"/>
    <cellStyle name="20 % - Markeringsfarve1 6 3 2 3 2 2" xfId="20885"/>
    <cellStyle name="20 % - Markeringsfarve1 6 3 2 3 2 3" xfId="32242"/>
    <cellStyle name="20 % - Markeringsfarve1 6 3 2 3 3" xfId="15900"/>
    <cellStyle name="20 % - Markeringsfarve1 6 3 2 3 4" xfId="27258"/>
    <cellStyle name="20 % - Markeringsfarve1 6 3 2 4" xfId="6755"/>
    <cellStyle name="20 % - Markeringsfarve1 6 3 2 4 2" xfId="17563"/>
    <cellStyle name="20 % - Markeringsfarve1 6 3 2 4 3" xfId="28920"/>
    <cellStyle name="20 % - Markeringsfarve1 6 3 2 5" xfId="12578"/>
    <cellStyle name="20 % - Markeringsfarve1 6 3 2 6" xfId="23936"/>
    <cellStyle name="20 % - Markeringsfarve1 6 3 3" xfId="2598"/>
    <cellStyle name="20 % - Markeringsfarve1 6 3 3 2" xfId="7586"/>
    <cellStyle name="20 % - Markeringsfarve1 6 3 3 2 2" xfId="18393"/>
    <cellStyle name="20 % - Markeringsfarve1 6 3 3 2 3" xfId="29750"/>
    <cellStyle name="20 % - Markeringsfarve1 6 3 3 3" xfId="13408"/>
    <cellStyle name="20 % - Markeringsfarve1 6 3 3 4" xfId="24766"/>
    <cellStyle name="20 % - Markeringsfarve1 6 3 4" xfId="4262"/>
    <cellStyle name="20 % - Markeringsfarve1 6 3 4 2" xfId="9247"/>
    <cellStyle name="20 % - Markeringsfarve1 6 3 4 2 2" xfId="20054"/>
    <cellStyle name="20 % - Markeringsfarve1 6 3 4 2 3" xfId="31411"/>
    <cellStyle name="20 % - Markeringsfarve1 6 3 4 3" xfId="15069"/>
    <cellStyle name="20 % - Markeringsfarve1 6 3 4 4" xfId="26427"/>
    <cellStyle name="20 % - Markeringsfarve1 6 3 5" xfId="5924"/>
    <cellStyle name="20 % - Markeringsfarve1 6 3 5 2" xfId="16732"/>
    <cellStyle name="20 % - Markeringsfarve1 6 3 5 3" xfId="28089"/>
    <cellStyle name="20 % - Markeringsfarve1 6 3 6" xfId="10911"/>
    <cellStyle name="20 % - Markeringsfarve1 6 3 6 2" xfId="21718"/>
    <cellStyle name="20 % - Markeringsfarve1 6 3 6 3" xfId="33075"/>
    <cellStyle name="20 % - Markeringsfarve1 6 3 7" xfId="11746"/>
    <cellStyle name="20 % - Markeringsfarve1 6 3 8" xfId="23105"/>
    <cellStyle name="20 % - Markeringsfarve1 6 4" xfId="1211"/>
    <cellStyle name="20 % - Markeringsfarve1 6 4 2" xfId="2876"/>
    <cellStyle name="20 % - Markeringsfarve1 6 4 2 2" xfId="7864"/>
    <cellStyle name="20 % - Markeringsfarve1 6 4 2 2 2" xfId="18671"/>
    <cellStyle name="20 % - Markeringsfarve1 6 4 2 2 3" xfId="30028"/>
    <cellStyle name="20 % - Markeringsfarve1 6 4 2 3" xfId="13686"/>
    <cellStyle name="20 % - Markeringsfarve1 6 4 2 4" xfId="25044"/>
    <cellStyle name="20 % - Markeringsfarve1 6 4 3" xfId="4540"/>
    <cellStyle name="20 % - Markeringsfarve1 6 4 3 2" xfId="9525"/>
    <cellStyle name="20 % - Markeringsfarve1 6 4 3 2 2" xfId="20332"/>
    <cellStyle name="20 % - Markeringsfarve1 6 4 3 2 3" xfId="31689"/>
    <cellStyle name="20 % - Markeringsfarve1 6 4 3 3" xfId="15347"/>
    <cellStyle name="20 % - Markeringsfarve1 6 4 3 4" xfId="26705"/>
    <cellStyle name="20 % - Markeringsfarve1 6 4 4" xfId="6202"/>
    <cellStyle name="20 % - Markeringsfarve1 6 4 4 2" xfId="17010"/>
    <cellStyle name="20 % - Markeringsfarve1 6 4 4 3" xfId="28367"/>
    <cellStyle name="20 % - Markeringsfarve1 6 4 5" xfId="12025"/>
    <cellStyle name="20 % - Markeringsfarve1 6 4 6" xfId="23383"/>
    <cellStyle name="20 % - Markeringsfarve1 6 5" xfId="2046"/>
    <cellStyle name="20 % - Markeringsfarve1 6 5 2" xfId="7034"/>
    <cellStyle name="20 % - Markeringsfarve1 6 5 2 2" xfId="17842"/>
    <cellStyle name="20 % - Markeringsfarve1 6 5 2 3" xfId="29199"/>
    <cellStyle name="20 % - Markeringsfarve1 6 5 3" xfId="12857"/>
    <cellStyle name="20 % - Markeringsfarve1 6 5 4" xfId="24215"/>
    <cellStyle name="20 % - Markeringsfarve1 6 6" xfId="3711"/>
    <cellStyle name="20 % - Markeringsfarve1 6 6 2" xfId="8696"/>
    <cellStyle name="20 % - Markeringsfarve1 6 6 2 2" xfId="19503"/>
    <cellStyle name="20 % - Markeringsfarve1 6 6 2 3" xfId="30860"/>
    <cellStyle name="20 % - Markeringsfarve1 6 6 3" xfId="14518"/>
    <cellStyle name="20 % - Markeringsfarve1 6 6 4" xfId="25876"/>
    <cellStyle name="20 % - Markeringsfarve1 6 7" xfId="5372"/>
    <cellStyle name="20 % - Markeringsfarve1 6 7 2" xfId="16181"/>
    <cellStyle name="20 % - Markeringsfarve1 6 7 3" xfId="27538"/>
    <cellStyle name="20 % - Markeringsfarve1 6 8" xfId="10357"/>
    <cellStyle name="20 % - Markeringsfarve1 6 8 2" xfId="21164"/>
    <cellStyle name="20 % - Markeringsfarve1 6 8 3" xfId="32521"/>
    <cellStyle name="20 % - Markeringsfarve1 6 9" xfId="11191"/>
    <cellStyle name="20 % - Markeringsfarve1 7" xfId="442"/>
    <cellStyle name="20 % - Markeringsfarve1 7 2" xfId="1272"/>
    <cellStyle name="20 % - Markeringsfarve1 7 2 2" xfId="2937"/>
    <cellStyle name="20 % - Markeringsfarve1 7 2 2 2" xfId="7925"/>
    <cellStyle name="20 % - Markeringsfarve1 7 2 2 2 2" xfId="18732"/>
    <cellStyle name="20 % - Markeringsfarve1 7 2 2 2 3" xfId="30089"/>
    <cellStyle name="20 % - Markeringsfarve1 7 2 2 3" xfId="13747"/>
    <cellStyle name="20 % - Markeringsfarve1 7 2 2 4" xfId="25105"/>
    <cellStyle name="20 % - Markeringsfarve1 7 2 3" xfId="4601"/>
    <cellStyle name="20 % - Markeringsfarve1 7 2 3 2" xfId="9586"/>
    <cellStyle name="20 % - Markeringsfarve1 7 2 3 2 2" xfId="20393"/>
    <cellStyle name="20 % - Markeringsfarve1 7 2 3 2 3" xfId="31750"/>
    <cellStyle name="20 % - Markeringsfarve1 7 2 3 3" xfId="15408"/>
    <cellStyle name="20 % - Markeringsfarve1 7 2 3 4" xfId="26766"/>
    <cellStyle name="20 % - Markeringsfarve1 7 2 4" xfId="6263"/>
    <cellStyle name="20 % - Markeringsfarve1 7 2 4 2" xfId="17071"/>
    <cellStyle name="20 % - Markeringsfarve1 7 2 4 3" xfId="28428"/>
    <cellStyle name="20 % - Markeringsfarve1 7 2 5" xfId="12086"/>
    <cellStyle name="20 % - Markeringsfarve1 7 2 6" xfId="23444"/>
    <cellStyle name="20 % - Markeringsfarve1 7 3" xfId="2108"/>
    <cellStyle name="20 % - Markeringsfarve1 7 3 2" xfId="7096"/>
    <cellStyle name="20 % - Markeringsfarve1 7 3 2 2" xfId="17903"/>
    <cellStyle name="20 % - Markeringsfarve1 7 3 2 3" xfId="29260"/>
    <cellStyle name="20 % - Markeringsfarve1 7 3 3" xfId="12918"/>
    <cellStyle name="20 % - Markeringsfarve1 7 3 4" xfId="24276"/>
    <cellStyle name="20 % - Markeringsfarve1 7 4" xfId="3772"/>
    <cellStyle name="20 % - Markeringsfarve1 7 4 2" xfId="8757"/>
    <cellStyle name="20 % - Markeringsfarve1 7 4 2 2" xfId="19564"/>
    <cellStyle name="20 % - Markeringsfarve1 7 4 2 3" xfId="30921"/>
    <cellStyle name="20 % - Markeringsfarve1 7 4 3" xfId="14579"/>
    <cellStyle name="20 % - Markeringsfarve1 7 4 4" xfId="25937"/>
    <cellStyle name="20 % - Markeringsfarve1 7 5" xfId="5434"/>
    <cellStyle name="20 % - Markeringsfarve1 7 5 2" xfId="16242"/>
    <cellStyle name="20 % - Markeringsfarve1 7 5 3" xfId="27599"/>
    <cellStyle name="20 % - Markeringsfarve1 7 6" xfId="10447"/>
    <cellStyle name="20 % - Markeringsfarve1 7 6 2" xfId="21254"/>
    <cellStyle name="20 % - Markeringsfarve1 7 6 3" xfId="32611"/>
    <cellStyle name="20 % - Markeringsfarve1 7 7" xfId="11253"/>
    <cellStyle name="20 % - Markeringsfarve1 7 8" xfId="22059"/>
    <cellStyle name="20 % - Markeringsfarve1 7 9" xfId="22613"/>
    <cellStyle name="20 % - Markeringsfarve1 8" xfId="714"/>
    <cellStyle name="20 % - Markeringsfarve1 8 2" xfId="1546"/>
    <cellStyle name="20 % - Markeringsfarve1 8 2 2" xfId="3211"/>
    <cellStyle name="20 % - Markeringsfarve1 8 2 2 2" xfId="8199"/>
    <cellStyle name="20 % - Markeringsfarve1 8 2 2 2 2" xfId="19006"/>
    <cellStyle name="20 % - Markeringsfarve1 8 2 2 2 3" xfId="30363"/>
    <cellStyle name="20 % - Markeringsfarve1 8 2 2 3" xfId="14021"/>
    <cellStyle name="20 % - Markeringsfarve1 8 2 2 4" xfId="25379"/>
    <cellStyle name="20 % - Markeringsfarve1 8 2 3" xfId="4875"/>
    <cellStyle name="20 % - Markeringsfarve1 8 2 3 2" xfId="9860"/>
    <cellStyle name="20 % - Markeringsfarve1 8 2 3 2 2" xfId="20667"/>
    <cellStyle name="20 % - Markeringsfarve1 8 2 3 2 3" xfId="32024"/>
    <cellStyle name="20 % - Markeringsfarve1 8 2 3 3" xfId="15682"/>
    <cellStyle name="20 % - Markeringsfarve1 8 2 3 4" xfId="27040"/>
    <cellStyle name="20 % - Markeringsfarve1 8 2 4" xfId="6537"/>
    <cellStyle name="20 % - Markeringsfarve1 8 2 4 2" xfId="17345"/>
    <cellStyle name="20 % - Markeringsfarve1 8 2 4 3" xfId="28702"/>
    <cellStyle name="20 % - Markeringsfarve1 8 2 5" xfId="12360"/>
    <cellStyle name="20 % - Markeringsfarve1 8 2 6" xfId="23718"/>
    <cellStyle name="20 % - Markeringsfarve1 8 3" xfId="2380"/>
    <cellStyle name="20 % - Markeringsfarve1 8 3 2" xfId="7368"/>
    <cellStyle name="20 % - Markeringsfarve1 8 3 2 2" xfId="18175"/>
    <cellStyle name="20 % - Markeringsfarve1 8 3 2 3" xfId="29532"/>
    <cellStyle name="20 % - Markeringsfarve1 8 3 3" xfId="13190"/>
    <cellStyle name="20 % - Markeringsfarve1 8 3 4" xfId="24548"/>
    <cellStyle name="20 % - Markeringsfarve1 8 4" xfId="4044"/>
    <cellStyle name="20 % - Markeringsfarve1 8 4 2" xfId="9029"/>
    <cellStyle name="20 % - Markeringsfarve1 8 4 2 2" xfId="19836"/>
    <cellStyle name="20 % - Markeringsfarve1 8 4 2 3" xfId="31193"/>
    <cellStyle name="20 % - Markeringsfarve1 8 4 3" xfId="14851"/>
    <cellStyle name="20 % - Markeringsfarve1 8 4 4" xfId="26209"/>
    <cellStyle name="20 % - Markeringsfarve1 8 5" xfId="5706"/>
    <cellStyle name="20 % - Markeringsfarve1 8 5 2" xfId="16514"/>
    <cellStyle name="20 % - Markeringsfarve1 8 5 3" xfId="27871"/>
    <cellStyle name="20 % - Markeringsfarve1 8 6" xfId="10693"/>
    <cellStyle name="20 % - Markeringsfarve1 8 6 2" xfId="21500"/>
    <cellStyle name="20 % - Markeringsfarve1 8 6 3" xfId="32857"/>
    <cellStyle name="20 % - Markeringsfarve1 8 7" xfId="11528"/>
    <cellStyle name="20 % - Markeringsfarve1 8 8" xfId="22887"/>
    <cellStyle name="20 % - Markeringsfarve1 9" xfId="993"/>
    <cellStyle name="20 % - Markeringsfarve1 9 2" xfId="2658"/>
    <cellStyle name="20 % - Markeringsfarve1 9 2 2" xfId="7646"/>
    <cellStyle name="20 % - Markeringsfarve1 9 2 2 2" xfId="18453"/>
    <cellStyle name="20 % - Markeringsfarve1 9 2 2 3" xfId="29810"/>
    <cellStyle name="20 % - Markeringsfarve1 9 2 3" xfId="13468"/>
    <cellStyle name="20 % - Markeringsfarve1 9 2 4" xfId="24826"/>
    <cellStyle name="20 % - Markeringsfarve1 9 3" xfId="4322"/>
    <cellStyle name="20 % - Markeringsfarve1 9 3 2" xfId="9307"/>
    <cellStyle name="20 % - Markeringsfarve1 9 3 2 2" xfId="20114"/>
    <cellStyle name="20 % - Markeringsfarve1 9 3 2 3" xfId="31471"/>
    <cellStyle name="20 % - Markeringsfarve1 9 3 3" xfId="15129"/>
    <cellStyle name="20 % - Markeringsfarve1 9 3 4" xfId="26487"/>
    <cellStyle name="20 % - Markeringsfarve1 9 4" xfId="5984"/>
    <cellStyle name="20 % - Markeringsfarve1 9 4 2" xfId="16792"/>
    <cellStyle name="20 % - Markeringsfarve1 9 4 3" xfId="28149"/>
    <cellStyle name="20 % - Markeringsfarve1 9 5" xfId="11807"/>
    <cellStyle name="20 % - Markeringsfarve1 9 6" xfId="23165"/>
    <cellStyle name="20 % - Markeringsfarve2" xfId="25" builtinId="34" customBuiltin="1"/>
    <cellStyle name="20 % - Markeringsfarve2 10" xfId="1830"/>
    <cellStyle name="20 % - Markeringsfarve2 10 2" xfId="6818"/>
    <cellStyle name="20 % - Markeringsfarve2 10 2 2" xfId="17626"/>
    <cellStyle name="20 % - Markeringsfarve2 10 2 3" xfId="28983"/>
    <cellStyle name="20 % - Markeringsfarve2 10 3" xfId="12641"/>
    <cellStyle name="20 % - Markeringsfarve2 10 4" xfId="23999"/>
    <cellStyle name="20 % - Markeringsfarve2 11" xfId="3495"/>
    <cellStyle name="20 % - Markeringsfarve2 11 2" xfId="8480"/>
    <cellStyle name="20 % - Markeringsfarve2 11 2 2" xfId="19287"/>
    <cellStyle name="20 % - Markeringsfarve2 11 2 3" xfId="30644"/>
    <cellStyle name="20 % - Markeringsfarve2 11 3" xfId="14302"/>
    <cellStyle name="20 % - Markeringsfarve2 11 4" xfId="25660"/>
    <cellStyle name="20 % - Markeringsfarve2 12" xfId="5156"/>
    <cellStyle name="20 % - Markeringsfarve2 12 2" xfId="15965"/>
    <cellStyle name="20 % - Markeringsfarve2 12 3" xfId="27322"/>
    <cellStyle name="20 % - Markeringsfarve2 13" xfId="10141"/>
    <cellStyle name="20 % - Markeringsfarve2 13 2" xfId="20948"/>
    <cellStyle name="20 % - Markeringsfarve2 13 3" xfId="32305"/>
    <cellStyle name="20 % - Markeringsfarve2 14" xfId="10975"/>
    <cellStyle name="20 % - Markeringsfarve2 15" xfId="21782"/>
    <cellStyle name="20 % - Markeringsfarve2 16" xfId="22335"/>
    <cellStyle name="20 % - Markeringsfarve2 17" xfId="33138"/>
    <cellStyle name="20 % - Markeringsfarve2 18" xfId="33446"/>
    <cellStyle name="20 % - Markeringsfarve2 19" xfId="33717"/>
    <cellStyle name="20 % - Markeringsfarve2 2" xfId="52"/>
    <cellStyle name="20 % - Markeringsfarve2 2 10" xfId="1842"/>
    <cellStyle name="20 % - Markeringsfarve2 2 10 2" xfId="6830"/>
    <cellStyle name="20 % - Markeringsfarve2 2 10 2 2" xfId="17638"/>
    <cellStyle name="20 % - Markeringsfarve2 2 10 2 3" xfId="28995"/>
    <cellStyle name="20 % - Markeringsfarve2 2 10 3" xfId="12653"/>
    <cellStyle name="20 % - Markeringsfarve2 2 10 4" xfId="24011"/>
    <cellStyle name="20 % - Markeringsfarve2 2 11" xfId="3507"/>
    <cellStyle name="20 % - Markeringsfarve2 2 11 2" xfId="8492"/>
    <cellStyle name="20 % - Markeringsfarve2 2 11 2 2" xfId="19299"/>
    <cellStyle name="20 % - Markeringsfarve2 2 11 2 3" xfId="30656"/>
    <cellStyle name="20 % - Markeringsfarve2 2 11 3" xfId="14314"/>
    <cellStyle name="20 % - Markeringsfarve2 2 11 4" xfId="25672"/>
    <cellStyle name="20 % - Markeringsfarve2 2 12" xfId="5168"/>
    <cellStyle name="20 % - Markeringsfarve2 2 12 2" xfId="15977"/>
    <cellStyle name="20 % - Markeringsfarve2 2 12 3" xfId="27334"/>
    <cellStyle name="20 % - Markeringsfarve2 2 13" xfId="10153"/>
    <cellStyle name="20 % - Markeringsfarve2 2 13 2" xfId="20960"/>
    <cellStyle name="20 % - Markeringsfarve2 2 13 3" xfId="32317"/>
    <cellStyle name="20 % - Markeringsfarve2 2 14" xfId="10987"/>
    <cellStyle name="20 % - Markeringsfarve2 2 15" xfId="21794"/>
    <cellStyle name="20 % - Markeringsfarve2 2 16" xfId="22347"/>
    <cellStyle name="20 % - Markeringsfarve2 2 17" xfId="33150"/>
    <cellStyle name="20 % - Markeringsfarve2 2 18" xfId="33411"/>
    <cellStyle name="20 % - Markeringsfarve2 2 19" xfId="33682"/>
    <cellStyle name="20 % - Markeringsfarve2 2 2" xfId="80"/>
    <cellStyle name="20 % - Markeringsfarve2 2 2 10" xfId="3526"/>
    <cellStyle name="20 % - Markeringsfarve2 2 2 10 2" xfId="8511"/>
    <cellStyle name="20 % - Markeringsfarve2 2 2 10 2 2" xfId="19318"/>
    <cellStyle name="20 % - Markeringsfarve2 2 2 10 2 3" xfId="30675"/>
    <cellStyle name="20 % - Markeringsfarve2 2 2 10 3" xfId="14333"/>
    <cellStyle name="20 % - Markeringsfarve2 2 2 10 4" xfId="25691"/>
    <cellStyle name="20 % - Markeringsfarve2 2 2 11" xfId="5187"/>
    <cellStyle name="20 % - Markeringsfarve2 2 2 11 2" xfId="15996"/>
    <cellStyle name="20 % - Markeringsfarve2 2 2 11 3" xfId="27353"/>
    <cellStyle name="20 % - Markeringsfarve2 2 2 12" xfId="10171"/>
    <cellStyle name="20 % - Markeringsfarve2 2 2 12 2" xfId="20978"/>
    <cellStyle name="20 % - Markeringsfarve2 2 2 12 3" xfId="32335"/>
    <cellStyle name="20 % - Markeringsfarve2 2 2 13" xfId="11005"/>
    <cellStyle name="20 % - Markeringsfarve2 2 2 14" xfId="21812"/>
    <cellStyle name="20 % - Markeringsfarve2 2 2 15" xfId="22365"/>
    <cellStyle name="20 % - Markeringsfarve2 2 2 16" xfId="33168"/>
    <cellStyle name="20 % - Markeringsfarve2 2 2 17" xfId="33437"/>
    <cellStyle name="20 % - Markeringsfarve2 2 2 18" xfId="33708"/>
    <cellStyle name="20 % - Markeringsfarve2 2 2 2" xfId="208"/>
    <cellStyle name="20 % - Markeringsfarve2 2 2 2 10" xfId="21866"/>
    <cellStyle name="20 % - Markeringsfarve2 2 2 2 11" xfId="22419"/>
    <cellStyle name="20 % - Markeringsfarve2 2 2 2 12" xfId="33222"/>
    <cellStyle name="20 % - Markeringsfarve2 2 2 2 13" xfId="33497"/>
    <cellStyle name="20 % - Markeringsfarve2 2 2 2 14" xfId="33768"/>
    <cellStyle name="20 % - Markeringsfarve2 2 2 2 2" xfId="526"/>
    <cellStyle name="20 % - Markeringsfarve2 2 2 2 2 2" xfId="1358"/>
    <cellStyle name="20 % - Markeringsfarve2 2 2 2 2 2 2" xfId="3023"/>
    <cellStyle name="20 % - Markeringsfarve2 2 2 2 2 2 2 2" xfId="8011"/>
    <cellStyle name="20 % - Markeringsfarve2 2 2 2 2 2 2 2 2" xfId="18818"/>
    <cellStyle name="20 % - Markeringsfarve2 2 2 2 2 2 2 2 3" xfId="30175"/>
    <cellStyle name="20 % - Markeringsfarve2 2 2 2 2 2 2 3" xfId="13833"/>
    <cellStyle name="20 % - Markeringsfarve2 2 2 2 2 2 2 4" xfId="25191"/>
    <cellStyle name="20 % - Markeringsfarve2 2 2 2 2 2 3" xfId="4687"/>
    <cellStyle name="20 % - Markeringsfarve2 2 2 2 2 2 3 2" xfId="9672"/>
    <cellStyle name="20 % - Markeringsfarve2 2 2 2 2 2 3 2 2" xfId="20479"/>
    <cellStyle name="20 % - Markeringsfarve2 2 2 2 2 2 3 2 3" xfId="31836"/>
    <cellStyle name="20 % - Markeringsfarve2 2 2 2 2 2 3 3" xfId="15494"/>
    <cellStyle name="20 % - Markeringsfarve2 2 2 2 2 2 3 4" xfId="26852"/>
    <cellStyle name="20 % - Markeringsfarve2 2 2 2 2 2 4" xfId="6349"/>
    <cellStyle name="20 % - Markeringsfarve2 2 2 2 2 2 4 2" xfId="17157"/>
    <cellStyle name="20 % - Markeringsfarve2 2 2 2 2 2 4 3" xfId="28514"/>
    <cellStyle name="20 % - Markeringsfarve2 2 2 2 2 2 5" xfId="12172"/>
    <cellStyle name="20 % - Markeringsfarve2 2 2 2 2 2 6" xfId="23530"/>
    <cellStyle name="20 % - Markeringsfarve2 2 2 2 2 3" xfId="2192"/>
    <cellStyle name="20 % - Markeringsfarve2 2 2 2 2 3 2" xfId="7180"/>
    <cellStyle name="20 % - Markeringsfarve2 2 2 2 2 3 2 2" xfId="17987"/>
    <cellStyle name="20 % - Markeringsfarve2 2 2 2 2 3 2 3" xfId="29344"/>
    <cellStyle name="20 % - Markeringsfarve2 2 2 2 2 3 3" xfId="13002"/>
    <cellStyle name="20 % - Markeringsfarve2 2 2 2 2 3 4" xfId="24360"/>
    <cellStyle name="20 % - Markeringsfarve2 2 2 2 2 4" xfId="3856"/>
    <cellStyle name="20 % - Markeringsfarve2 2 2 2 2 4 2" xfId="8841"/>
    <cellStyle name="20 % - Markeringsfarve2 2 2 2 2 4 2 2" xfId="19648"/>
    <cellStyle name="20 % - Markeringsfarve2 2 2 2 2 4 2 3" xfId="31005"/>
    <cellStyle name="20 % - Markeringsfarve2 2 2 2 2 4 3" xfId="14663"/>
    <cellStyle name="20 % - Markeringsfarve2 2 2 2 2 4 4" xfId="26021"/>
    <cellStyle name="20 % - Markeringsfarve2 2 2 2 2 5" xfId="5518"/>
    <cellStyle name="20 % - Markeringsfarve2 2 2 2 2 5 2" xfId="16326"/>
    <cellStyle name="20 % - Markeringsfarve2 2 2 2 2 5 3" xfId="27683"/>
    <cellStyle name="20 % - Markeringsfarve2 2 2 2 2 6" xfId="10505"/>
    <cellStyle name="20 % - Markeringsfarve2 2 2 2 2 6 2" xfId="21312"/>
    <cellStyle name="20 % - Markeringsfarve2 2 2 2 2 6 3" xfId="32669"/>
    <cellStyle name="20 % - Markeringsfarve2 2 2 2 2 7" xfId="11339"/>
    <cellStyle name="20 % - Markeringsfarve2 2 2 2 2 8" xfId="22145"/>
    <cellStyle name="20 % - Markeringsfarve2 2 2 2 2 9" xfId="22699"/>
    <cellStyle name="20 % - Markeringsfarve2 2 2 2 3" xfId="800"/>
    <cellStyle name="20 % - Markeringsfarve2 2 2 2 3 2" xfId="1632"/>
    <cellStyle name="20 % - Markeringsfarve2 2 2 2 3 2 2" xfId="3297"/>
    <cellStyle name="20 % - Markeringsfarve2 2 2 2 3 2 2 2" xfId="8285"/>
    <cellStyle name="20 % - Markeringsfarve2 2 2 2 3 2 2 2 2" xfId="19092"/>
    <cellStyle name="20 % - Markeringsfarve2 2 2 2 3 2 2 2 3" xfId="30449"/>
    <cellStyle name="20 % - Markeringsfarve2 2 2 2 3 2 2 3" xfId="14107"/>
    <cellStyle name="20 % - Markeringsfarve2 2 2 2 3 2 2 4" xfId="25465"/>
    <cellStyle name="20 % - Markeringsfarve2 2 2 2 3 2 3" xfId="4961"/>
    <cellStyle name="20 % - Markeringsfarve2 2 2 2 3 2 3 2" xfId="9946"/>
    <cellStyle name="20 % - Markeringsfarve2 2 2 2 3 2 3 2 2" xfId="20753"/>
    <cellStyle name="20 % - Markeringsfarve2 2 2 2 3 2 3 2 3" xfId="32110"/>
    <cellStyle name="20 % - Markeringsfarve2 2 2 2 3 2 3 3" xfId="15768"/>
    <cellStyle name="20 % - Markeringsfarve2 2 2 2 3 2 3 4" xfId="27126"/>
    <cellStyle name="20 % - Markeringsfarve2 2 2 2 3 2 4" xfId="6623"/>
    <cellStyle name="20 % - Markeringsfarve2 2 2 2 3 2 4 2" xfId="17431"/>
    <cellStyle name="20 % - Markeringsfarve2 2 2 2 3 2 4 3" xfId="28788"/>
    <cellStyle name="20 % - Markeringsfarve2 2 2 2 3 2 5" xfId="12446"/>
    <cellStyle name="20 % - Markeringsfarve2 2 2 2 3 2 6" xfId="23804"/>
    <cellStyle name="20 % - Markeringsfarve2 2 2 2 3 3" xfId="2466"/>
    <cellStyle name="20 % - Markeringsfarve2 2 2 2 3 3 2" xfId="7454"/>
    <cellStyle name="20 % - Markeringsfarve2 2 2 2 3 3 2 2" xfId="18261"/>
    <cellStyle name="20 % - Markeringsfarve2 2 2 2 3 3 2 3" xfId="29618"/>
    <cellStyle name="20 % - Markeringsfarve2 2 2 2 3 3 3" xfId="13276"/>
    <cellStyle name="20 % - Markeringsfarve2 2 2 2 3 3 4" xfId="24634"/>
    <cellStyle name="20 % - Markeringsfarve2 2 2 2 3 4" xfId="4130"/>
    <cellStyle name="20 % - Markeringsfarve2 2 2 2 3 4 2" xfId="9115"/>
    <cellStyle name="20 % - Markeringsfarve2 2 2 2 3 4 2 2" xfId="19922"/>
    <cellStyle name="20 % - Markeringsfarve2 2 2 2 3 4 2 3" xfId="31279"/>
    <cellStyle name="20 % - Markeringsfarve2 2 2 2 3 4 3" xfId="14937"/>
    <cellStyle name="20 % - Markeringsfarve2 2 2 2 3 4 4" xfId="26295"/>
    <cellStyle name="20 % - Markeringsfarve2 2 2 2 3 5" xfId="5792"/>
    <cellStyle name="20 % - Markeringsfarve2 2 2 2 3 5 2" xfId="16600"/>
    <cellStyle name="20 % - Markeringsfarve2 2 2 2 3 5 3" xfId="27957"/>
    <cellStyle name="20 % - Markeringsfarve2 2 2 2 3 6" xfId="10779"/>
    <cellStyle name="20 % - Markeringsfarve2 2 2 2 3 6 2" xfId="21586"/>
    <cellStyle name="20 % - Markeringsfarve2 2 2 2 3 6 3" xfId="32943"/>
    <cellStyle name="20 % - Markeringsfarve2 2 2 2 3 7" xfId="11614"/>
    <cellStyle name="20 % - Markeringsfarve2 2 2 2 3 8" xfId="22973"/>
    <cellStyle name="20 % - Markeringsfarve2 2 2 2 4" xfId="1079"/>
    <cellStyle name="20 % - Markeringsfarve2 2 2 2 4 2" xfId="2744"/>
    <cellStyle name="20 % - Markeringsfarve2 2 2 2 4 2 2" xfId="7732"/>
    <cellStyle name="20 % - Markeringsfarve2 2 2 2 4 2 2 2" xfId="18539"/>
    <cellStyle name="20 % - Markeringsfarve2 2 2 2 4 2 2 3" xfId="29896"/>
    <cellStyle name="20 % - Markeringsfarve2 2 2 2 4 2 3" xfId="13554"/>
    <cellStyle name="20 % - Markeringsfarve2 2 2 2 4 2 4" xfId="24912"/>
    <cellStyle name="20 % - Markeringsfarve2 2 2 2 4 3" xfId="4408"/>
    <cellStyle name="20 % - Markeringsfarve2 2 2 2 4 3 2" xfId="9393"/>
    <cellStyle name="20 % - Markeringsfarve2 2 2 2 4 3 2 2" xfId="20200"/>
    <cellStyle name="20 % - Markeringsfarve2 2 2 2 4 3 2 3" xfId="31557"/>
    <cellStyle name="20 % - Markeringsfarve2 2 2 2 4 3 3" xfId="15215"/>
    <cellStyle name="20 % - Markeringsfarve2 2 2 2 4 3 4" xfId="26573"/>
    <cellStyle name="20 % - Markeringsfarve2 2 2 2 4 4" xfId="6070"/>
    <cellStyle name="20 % - Markeringsfarve2 2 2 2 4 4 2" xfId="16878"/>
    <cellStyle name="20 % - Markeringsfarve2 2 2 2 4 4 3" xfId="28235"/>
    <cellStyle name="20 % - Markeringsfarve2 2 2 2 4 5" xfId="11893"/>
    <cellStyle name="20 % - Markeringsfarve2 2 2 2 4 6" xfId="23251"/>
    <cellStyle name="20 % - Markeringsfarve2 2 2 2 5" xfId="1914"/>
    <cellStyle name="20 % - Markeringsfarve2 2 2 2 5 2" xfId="6902"/>
    <cellStyle name="20 % - Markeringsfarve2 2 2 2 5 2 2" xfId="17710"/>
    <cellStyle name="20 % - Markeringsfarve2 2 2 2 5 2 3" xfId="29067"/>
    <cellStyle name="20 % - Markeringsfarve2 2 2 2 5 3" xfId="12725"/>
    <cellStyle name="20 % - Markeringsfarve2 2 2 2 5 4" xfId="24083"/>
    <cellStyle name="20 % - Markeringsfarve2 2 2 2 6" xfId="3579"/>
    <cellStyle name="20 % - Markeringsfarve2 2 2 2 6 2" xfId="8564"/>
    <cellStyle name="20 % - Markeringsfarve2 2 2 2 6 2 2" xfId="19371"/>
    <cellStyle name="20 % - Markeringsfarve2 2 2 2 6 2 3" xfId="30728"/>
    <cellStyle name="20 % - Markeringsfarve2 2 2 2 6 3" xfId="14386"/>
    <cellStyle name="20 % - Markeringsfarve2 2 2 2 6 4" xfId="25744"/>
    <cellStyle name="20 % - Markeringsfarve2 2 2 2 7" xfId="5240"/>
    <cellStyle name="20 % - Markeringsfarve2 2 2 2 7 2" xfId="16049"/>
    <cellStyle name="20 % - Markeringsfarve2 2 2 2 7 3" xfId="27406"/>
    <cellStyle name="20 % - Markeringsfarve2 2 2 2 8" xfId="10225"/>
    <cellStyle name="20 % - Markeringsfarve2 2 2 2 8 2" xfId="21032"/>
    <cellStyle name="20 % - Markeringsfarve2 2 2 2 8 3" xfId="32389"/>
    <cellStyle name="20 % - Markeringsfarve2 2 2 2 9" xfId="11059"/>
    <cellStyle name="20 % - Markeringsfarve2 2 2 3" xfId="263"/>
    <cellStyle name="20 % - Markeringsfarve2 2 2 3 10" xfId="21920"/>
    <cellStyle name="20 % - Markeringsfarve2 2 2 3 11" xfId="22473"/>
    <cellStyle name="20 % - Markeringsfarve2 2 2 3 12" xfId="33276"/>
    <cellStyle name="20 % - Markeringsfarve2 2 2 3 13" xfId="33551"/>
    <cellStyle name="20 % - Markeringsfarve2 2 2 3 14" xfId="33822"/>
    <cellStyle name="20 % - Markeringsfarve2 2 2 3 2" xfId="580"/>
    <cellStyle name="20 % - Markeringsfarve2 2 2 3 2 2" xfId="1412"/>
    <cellStyle name="20 % - Markeringsfarve2 2 2 3 2 2 2" xfId="3077"/>
    <cellStyle name="20 % - Markeringsfarve2 2 2 3 2 2 2 2" xfId="8065"/>
    <cellStyle name="20 % - Markeringsfarve2 2 2 3 2 2 2 2 2" xfId="18872"/>
    <cellStyle name="20 % - Markeringsfarve2 2 2 3 2 2 2 2 3" xfId="30229"/>
    <cellStyle name="20 % - Markeringsfarve2 2 2 3 2 2 2 3" xfId="13887"/>
    <cellStyle name="20 % - Markeringsfarve2 2 2 3 2 2 2 4" xfId="25245"/>
    <cellStyle name="20 % - Markeringsfarve2 2 2 3 2 2 3" xfId="4741"/>
    <cellStyle name="20 % - Markeringsfarve2 2 2 3 2 2 3 2" xfId="9726"/>
    <cellStyle name="20 % - Markeringsfarve2 2 2 3 2 2 3 2 2" xfId="20533"/>
    <cellStyle name="20 % - Markeringsfarve2 2 2 3 2 2 3 2 3" xfId="31890"/>
    <cellStyle name="20 % - Markeringsfarve2 2 2 3 2 2 3 3" xfId="15548"/>
    <cellStyle name="20 % - Markeringsfarve2 2 2 3 2 2 3 4" xfId="26906"/>
    <cellStyle name="20 % - Markeringsfarve2 2 2 3 2 2 4" xfId="6403"/>
    <cellStyle name="20 % - Markeringsfarve2 2 2 3 2 2 4 2" xfId="17211"/>
    <cellStyle name="20 % - Markeringsfarve2 2 2 3 2 2 4 3" xfId="28568"/>
    <cellStyle name="20 % - Markeringsfarve2 2 2 3 2 2 5" xfId="12226"/>
    <cellStyle name="20 % - Markeringsfarve2 2 2 3 2 2 6" xfId="23584"/>
    <cellStyle name="20 % - Markeringsfarve2 2 2 3 2 3" xfId="2246"/>
    <cellStyle name="20 % - Markeringsfarve2 2 2 3 2 3 2" xfId="7234"/>
    <cellStyle name="20 % - Markeringsfarve2 2 2 3 2 3 2 2" xfId="18041"/>
    <cellStyle name="20 % - Markeringsfarve2 2 2 3 2 3 2 3" xfId="29398"/>
    <cellStyle name="20 % - Markeringsfarve2 2 2 3 2 3 3" xfId="13056"/>
    <cellStyle name="20 % - Markeringsfarve2 2 2 3 2 3 4" xfId="24414"/>
    <cellStyle name="20 % - Markeringsfarve2 2 2 3 2 4" xfId="3910"/>
    <cellStyle name="20 % - Markeringsfarve2 2 2 3 2 4 2" xfId="8895"/>
    <cellStyle name="20 % - Markeringsfarve2 2 2 3 2 4 2 2" xfId="19702"/>
    <cellStyle name="20 % - Markeringsfarve2 2 2 3 2 4 2 3" xfId="31059"/>
    <cellStyle name="20 % - Markeringsfarve2 2 2 3 2 4 3" xfId="14717"/>
    <cellStyle name="20 % - Markeringsfarve2 2 2 3 2 4 4" xfId="26075"/>
    <cellStyle name="20 % - Markeringsfarve2 2 2 3 2 5" xfId="5572"/>
    <cellStyle name="20 % - Markeringsfarve2 2 2 3 2 5 2" xfId="16380"/>
    <cellStyle name="20 % - Markeringsfarve2 2 2 3 2 5 3" xfId="27737"/>
    <cellStyle name="20 % - Markeringsfarve2 2 2 3 2 6" xfId="10559"/>
    <cellStyle name="20 % - Markeringsfarve2 2 2 3 2 6 2" xfId="21366"/>
    <cellStyle name="20 % - Markeringsfarve2 2 2 3 2 6 3" xfId="32723"/>
    <cellStyle name="20 % - Markeringsfarve2 2 2 3 2 7" xfId="11393"/>
    <cellStyle name="20 % - Markeringsfarve2 2 2 3 2 8" xfId="22199"/>
    <cellStyle name="20 % - Markeringsfarve2 2 2 3 2 9" xfId="22753"/>
    <cellStyle name="20 % - Markeringsfarve2 2 2 3 3" xfId="854"/>
    <cellStyle name="20 % - Markeringsfarve2 2 2 3 3 2" xfId="1686"/>
    <cellStyle name="20 % - Markeringsfarve2 2 2 3 3 2 2" xfId="3351"/>
    <cellStyle name="20 % - Markeringsfarve2 2 2 3 3 2 2 2" xfId="8339"/>
    <cellStyle name="20 % - Markeringsfarve2 2 2 3 3 2 2 2 2" xfId="19146"/>
    <cellStyle name="20 % - Markeringsfarve2 2 2 3 3 2 2 2 3" xfId="30503"/>
    <cellStyle name="20 % - Markeringsfarve2 2 2 3 3 2 2 3" xfId="14161"/>
    <cellStyle name="20 % - Markeringsfarve2 2 2 3 3 2 2 4" xfId="25519"/>
    <cellStyle name="20 % - Markeringsfarve2 2 2 3 3 2 3" xfId="5015"/>
    <cellStyle name="20 % - Markeringsfarve2 2 2 3 3 2 3 2" xfId="10000"/>
    <cellStyle name="20 % - Markeringsfarve2 2 2 3 3 2 3 2 2" xfId="20807"/>
    <cellStyle name="20 % - Markeringsfarve2 2 2 3 3 2 3 2 3" xfId="32164"/>
    <cellStyle name="20 % - Markeringsfarve2 2 2 3 3 2 3 3" xfId="15822"/>
    <cellStyle name="20 % - Markeringsfarve2 2 2 3 3 2 3 4" xfId="27180"/>
    <cellStyle name="20 % - Markeringsfarve2 2 2 3 3 2 4" xfId="6677"/>
    <cellStyle name="20 % - Markeringsfarve2 2 2 3 3 2 4 2" xfId="17485"/>
    <cellStyle name="20 % - Markeringsfarve2 2 2 3 3 2 4 3" xfId="28842"/>
    <cellStyle name="20 % - Markeringsfarve2 2 2 3 3 2 5" xfId="12500"/>
    <cellStyle name="20 % - Markeringsfarve2 2 2 3 3 2 6" xfId="23858"/>
    <cellStyle name="20 % - Markeringsfarve2 2 2 3 3 3" xfId="2520"/>
    <cellStyle name="20 % - Markeringsfarve2 2 2 3 3 3 2" xfId="7508"/>
    <cellStyle name="20 % - Markeringsfarve2 2 2 3 3 3 2 2" xfId="18315"/>
    <cellStyle name="20 % - Markeringsfarve2 2 2 3 3 3 2 3" xfId="29672"/>
    <cellStyle name="20 % - Markeringsfarve2 2 2 3 3 3 3" xfId="13330"/>
    <cellStyle name="20 % - Markeringsfarve2 2 2 3 3 3 4" xfId="24688"/>
    <cellStyle name="20 % - Markeringsfarve2 2 2 3 3 4" xfId="4184"/>
    <cellStyle name="20 % - Markeringsfarve2 2 2 3 3 4 2" xfId="9169"/>
    <cellStyle name="20 % - Markeringsfarve2 2 2 3 3 4 2 2" xfId="19976"/>
    <cellStyle name="20 % - Markeringsfarve2 2 2 3 3 4 2 3" xfId="31333"/>
    <cellStyle name="20 % - Markeringsfarve2 2 2 3 3 4 3" xfId="14991"/>
    <cellStyle name="20 % - Markeringsfarve2 2 2 3 3 4 4" xfId="26349"/>
    <cellStyle name="20 % - Markeringsfarve2 2 2 3 3 5" xfId="5846"/>
    <cellStyle name="20 % - Markeringsfarve2 2 2 3 3 5 2" xfId="16654"/>
    <cellStyle name="20 % - Markeringsfarve2 2 2 3 3 5 3" xfId="28011"/>
    <cellStyle name="20 % - Markeringsfarve2 2 2 3 3 6" xfId="10833"/>
    <cellStyle name="20 % - Markeringsfarve2 2 2 3 3 6 2" xfId="21640"/>
    <cellStyle name="20 % - Markeringsfarve2 2 2 3 3 6 3" xfId="32997"/>
    <cellStyle name="20 % - Markeringsfarve2 2 2 3 3 7" xfId="11668"/>
    <cellStyle name="20 % - Markeringsfarve2 2 2 3 3 8" xfId="23027"/>
    <cellStyle name="20 % - Markeringsfarve2 2 2 3 4" xfId="1133"/>
    <cellStyle name="20 % - Markeringsfarve2 2 2 3 4 2" xfId="2798"/>
    <cellStyle name="20 % - Markeringsfarve2 2 2 3 4 2 2" xfId="7786"/>
    <cellStyle name="20 % - Markeringsfarve2 2 2 3 4 2 2 2" xfId="18593"/>
    <cellStyle name="20 % - Markeringsfarve2 2 2 3 4 2 2 3" xfId="29950"/>
    <cellStyle name="20 % - Markeringsfarve2 2 2 3 4 2 3" xfId="13608"/>
    <cellStyle name="20 % - Markeringsfarve2 2 2 3 4 2 4" xfId="24966"/>
    <cellStyle name="20 % - Markeringsfarve2 2 2 3 4 3" xfId="4462"/>
    <cellStyle name="20 % - Markeringsfarve2 2 2 3 4 3 2" xfId="9447"/>
    <cellStyle name="20 % - Markeringsfarve2 2 2 3 4 3 2 2" xfId="20254"/>
    <cellStyle name="20 % - Markeringsfarve2 2 2 3 4 3 2 3" xfId="31611"/>
    <cellStyle name="20 % - Markeringsfarve2 2 2 3 4 3 3" xfId="15269"/>
    <cellStyle name="20 % - Markeringsfarve2 2 2 3 4 3 4" xfId="26627"/>
    <cellStyle name="20 % - Markeringsfarve2 2 2 3 4 4" xfId="6124"/>
    <cellStyle name="20 % - Markeringsfarve2 2 2 3 4 4 2" xfId="16932"/>
    <cellStyle name="20 % - Markeringsfarve2 2 2 3 4 4 3" xfId="28289"/>
    <cellStyle name="20 % - Markeringsfarve2 2 2 3 4 5" xfId="11947"/>
    <cellStyle name="20 % - Markeringsfarve2 2 2 3 4 6" xfId="23305"/>
    <cellStyle name="20 % - Markeringsfarve2 2 2 3 5" xfId="1968"/>
    <cellStyle name="20 % - Markeringsfarve2 2 2 3 5 2" xfId="6956"/>
    <cellStyle name="20 % - Markeringsfarve2 2 2 3 5 2 2" xfId="17764"/>
    <cellStyle name="20 % - Markeringsfarve2 2 2 3 5 2 3" xfId="29121"/>
    <cellStyle name="20 % - Markeringsfarve2 2 2 3 5 3" xfId="12779"/>
    <cellStyle name="20 % - Markeringsfarve2 2 2 3 5 4" xfId="24137"/>
    <cellStyle name="20 % - Markeringsfarve2 2 2 3 6" xfId="3633"/>
    <cellStyle name="20 % - Markeringsfarve2 2 2 3 6 2" xfId="8618"/>
    <cellStyle name="20 % - Markeringsfarve2 2 2 3 6 2 2" xfId="19425"/>
    <cellStyle name="20 % - Markeringsfarve2 2 2 3 6 2 3" xfId="30782"/>
    <cellStyle name="20 % - Markeringsfarve2 2 2 3 6 3" xfId="14440"/>
    <cellStyle name="20 % - Markeringsfarve2 2 2 3 6 4" xfId="25798"/>
    <cellStyle name="20 % - Markeringsfarve2 2 2 3 7" xfId="5294"/>
    <cellStyle name="20 % - Markeringsfarve2 2 2 3 7 2" xfId="16103"/>
    <cellStyle name="20 % - Markeringsfarve2 2 2 3 7 3" xfId="27460"/>
    <cellStyle name="20 % - Markeringsfarve2 2 2 3 8" xfId="10279"/>
    <cellStyle name="20 % - Markeringsfarve2 2 2 3 8 2" xfId="21086"/>
    <cellStyle name="20 % - Markeringsfarve2 2 2 3 8 3" xfId="32443"/>
    <cellStyle name="20 % - Markeringsfarve2 2 2 3 9" xfId="11113"/>
    <cellStyle name="20 % - Markeringsfarve2 2 2 4" xfId="318"/>
    <cellStyle name="20 % - Markeringsfarve2 2 2 4 10" xfId="21975"/>
    <cellStyle name="20 % - Markeringsfarve2 2 2 4 11" xfId="22528"/>
    <cellStyle name="20 % - Markeringsfarve2 2 2 4 12" xfId="33331"/>
    <cellStyle name="20 % - Markeringsfarve2 2 2 4 13" xfId="33606"/>
    <cellStyle name="20 % - Markeringsfarve2 2 2 4 14" xfId="33877"/>
    <cellStyle name="20 % - Markeringsfarve2 2 2 4 2" xfId="635"/>
    <cellStyle name="20 % - Markeringsfarve2 2 2 4 2 2" xfId="1467"/>
    <cellStyle name="20 % - Markeringsfarve2 2 2 4 2 2 2" xfId="3132"/>
    <cellStyle name="20 % - Markeringsfarve2 2 2 4 2 2 2 2" xfId="8120"/>
    <cellStyle name="20 % - Markeringsfarve2 2 2 4 2 2 2 2 2" xfId="18927"/>
    <cellStyle name="20 % - Markeringsfarve2 2 2 4 2 2 2 2 3" xfId="30284"/>
    <cellStyle name="20 % - Markeringsfarve2 2 2 4 2 2 2 3" xfId="13942"/>
    <cellStyle name="20 % - Markeringsfarve2 2 2 4 2 2 2 4" xfId="25300"/>
    <cellStyle name="20 % - Markeringsfarve2 2 2 4 2 2 3" xfId="4796"/>
    <cellStyle name="20 % - Markeringsfarve2 2 2 4 2 2 3 2" xfId="9781"/>
    <cellStyle name="20 % - Markeringsfarve2 2 2 4 2 2 3 2 2" xfId="20588"/>
    <cellStyle name="20 % - Markeringsfarve2 2 2 4 2 2 3 2 3" xfId="31945"/>
    <cellStyle name="20 % - Markeringsfarve2 2 2 4 2 2 3 3" xfId="15603"/>
    <cellStyle name="20 % - Markeringsfarve2 2 2 4 2 2 3 4" xfId="26961"/>
    <cellStyle name="20 % - Markeringsfarve2 2 2 4 2 2 4" xfId="6458"/>
    <cellStyle name="20 % - Markeringsfarve2 2 2 4 2 2 4 2" xfId="17266"/>
    <cellStyle name="20 % - Markeringsfarve2 2 2 4 2 2 4 3" xfId="28623"/>
    <cellStyle name="20 % - Markeringsfarve2 2 2 4 2 2 5" xfId="12281"/>
    <cellStyle name="20 % - Markeringsfarve2 2 2 4 2 2 6" xfId="23639"/>
    <cellStyle name="20 % - Markeringsfarve2 2 2 4 2 3" xfId="2301"/>
    <cellStyle name="20 % - Markeringsfarve2 2 2 4 2 3 2" xfId="7289"/>
    <cellStyle name="20 % - Markeringsfarve2 2 2 4 2 3 2 2" xfId="18096"/>
    <cellStyle name="20 % - Markeringsfarve2 2 2 4 2 3 2 3" xfId="29453"/>
    <cellStyle name="20 % - Markeringsfarve2 2 2 4 2 3 3" xfId="13111"/>
    <cellStyle name="20 % - Markeringsfarve2 2 2 4 2 3 4" xfId="24469"/>
    <cellStyle name="20 % - Markeringsfarve2 2 2 4 2 4" xfId="3965"/>
    <cellStyle name="20 % - Markeringsfarve2 2 2 4 2 4 2" xfId="8950"/>
    <cellStyle name="20 % - Markeringsfarve2 2 2 4 2 4 2 2" xfId="19757"/>
    <cellStyle name="20 % - Markeringsfarve2 2 2 4 2 4 2 3" xfId="31114"/>
    <cellStyle name="20 % - Markeringsfarve2 2 2 4 2 4 3" xfId="14772"/>
    <cellStyle name="20 % - Markeringsfarve2 2 2 4 2 4 4" xfId="26130"/>
    <cellStyle name="20 % - Markeringsfarve2 2 2 4 2 5" xfId="5627"/>
    <cellStyle name="20 % - Markeringsfarve2 2 2 4 2 5 2" xfId="16435"/>
    <cellStyle name="20 % - Markeringsfarve2 2 2 4 2 5 3" xfId="27792"/>
    <cellStyle name="20 % - Markeringsfarve2 2 2 4 2 6" xfId="10614"/>
    <cellStyle name="20 % - Markeringsfarve2 2 2 4 2 6 2" xfId="21421"/>
    <cellStyle name="20 % - Markeringsfarve2 2 2 4 2 6 3" xfId="32778"/>
    <cellStyle name="20 % - Markeringsfarve2 2 2 4 2 7" xfId="11448"/>
    <cellStyle name="20 % - Markeringsfarve2 2 2 4 2 8" xfId="22254"/>
    <cellStyle name="20 % - Markeringsfarve2 2 2 4 2 9" xfId="22808"/>
    <cellStyle name="20 % - Markeringsfarve2 2 2 4 3" xfId="909"/>
    <cellStyle name="20 % - Markeringsfarve2 2 2 4 3 2" xfId="1741"/>
    <cellStyle name="20 % - Markeringsfarve2 2 2 4 3 2 2" xfId="3406"/>
    <cellStyle name="20 % - Markeringsfarve2 2 2 4 3 2 2 2" xfId="8394"/>
    <cellStyle name="20 % - Markeringsfarve2 2 2 4 3 2 2 2 2" xfId="19201"/>
    <cellStyle name="20 % - Markeringsfarve2 2 2 4 3 2 2 2 3" xfId="30558"/>
    <cellStyle name="20 % - Markeringsfarve2 2 2 4 3 2 2 3" xfId="14216"/>
    <cellStyle name="20 % - Markeringsfarve2 2 2 4 3 2 2 4" xfId="25574"/>
    <cellStyle name="20 % - Markeringsfarve2 2 2 4 3 2 3" xfId="5070"/>
    <cellStyle name="20 % - Markeringsfarve2 2 2 4 3 2 3 2" xfId="10055"/>
    <cellStyle name="20 % - Markeringsfarve2 2 2 4 3 2 3 2 2" xfId="20862"/>
    <cellStyle name="20 % - Markeringsfarve2 2 2 4 3 2 3 2 3" xfId="32219"/>
    <cellStyle name="20 % - Markeringsfarve2 2 2 4 3 2 3 3" xfId="15877"/>
    <cellStyle name="20 % - Markeringsfarve2 2 2 4 3 2 3 4" xfId="27235"/>
    <cellStyle name="20 % - Markeringsfarve2 2 2 4 3 2 4" xfId="6732"/>
    <cellStyle name="20 % - Markeringsfarve2 2 2 4 3 2 4 2" xfId="17540"/>
    <cellStyle name="20 % - Markeringsfarve2 2 2 4 3 2 4 3" xfId="28897"/>
    <cellStyle name="20 % - Markeringsfarve2 2 2 4 3 2 5" xfId="12555"/>
    <cellStyle name="20 % - Markeringsfarve2 2 2 4 3 2 6" xfId="23913"/>
    <cellStyle name="20 % - Markeringsfarve2 2 2 4 3 3" xfId="2575"/>
    <cellStyle name="20 % - Markeringsfarve2 2 2 4 3 3 2" xfId="7563"/>
    <cellStyle name="20 % - Markeringsfarve2 2 2 4 3 3 2 2" xfId="18370"/>
    <cellStyle name="20 % - Markeringsfarve2 2 2 4 3 3 2 3" xfId="29727"/>
    <cellStyle name="20 % - Markeringsfarve2 2 2 4 3 3 3" xfId="13385"/>
    <cellStyle name="20 % - Markeringsfarve2 2 2 4 3 3 4" xfId="24743"/>
    <cellStyle name="20 % - Markeringsfarve2 2 2 4 3 4" xfId="4239"/>
    <cellStyle name="20 % - Markeringsfarve2 2 2 4 3 4 2" xfId="9224"/>
    <cellStyle name="20 % - Markeringsfarve2 2 2 4 3 4 2 2" xfId="20031"/>
    <cellStyle name="20 % - Markeringsfarve2 2 2 4 3 4 2 3" xfId="31388"/>
    <cellStyle name="20 % - Markeringsfarve2 2 2 4 3 4 3" xfId="15046"/>
    <cellStyle name="20 % - Markeringsfarve2 2 2 4 3 4 4" xfId="26404"/>
    <cellStyle name="20 % - Markeringsfarve2 2 2 4 3 5" xfId="5901"/>
    <cellStyle name="20 % - Markeringsfarve2 2 2 4 3 5 2" xfId="16709"/>
    <cellStyle name="20 % - Markeringsfarve2 2 2 4 3 5 3" xfId="28066"/>
    <cellStyle name="20 % - Markeringsfarve2 2 2 4 3 6" xfId="10888"/>
    <cellStyle name="20 % - Markeringsfarve2 2 2 4 3 6 2" xfId="21695"/>
    <cellStyle name="20 % - Markeringsfarve2 2 2 4 3 6 3" xfId="33052"/>
    <cellStyle name="20 % - Markeringsfarve2 2 2 4 3 7" xfId="11723"/>
    <cellStyle name="20 % - Markeringsfarve2 2 2 4 3 8" xfId="23082"/>
    <cellStyle name="20 % - Markeringsfarve2 2 2 4 4" xfId="1188"/>
    <cellStyle name="20 % - Markeringsfarve2 2 2 4 4 2" xfId="2853"/>
    <cellStyle name="20 % - Markeringsfarve2 2 2 4 4 2 2" xfId="7841"/>
    <cellStyle name="20 % - Markeringsfarve2 2 2 4 4 2 2 2" xfId="18648"/>
    <cellStyle name="20 % - Markeringsfarve2 2 2 4 4 2 2 3" xfId="30005"/>
    <cellStyle name="20 % - Markeringsfarve2 2 2 4 4 2 3" xfId="13663"/>
    <cellStyle name="20 % - Markeringsfarve2 2 2 4 4 2 4" xfId="25021"/>
    <cellStyle name="20 % - Markeringsfarve2 2 2 4 4 3" xfId="4517"/>
    <cellStyle name="20 % - Markeringsfarve2 2 2 4 4 3 2" xfId="9502"/>
    <cellStyle name="20 % - Markeringsfarve2 2 2 4 4 3 2 2" xfId="20309"/>
    <cellStyle name="20 % - Markeringsfarve2 2 2 4 4 3 2 3" xfId="31666"/>
    <cellStyle name="20 % - Markeringsfarve2 2 2 4 4 3 3" xfId="15324"/>
    <cellStyle name="20 % - Markeringsfarve2 2 2 4 4 3 4" xfId="26682"/>
    <cellStyle name="20 % - Markeringsfarve2 2 2 4 4 4" xfId="6179"/>
    <cellStyle name="20 % - Markeringsfarve2 2 2 4 4 4 2" xfId="16987"/>
    <cellStyle name="20 % - Markeringsfarve2 2 2 4 4 4 3" xfId="28344"/>
    <cellStyle name="20 % - Markeringsfarve2 2 2 4 4 5" xfId="12002"/>
    <cellStyle name="20 % - Markeringsfarve2 2 2 4 4 6" xfId="23360"/>
    <cellStyle name="20 % - Markeringsfarve2 2 2 4 5" xfId="2023"/>
    <cellStyle name="20 % - Markeringsfarve2 2 2 4 5 2" xfId="7011"/>
    <cellStyle name="20 % - Markeringsfarve2 2 2 4 5 2 2" xfId="17819"/>
    <cellStyle name="20 % - Markeringsfarve2 2 2 4 5 2 3" xfId="29176"/>
    <cellStyle name="20 % - Markeringsfarve2 2 2 4 5 3" xfId="12834"/>
    <cellStyle name="20 % - Markeringsfarve2 2 2 4 5 4" xfId="24192"/>
    <cellStyle name="20 % - Markeringsfarve2 2 2 4 6" xfId="3688"/>
    <cellStyle name="20 % - Markeringsfarve2 2 2 4 6 2" xfId="8673"/>
    <cellStyle name="20 % - Markeringsfarve2 2 2 4 6 2 2" xfId="19480"/>
    <cellStyle name="20 % - Markeringsfarve2 2 2 4 6 2 3" xfId="30837"/>
    <cellStyle name="20 % - Markeringsfarve2 2 2 4 6 3" xfId="14495"/>
    <cellStyle name="20 % - Markeringsfarve2 2 2 4 6 4" xfId="25853"/>
    <cellStyle name="20 % - Markeringsfarve2 2 2 4 7" xfId="5349"/>
    <cellStyle name="20 % - Markeringsfarve2 2 2 4 7 2" xfId="16158"/>
    <cellStyle name="20 % - Markeringsfarve2 2 2 4 7 3" xfId="27515"/>
    <cellStyle name="20 % - Markeringsfarve2 2 2 4 8" xfId="10334"/>
    <cellStyle name="20 % - Markeringsfarve2 2 2 4 8 2" xfId="21141"/>
    <cellStyle name="20 % - Markeringsfarve2 2 2 4 8 3" xfId="32498"/>
    <cellStyle name="20 % - Markeringsfarve2 2 2 4 9" xfId="11168"/>
    <cellStyle name="20 % - Markeringsfarve2 2 2 5" xfId="374"/>
    <cellStyle name="20 % - Markeringsfarve2 2 2 5 10" xfId="22031"/>
    <cellStyle name="20 % - Markeringsfarve2 2 2 5 11" xfId="22584"/>
    <cellStyle name="20 % - Markeringsfarve2 2 2 5 12" xfId="33387"/>
    <cellStyle name="20 % - Markeringsfarve2 2 2 5 13" xfId="33662"/>
    <cellStyle name="20 % - Markeringsfarve2 2 2 5 14" xfId="33933"/>
    <cellStyle name="20 % - Markeringsfarve2 2 2 5 2" xfId="691"/>
    <cellStyle name="20 % - Markeringsfarve2 2 2 5 2 2" xfId="1523"/>
    <cellStyle name="20 % - Markeringsfarve2 2 2 5 2 2 2" xfId="3188"/>
    <cellStyle name="20 % - Markeringsfarve2 2 2 5 2 2 2 2" xfId="8176"/>
    <cellStyle name="20 % - Markeringsfarve2 2 2 5 2 2 2 2 2" xfId="18983"/>
    <cellStyle name="20 % - Markeringsfarve2 2 2 5 2 2 2 2 3" xfId="30340"/>
    <cellStyle name="20 % - Markeringsfarve2 2 2 5 2 2 2 3" xfId="13998"/>
    <cellStyle name="20 % - Markeringsfarve2 2 2 5 2 2 2 4" xfId="25356"/>
    <cellStyle name="20 % - Markeringsfarve2 2 2 5 2 2 3" xfId="4852"/>
    <cellStyle name="20 % - Markeringsfarve2 2 2 5 2 2 3 2" xfId="9837"/>
    <cellStyle name="20 % - Markeringsfarve2 2 2 5 2 2 3 2 2" xfId="20644"/>
    <cellStyle name="20 % - Markeringsfarve2 2 2 5 2 2 3 2 3" xfId="32001"/>
    <cellStyle name="20 % - Markeringsfarve2 2 2 5 2 2 3 3" xfId="15659"/>
    <cellStyle name="20 % - Markeringsfarve2 2 2 5 2 2 3 4" xfId="27017"/>
    <cellStyle name="20 % - Markeringsfarve2 2 2 5 2 2 4" xfId="6514"/>
    <cellStyle name="20 % - Markeringsfarve2 2 2 5 2 2 4 2" xfId="17322"/>
    <cellStyle name="20 % - Markeringsfarve2 2 2 5 2 2 4 3" xfId="28679"/>
    <cellStyle name="20 % - Markeringsfarve2 2 2 5 2 2 5" xfId="12337"/>
    <cellStyle name="20 % - Markeringsfarve2 2 2 5 2 2 6" xfId="23695"/>
    <cellStyle name="20 % - Markeringsfarve2 2 2 5 2 3" xfId="2357"/>
    <cellStyle name="20 % - Markeringsfarve2 2 2 5 2 3 2" xfId="7345"/>
    <cellStyle name="20 % - Markeringsfarve2 2 2 5 2 3 2 2" xfId="18152"/>
    <cellStyle name="20 % - Markeringsfarve2 2 2 5 2 3 2 3" xfId="29509"/>
    <cellStyle name="20 % - Markeringsfarve2 2 2 5 2 3 3" xfId="13167"/>
    <cellStyle name="20 % - Markeringsfarve2 2 2 5 2 3 4" xfId="24525"/>
    <cellStyle name="20 % - Markeringsfarve2 2 2 5 2 4" xfId="4021"/>
    <cellStyle name="20 % - Markeringsfarve2 2 2 5 2 4 2" xfId="9006"/>
    <cellStyle name="20 % - Markeringsfarve2 2 2 5 2 4 2 2" xfId="19813"/>
    <cellStyle name="20 % - Markeringsfarve2 2 2 5 2 4 2 3" xfId="31170"/>
    <cellStyle name="20 % - Markeringsfarve2 2 2 5 2 4 3" xfId="14828"/>
    <cellStyle name="20 % - Markeringsfarve2 2 2 5 2 4 4" xfId="26186"/>
    <cellStyle name="20 % - Markeringsfarve2 2 2 5 2 5" xfId="5683"/>
    <cellStyle name="20 % - Markeringsfarve2 2 2 5 2 5 2" xfId="16491"/>
    <cellStyle name="20 % - Markeringsfarve2 2 2 5 2 5 3" xfId="27848"/>
    <cellStyle name="20 % - Markeringsfarve2 2 2 5 2 6" xfId="10670"/>
    <cellStyle name="20 % - Markeringsfarve2 2 2 5 2 6 2" xfId="21477"/>
    <cellStyle name="20 % - Markeringsfarve2 2 2 5 2 6 3" xfId="32834"/>
    <cellStyle name="20 % - Markeringsfarve2 2 2 5 2 7" xfId="11504"/>
    <cellStyle name="20 % - Markeringsfarve2 2 2 5 2 8" xfId="22310"/>
    <cellStyle name="20 % - Markeringsfarve2 2 2 5 2 9" xfId="22864"/>
    <cellStyle name="20 % - Markeringsfarve2 2 2 5 3" xfId="965"/>
    <cellStyle name="20 % - Markeringsfarve2 2 2 5 3 2" xfId="1797"/>
    <cellStyle name="20 % - Markeringsfarve2 2 2 5 3 2 2" xfId="3462"/>
    <cellStyle name="20 % - Markeringsfarve2 2 2 5 3 2 2 2" xfId="8450"/>
    <cellStyle name="20 % - Markeringsfarve2 2 2 5 3 2 2 2 2" xfId="19257"/>
    <cellStyle name="20 % - Markeringsfarve2 2 2 5 3 2 2 2 3" xfId="30614"/>
    <cellStyle name="20 % - Markeringsfarve2 2 2 5 3 2 2 3" xfId="14272"/>
    <cellStyle name="20 % - Markeringsfarve2 2 2 5 3 2 2 4" xfId="25630"/>
    <cellStyle name="20 % - Markeringsfarve2 2 2 5 3 2 3" xfId="5126"/>
    <cellStyle name="20 % - Markeringsfarve2 2 2 5 3 2 3 2" xfId="10111"/>
    <cellStyle name="20 % - Markeringsfarve2 2 2 5 3 2 3 2 2" xfId="20918"/>
    <cellStyle name="20 % - Markeringsfarve2 2 2 5 3 2 3 2 3" xfId="32275"/>
    <cellStyle name="20 % - Markeringsfarve2 2 2 5 3 2 3 3" xfId="15933"/>
    <cellStyle name="20 % - Markeringsfarve2 2 2 5 3 2 3 4" xfId="27291"/>
    <cellStyle name="20 % - Markeringsfarve2 2 2 5 3 2 4" xfId="6788"/>
    <cellStyle name="20 % - Markeringsfarve2 2 2 5 3 2 4 2" xfId="17596"/>
    <cellStyle name="20 % - Markeringsfarve2 2 2 5 3 2 4 3" xfId="28953"/>
    <cellStyle name="20 % - Markeringsfarve2 2 2 5 3 2 5" xfId="12611"/>
    <cellStyle name="20 % - Markeringsfarve2 2 2 5 3 2 6" xfId="23969"/>
    <cellStyle name="20 % - Markeringsfarve2 2 2 5 3 3" xfId="2631"/>
    <cellStyle name="20 % - Markeringsfarve2 2 2 5 3 3 2" xfId="7619"/>
    <cellStyle name="20 % - Markeringsfarve2 2 2 5 3 3 2 2" xfId="18426"/>
    <cellStyle name="20 % - Markeringsfarve2 2 2 5 3 3 2 3" xfId="29783"/>
    <cellStyle name="20 % - Markeringsfarve2 2 2 5 3 3 3" xfId="13441"/>
    <cellStyle name="20 % - Markeringsfarve2 2 2 5 3 3 4" xfId="24799"/>
    <cellStyle name="20 % - Markeringsfarve2 2 2 5 3 4" xfId="4295"/>
    <cellStyle name="20 % - Markeringsfarve2 2 2 5 3 4 2" xfId="9280"/>
    <cellStyle name="20 % - Markeringsfarve2 2 2 5 3 4 2 2" xfId="20087"/>
    <cellStyle name="20 % - Markeringsfarve2 2 2 5 3 4 2 3" xfId="31444"/>
    <cellStyle name="20 % - Markeringsfarve2 2 2 5 3 4 3" xfId="15102"/>
    <cellStyle name="20 % - Markeringsfarve2 2 2 5 3 4 4" xfId="26460"/>
    <cellStyle name="20 % - Markeringsfarve2 2 2 5 3 5" xfId="5957"/>
    <cellStyle name="20 % - Markeringsfarve2 2 2 5 3 5 2" xfId="16765"/>
    <cellStyle name="20 % - Markeringsfarve2 2 2 5 3 5 3" xfId="28122"/>
    <cellStyle name="20 % - Markeringsfarve2 2 2 5 3 6" xfId="10944"/>
    <cellStyle name="20 % - Markeringsfarve2 2 2 5 3 6 2" xfId="21751"/>
    <cellStyle name="20 % - Markeringsfarve2 2 2 5 3 6 3" xfId="33108"/>
    <cellStyle name="20 % - Markeringsfarve2 2 2 5 3 7" xfId="11779"/>
    <cellStyle name="20 % - Markeringsfarve2 2 2 5 3 8" xfId="23138"/>
    <cellStyle name="20 % - Markeringsfarve2 2 2 5 4" xfId="1244"/>
    <cellStyle name="20 % - Markeringsfarve2 2 2 5 4 2" xfId="2909"/>
    <cellStyle name="20 % - Markeringsfarve2 2 2 5 4 2 2" xfId="7897"/>
    <cellStyle name="20 % - Markeringsfarve2 2 2 5 4 2 2 2" xfId="18704"/>
    <cellStyle name="20 % - Markeringsfarve2 2 2 5 4 2 2 3" xfId="30061"/>
    <cellStyle name="20 % - Markeringsfarve2 2 2 5 4 2 3" xfId="13719"/>
    <cellStyle name="20 % - Markeringsfarve2 2 2 5 4 2 4" xfId="25077"/>
    <cellStyle name="20 % - Markeringsfarve2 2 2 5 4 3" xfId="4573"/>
    <cellStyle name="20 % - Markeringsfarve2 2 2 5 4 3 2" xfId="9558"/>
    <cellStyle name="20 % - Markeringsfarve2 2 2 5 4 3 2 2" xfId="20365"/>
    <cellStyle name="20 % - Markeringsfarve2 2 2 5 4 3 2 3" xfId="31722"/>
    <cellStyle name="20 % - Markeringsfarve2 2 2 5 4 3 3" xfId="15380"/>
    <cellStyle name="20 % - Markeringsfarve2 2 2 5 4 3 4" xfId="26738"/>
    <cellStyle name="20 % - Markeringsfarve2 2 2 5 4 4" xfId="6235"/>
    <cellStyle name="20 % - Markeringsfarve2 2 2 5 4 4 2" xfId="17043"/>
    <cellStyle name="20 % - Markeringsfarve2 2 2 5 4 4 3" xfId="28400"/>
    <cellStyle name="20 % - Markeringsfarve2 2 2 5 4 5" xfId="12058"/>
    <cellStyle name="20 % - Markeringsfarve2 2 2 5 4 6" xfId="23416"/>
    <cellStyle name="20 % - Markeringsfarve2 2 2 5 5" xfId="2079"/>
    <cellStyle name="20 % - Markeringsfarve2 2 2 5 5 2" xfId="7067"/>
    <cellStyle name="20 % - Markeringsfarve2 2 2 5 5 2 2" xfId="17875"/>
    <cellStyle name="20 % - Markeringsfarve2 2 2 5 5 2 3" xfId="29232"/>
    <cellStyle name="20 % - Markeringsfarve2 2 2 5 5 3" xfId="12890"/>
    <cellStyle name="20 % - Markeringsfarve2 2 2 5 5 4" xfId="24248"/>
    <cellStyle name="20 % - Markeringsfarve2 2 2 5 6" xfId="3744"/>
    <cellStyle name="20 % - Markeringsfarve2 2 2 5 6 2" xfId="8729"/>
    <cellStyle name="20 % - Markeringsfarve2 2 2 5 6 2 2" xfId="19536"/>
    <cellStyle name="20 % - Markeringsfarve2 2 2 5 6 2 3" xfId="30893"/>
    <cellStyle name="20 % - Markeringsfarve2 2 2 5 6 3" xfId="14551"/>
    <cellStyle name="20 % - Markeringsfarve2 2 2 5 6 4" xfId="25909"/>
    <cellStyle name="20 % - Markeringsfarve2 2 2 5 7" xfId="5405"/>
    <cellStyle name="20 % - Markeringsfarve2 2 2 5 7 2" xfId="16214"/>
    <cellStyle name="20 % - Markeringsfarve2 2 2 5 7 3" xfId="27571"/>
    <cellStyle name="20 % - Markeringsfarve2 2 2 5 8" xfId="10390"/>
    <cellStyle name="20 % - Markeringsfarve2 2 2 5 8 2" xfId="21197"/>
    <cellStyle name="20 % - Markeringsfarve2 2 2 5 8 3" xfId="32554"/>
    <cellStyle name="20 % - Markeringsfarve2 2 2 5 9" xfId="11224"/>
    <cellStyle name="20 % - Markeringsfarve2 2 2 6" xfId="474"/>
    <cellStyle name="20 % - Markeringsfarve2 2 2 6 2" xfId="1304"/>
    <cellStyle name="20 % - Markeringsfarve2 2 2 6 2 2" xfId="2969"/>
    <cellStyle name="20 % - Markeringsfarve2 2 2 6 2 2 2" xfId="7957"/>
    <cellStyle name="20 % - Markeringsfarve2 2 2 6 2 2 2 2" xfId="18764"/>
    <cellStyle name="20 % - Markeringsfarve2 2 2 6 2 2 2 3" xfId="30121"/>
    <cellStyle name="20 % - Markeringsfarve2 2 2 6 2 2 3" xfId="13779"/>
    <cellStyle name="20 % - Markeringsfarve2 2 2 6 2 2 4" xfId="25137"/>
    <cellStyle name="20 % - Markeringsfarve2 2 2 6 2 3" xfId="4633"/>
    <cellStyle name="20 % - Markeringsfarve2 2 2 6 2 3 2" xfId="9618"/>
    <cellStyle name="20 % - Markeringsfarve2 2 2 6 2 3 2 2" xfId="20425"/>
    <cellStyle name="20 % - Markeringsfarve2 2 2 6 2 3 2 3" xfId="31782"/>
    <cellStyle name="20 % - Markeringsfarve2 2 2 6 2 3 3" xfId="15440"/>
    <cellStyle name="20 % - Markeringsfarve2 2 2 6 2 3 4" xfId="26798"/>
    <cellStyle name="20 % - Markeringsfarve2 2 2 6 2 4" xfId="6295"/>
    <cellStyle name="20 % - Markeringsfarve2 2 2 6 2 4 2" xfId="17103"/>
    <cellStyle name="20 % - Markeringsfarve2 2 2 6 2 4 3" xfId="28460"/>
    <cellStyle name="20 % - Markeringsfarve2 2 2 6 2 5" xfId="12118"/>
    <cellStyle name="20 % - Markeringsfarve2 2 2 6 2 6" xfId="23476"/>
    <cellStyle name="20 % - Markeringsfarve2 2 2 6 3" xfId="2140"/>
    <cellStyle name="20 % - Markeringsfarve2 2 2 6 3 2" xfId="7128"/>
    <cellStyle name="20 % - Markeringsfarve2 2 2 6 3 2 2" xfId="17935"/>
    <cellStyle name="20 % - Markeringsfarve2 2 2 6 3 2 3" xfId="29292"/>
    <cellStyle name="20 % - Markeringsfarve2 2 2 6 3 3" xfId="12950"/>
    <cellStyle name="20 % - Markeringsfarve2 2 2 6 3 4" xfId="24308"/>
    <cellStyle name="20 % - Markeringsfarve2 2 2 6 4" xfId="3804"/>
    <cellStyle name="20 % - Markeringsfarve2 2 2 6 4 2" xfId="8789"/>
    <cellStyle name="20 % - Markeringsfarve2 2 2 6 4 2 2" xfId="19596"/>
    <cellStyle name="20 % - Markeringsfarve2 2 2 6 4 2 3" xfId="30953"/>
    <cellStyle name="20 % - Markeringsfarve2 2 2 6 4 3" xfId="14611"/>
    <cellStyle name="20 % - Markeringsfarve2 2 2 6 4 4" xfId="25969"/>
    <cellStyle name="20 % - Markeringsfarve2 2 2 6 5" xfId="5466"/>
    <cellStyle name="20 % - Markeringsfarve2 2 2 6 5 2" xfId="16274"/>
    <cellStyle name="20 % - Markeringsfarve2 2 2 6 5 3" xfId="27631"/>
    <cellStyle name="20 % - Markeringsfarve2 2 2 6 6" xfId="10428"/>
    <cellStyle name="20 % - Markeringsfarve2 2 2 6 6 2" xfId="21235"/>
    <cellStyle name="20 % - Markeringsfarve2 2 2 6 6 3" xfId="32592"/>
    <cellStyle name="20 % - Markeringsfarve2 2 2 6 7" xfId="11285"/>
    <cellStyle name="20 % - Markeringsfarve2 2 2 6 8" xfId="22091"/>
    <cellStyle name="20 % - Markeringsfarve2 2 2 6 9" xfId="22645"/>
    <cellStyle name="20 % - Markeringsfarve2 2 2 7" xfId="746"/>
    <cellStyle name="20 % - Markeringsfarve2 2 2 7 2" xfId="1578"/>
    <cellStyle name="20 % - Markeringsfarve2 2 2 7 2 2" xfId="3243"/>
    <cellStyle name="20 % - Markeringsfarve2 2 2 7 2 2 2" xfId="8231"/>
    <cellStyle name="20 % - Markeringsfarve2 2 2 7 2 2 2 2" xfId="19038"/>
    <cellStyle name="20 % - Markeringsfarve2 2 2 7 2 2 2 3" xfId="30395"/>
    <cellStyle name="20 % - Markeringsfarve2 2 2 7 2 2 3" xfId="14053"/>
    <cellStyle name="20 % - Markeringsfarve2 2 2 7 2 2 4" xfId="25411"/>
    <cellStyle name="20 % - Markeringsfarve2 2 2 7 2 3" xfId="4907"/>
    <cellStyle name="20 % - Markeringsfarve2 2 2 7 2 3 2" xfId="9892"/>
    <cellStyle name="20 % - Markeringsfarve2 2 2 7 2 3 2 2" xfId="20699"/>
    <cellStyle name="20 % - Markeringsfarve2 2 2 7 2 3 2 3" xfId="32056"/>
    <cellStyle name="20 % - Markeringsfarve2 2 2 7 2 3 3" xfId="15714"/>
    <cellStyle name="20 % - Markeringsfarve2 2 2 7 2 3 4" xfId="27072"/>
    <cellStyle name="20 % - Markeringsfarve2 2 2 7 2 4" xfId="6569"/>
    <cellStyle name="20 % - Markeringsfarve2 2 2 7 2 4 2" xfId="17377"/>
    <cellStyle name="20 % - Markeringsfarve2 2 2 7 2 4 3" xfId="28734"/>
    <cellStyle name="20 % - Markeringsfarve2 2 2 7 2 5" xfId="12392"/>
    <cellStyle name="20 % - Markeringsfarve2 2 2 7 2 6" xfId="23750"/>
    <cellStyle name="20 % - Markeringsfarve2 2 2 7 3" xfId="2412"/>
    <cellStyle name="20 % - Markeringsfarve2 2 2 7 3 2" xfId="7400"/>
    <cellStyle name="20 % - Markeringsfarve2 2 2 7 3 2 2" xfId="18207"/>
    <cellStyle name="20 % - Markeringsfarve2 2 2 7 3 2 3" xfId="29564"/>
    <cellStyle name="20 % - Markeringsfarve2 2 2 7 3 3" xfId="13222"/>
    <cellStyle name="20 % - Markeringsfarve2 2 2 7 3 4" xfId="24580"/>
    <cellStyle name="20 % - Markeringsfarve2 2 2 7 4" xfId="4076"/>
    <cellStyle name="20 % - Markeringsfarve2 2 2 7 4 2" xfId="9061"/>
    <cellStyle name="20 % - Markeringsfarve2 2 2 7 4 2 2" xfId="19868"/>
    <cellStyle name="20 % - Markeringsfarve2 2 2 7 4 2 3" xfId="31225"/>
    <cellStyle name="20 % - Markeringsfarve2 2 2 7 4 3" xfId="14883"/>
    <cellStyle name="20 % - Markeringsfarve2 2 2 7 4 4" xfId="26241"/>
    <cellStyle name="20 % - Markeringsfarve2 2 2 7 5" xfId="5738"/>
    <cellStyle name="20 % - Markeringsfarve2 2 2 7 5 2" xfId="16546"/>
    <cellStyle name="20 % - Markeringsfarve2 2 2 7 5 3" xfId="27903"/>
    <cellStyle name="20 % - Markeringsfarve2 2 2 7 6" xfId="10725"/>
    <cellStyle name="20 % - Markeringsfarve2 2 2 7 6 2" xfId="21532"/>
    <cellStyle name="20 % - Markeringsfarve2 2 2 7 6 3" xfId="32889"/>
    <cellStyle name="20 % - Markeringsfarve2 2 2 7 7" xfId="11560"/>
    <cellStyle name="20 % - Markeringsfarve2 2 2 7 8" xfId="22919"/>
    <cellStyle name="20 % - Markeringsfarve2 2 2 8" xfId="1025"/>
    <cellStyle name="20 % - Markeringsfarve2 2 2 8 2" xfId="2690"/>
    <cellStyle name="20 % - Markeringsfarve2 2 2 8 2 2" xfId="7678"/>
    <cellStyle name="20 % - Markeringsfarve2 2 2 8 2 2 2" xfId="18485"/>
    <cellStyle name="20 % - Markeringsfarve2 2 2 8 2 2 3" xfId="29842"/>
    <cellStyle name="20 % - Markeringsfarve2 2 2 8 2 3" xfId="13500"/>
    <cellStyle name="20 % - Markeringsfarve2 2 2 8 2 4" xfId="24858"/>
    <cellStyle name="20 % - Markeringsfarve2 2 2 8 3" xfId="4354"/>
    <cellStyle name="20 % - Markeringsfarve2 2 2 8 3 2" xfId="9339"/>
    <cellStyle name="20 % - Markeringsfarve2 2 2 8 3 2 2" xfId="20146"/>
    <cellStyle name="20 % - Markeringsfarve2 2 2 8 3 2 3" xfId="31503"/>
    <cellStyle name="20 % - Markeringsfarve2 2 2 8 3 3" xfId="15161"/>
    <cellStyle name="20 % - Markeringsfarve2 2 2 8 3 4" xfId="26519"/>
    <cellStyle name="20 % - Markeringsfarve2 2 2 8 4" xfId="6016"/>
    <cellStyle name="20 % - Markeringsfarve2 2 2 8 4 2" xfId="16824"/>
    <cellStyle name="20 % - Markeringsfarve2 2 2 8 4 3" xfId="28181"/>
    <cellStyle name="20 % - Markeringsfarve2 2 2 8 5" xfId="11839"/>
    <cellStyle name="20 % - Markeringsfarve2 2 2 8 6" xfId="23197"/>
    <cellStyle name="20 % - Markeringsfarve2 2 2 9" xfId="1861"/>
    <cellStyle name="20 % - Markeringsfarve2 2 2 9 2" xfId="6849"/>
    <cellStyle name="20 % - Markeringsfarve2 2 2 9 2 2" xfId="17657"/>
    <cellStyle name="20 % - Markeringsfarve2 2 2 9 2 3" xfId="29014"/>
    <cellStyle name="20 % - Markeringsfarve2 2 2 9 3" xfId="12672"/>
    <cellStyle name="20 % - Markeringsfarve2 2 2 9 4" xfId="24030"/>
    <cellStyle name="20 % - Markeringsfarve2 2 3" xfId="191"/>
    <cellStyle name="20 % - Markeringsfarve2 2 3 10" xfId="21849"/>
    <cellStyle name="20 % - Markeringsfarve2 2 3 11" xfId="22402"/>
    <cellStyle name="20 % - Markeringsfarve2 2 3 12" xfId="33205"/>
    <cellStyle name="20 % - Markeringsfarve2 2 3 13" xfId="33478"/>
    <cellStyle name="20 % - Markeringsfarve2 2 3 14" xfId="33749"/>
    <cellStyle name="20 % - Markeringsfarve2 2 3 2" xfId="511"/>
    <cellStyle name="20 % - Markeringsfarve2 2 3 2 2" xfId="1341"/>
    <cellStyle name="20 % - Markeringsfarve2 2 3 2 2 2" xfId="3006"/>
    <cellStyle name="20 % - Markeringsfarve2 2 3 2 2 2 2" xfId="7994"/>
    <cellStyle name="20 % - Markeringsfarve2 2 3 2 2 2 2 2" xfId="18801"/>
    <cellStyle name="20 % - Markeringsfarve2 2 3 2 2 2 2 3" xfId="30158"/>
    <cellStyle name="20 % - Markeringsfarve2 2 3 2 2 2 3" xfId="13816"/>
    <cellStyle name="20 % - Markeringsfarve2 2 3 2 2 2 4" xfId="25174"/>
    <cellStyle name="20 % - Markeringsfarve2 2 3 2 2 3" xfId="4670"/>
    <cellStyle name="20 % - Markeringsfarve2 2 3 2 2 3 2" xfId="9655"/>
    <cellStyle name="20 % - Markeringsfarve2 2 3 2 2 3 2 2" xfId="20462"/>
    <cellStyle name="20 % - Markeringsfarve2 2 3 2 2 3 2 3" xfId="31819"/>
    <cellStyle name="20 % - Markeringsfarve2 2 3 2 2 3 3" xfId="15477"/>
    <cellStyle name="20 % - Markeringsfarve2 2 3 2 2 3 4" xfId="26835"/>
    <cellStyle name="20 % - Markeringsfarve2 2 3 2 2 4" xfId="6332"/>
    <cellStyle name="20 % - Markeringsfarve2 2 3 2 2 4 2" xfId="17140"/>
    <cellStyle name="20 % - Markeringsfarve2 2 3 2 2 4 3" xfId="28497"/>
    <cellStyle name="20 % - Markeringsfarve2 2 3 2 2 5" xfId="12155"/>
    <cellStyle name="20 % - Markeringsfarve2 2 3 2 2 6" xfId="23513"/>
    <cellStyle name="20 % - Markeringsfarve2 2 3 2 3" xfId="2177"/>
    <cellStyle name="20 % - Markeringsfarve2 2 3 2 3 2" xfId="7165"/>
    <cellStyle name="20 % - Markeringsfarve2 2 3 2 3 2 2" xfId="17972"/>
    <cellStyle name="20 % - Markeringsfarve2 2 3 2 3 2 3" xfId="29329"/>
    <cellStyle name="20 % - Markeringsfarve2 2 3 2 3 3" xfId="12987"/>
    <cellStyle name="20 % - Markeringsfarve2 2 3 2 3 4" xfId="24345"/>
    <cellStyle name="20 % - Markeringsfarve2 2 3 2 4" xfId="3841"/>
    <cellStyle name="20 % - Markeringsfarve2 2 3 2 4 2" xfId="8826"/>
    <cellStyle name="20 % - Markeringsfarve2 2 3 2 4 2 2" xfId="19633"/>
    <cellStyle name="20 % - Markeringsfarve2 2 3 2 4 2 3" xfId="30990"/>
    <cellStyle name="20 % - Markeringsfarve2 2 3 2 4 3" xfId="14648"/>
    <cellStyle name="20 % - Markeringsfarve2 2 3 2 4 4" xfId="26006"/>
    <cellStyle name="20 % - Markeringsfarve2 2 3 2 5" xfId="5503"/>
    <cellStyle name="20 % - Markeringsfarve2 2 3 2 5 2" xfId="16311"/>
    <cellStyle name="20 % - Markeringsfarve2 2 3 2 5 3" xfId="27668"/>
    <cellStyle name="20 % - Markeringsfarve2 2 3 2 6" xfId="10488"/>
    <cellStyle name="20 % - Markeringsfarve2 2 3 2 6 2" xfId="21295"/>
    <cellStyle name="20 % - Markeringsfarve2 2 3 2 6 3" xfId="32652"/>
    <cellStyle name="20 % - Markeringsfarve2 2 3 2 7" xfId="11322"/>
    <cellStyle name="20 % - Markeringsfarve2 2 3 2 8" xfId="22128"/>
    <cellStyle name="20 % - Markeringsfarve2 2 3 2 9" xfId="22682"/>
    <cellStyle name="20 % - Markeringsfarve2 2 3 3" xfId="783"/>
    <cellStyle name="20 % - Markeringsfarve2 2 3 3 2" xfId="1615"/>
    <cellStyle name="20 % - Markeringsfarve2 2 3 3 2 2" xfId="3280"/>
    <cellStyle name="20 % - Markeringsfarve2 2 3 3 2 2 2" xfId="8268"/>
    <cellStyle name="20 % - Markeringsfarve2 2 3 3 2 2 2 2" xfId="19075"/>
    <cellStyle name="20 % - Markeringsfarve2 2 3 3 2 2 2 3" xfId="30432"/>
    <cellStyle name="20 % - Markeringsfarve2 2 3 3 2 2 3" xfId="14090"/>
    <cellStyle name="20 % - Markeringsfarve2 2 3 3 2 2 4" xfId="25448"/>
    <cellStyle name="20 % - Markeringsfarve2 2 3 3 2 3" xfId="4944"/>
    <cellStyle name="20 % - Markeringsfarve2 2 3 3 2 3 2" xfId="9929"/>
    <cellStyle name="20 % - Markeringsfarve2 2 3 3 2 3 2 2" xfId="20736"/>
    <cellStyle name="20 % - Markeringsfarve2 2 3 3 2 3 2 3" xfId="32093"/>
    <cellStyle name="20 % - Markeringsfarve2 2 3 3 2 3 3" xfId="15751"/>
    <cellStyle name="20 % - Markeringsfarve2 2 3 3 2 3 4" xfId="27109"/>
    <cellStyle name="20 % - Markeringsfarve2 2 3 3 2 4" xfId="6606"/>
    <cellStyle name="20 % - Markeringsfarve2 2 3 3 2 4 2" xfId="17414"/>
    <cellStyle name="20 % - Markeringsfarve2 2 3 3 2 4 3" xfId="28771"/>
    <cellStyle name="20 % - Markeringsfarve2 2 3 3 2 5" xfId="12429"/>
    <cellStyle name="20 % - Markeringsfarve2 2 3 3 2 6" xfId="23787"/>
    <cellStyle name="20 % - Markeringsfarve2 2 3 3 3" xfId="2449"/>
    <cellStyle name="20 % - Markeringsfarve2 2 3 3 3 2" xfId="7437"/>
    <cellStyle name="20 % - Markeringsfarve2 2 3 3 3 2 2" xfId="18244"/>
    <cellStyle name="20 % - Markeringsfarve2 2 3 3 3 2 3" xfId="29601"/>
    <cellStyle name="20 % - Markeringsfarve2 2 3 3 3 3" xfId="13259"/>
    <cellStyle name="20 % - Markeringsfarve2 2 3 3 3 4" xfId="24617"/>
    <cellStyle name="20 % - Markeringsfarve2 2 3 3 4" xfId="4113"/>
    <cellStyle name="20 % - Markeringsfarve2 2 3 3 4 2" xfId="9098"/>
    <cellStyle name="20 % - Markeringsfarve2 2 3 3 4 2 2" xfId="19905"/>
    <cellStyle name="20 % - Markeringsfarve2 2 3 3 4 2 3" xfId="31262"/>
    <cellStyle name="20 % - Markeringsfarve2 2 3 3 4 3" xfId="14920"/>
    <cellStyle name="20 % - Markeringsfarve2 2 3 3 4 4" xfId="26278"/>
    <cellStyle name="20 % - Markeringsfarve2 2 3 3 5" xfId="5775"/>
    <cellStyle name="20 % - Markeringsfarve2 2 3 3 5 2" xfId="16583"/>
    <cellStyle name="20 % - Markeringsfarve2 2 3 3 5 3" xfId="27940"/>
    <cellStyle name="20 % - Markeringsfarve2 2 3 3 6" xfId="10762"/>
    <cellStyle name="20 % - Markeringsfarve2 2 3 3 6 2" xfId="21569"/>
    <cellStyle name="20 % - Markeringsfarve2 2 3 3 6 3" xfId="32926"/>
    <cellStyle name="20 % - Markeringsfarve2 2 3 3 7" xfId="11597"/>
    <cellStyle name="20 % - Markeringsfarve2 2 3 3 8" xfId="22956"/>
    <cellStyle name="20 % - Markeringsfarve2 2 3 4" xfId="1062"/>
    <cellStyle name="20 % - Markeringsfarve2 2 3 4 2" xfId="2727"/>
    <cellStyle name="20 % - Markeringsfarve2 2 3 4 2 2" xfId="7715"/>
    <cellStyle name="20 % - Markeringsfarve2 2 3 4 2 2 2" xfId="18522"/>
    <cellStyle name="20 % - Markeringsfarve2 2 3 4 2 2 3" xfId="29879"/>
    <cellStyle name="20 % - Markeringsfarve2 2 3 4 2 3" xfId="13537"/>
    <cellStyle name="20 % - Markeringsfarve2 2 3 4 2 4" xfId="24895"/>
    <cellStyle name="20 % - Markeringsfarve2 2 3 4 3" xfId="4391"/>
    <cellStyle name="20 % - Markeringsfarve2 2 3 4 3 2" xfId="9376"/>
    <cellStyle name="20 % - Markeringsfarve2 2 3 4 3 2 2" xfId="20183"/>
    <cellStyle name="20 % - Markeringsfarve2 2 3 4 3 2 3" xfId="31540"/>
    <cellStyle name="20 % - Markeringsfarve2 2 3 4 3 3" xfId="15198"/>
    <cellStyle name="20 % - Markeringsfarve2 2 3 4 3 4" xfId="26556"/>
    <cellStyle name="20 % - Markeringsfarve2 2 3 4 4" xfId="6053"/>
    <cellStyle name="20 % - Markeringsfarve2 2 3 4 4 2" xfId="16861"/>
    <cellStyle name="20 % - Markeringsfarve2 2 3 4 4 3" xfId="28218"/>
    <cellStyle name="20 % - Markeringsfarve2 2 3 4 5" xfId="11876"/>
    <cellStyle name="20 % - Markeringsfarve2 2 3 4 6" xfId="23234"/>
    <cellStyle name="20 % - Markeringsfarve2 2 3 5" xfId="1897"/>
    <cellStyle name="20 % - Markeringsfarve2 2 3 5 2" xfId="6885"/>
    <cellStyle name="20 % - Markeringsfarve2 2 3 5 2 2" xfId="17693"/>
    <cellStyle name="20 % - Markeringsfarve2 2 3 5 2 3" xfId="29050"/>
    <cellStyle name="20 % - Markeringsfarve2 2 3 5 3" xfId="12708"/>
    <cellStyle name="20 % - Markeringsfarve2 2 3 5 4" xfId="24066"/>
    <cellStyle name="20 % - Markeringsfarve2 2 3 6" xfId="3562"/>
    <cellStyle name="20 % - Markeringsfarve2 2 3 6 2" xfId="8547"/>
    <cellStyle name="20 % - Markeringsfarve2 2 3 6 2 2" xfId="19354"/>
    <cellStyle name="20 % - Markeringsfarve2 2 3 6 2 3" xfId="30711"/>
    <cellStyle name="20 % - Markeringsfarve2 2 3 6 3" xfId="14369"/>
    <cellStyle name="20 % - Markeringsfarve2 2 3 6 4" xfId="25727"/>
    <cellStyle name="20 % - Markeringsfarve2 2 3 7" xfId="5223"/>
    <cellStyle name="20 % - Markeringsfarve2 2 3 7 2" xfId="16032"/>
    <cellStyle name="20 % - Markeringsfarve2 2 3 7 3" xfId="27389"/>
    <cellStyle name="20 % - Markeringsfarve2 2 3 8" xfId="10208"/>
    <cellStyle name="20 % - Markeringsfarve2 2 3 8 2" xfId="21015"/>
    <cellStyle name="20 % - Markeringsfarve2 2 3 8 3" xfId="32372"/>
    <cellStyle name="20 % - Markeringsfarve2 2 3 9" xfId="11042"/>
    <cellStyle name="20 % - Markeringsfarve2 2 4" xfId="245"/>
    <cellStyle name="20 % - Markeringsfarve2 2 4 10" xfId="21902"/>
    <cellStyle name="20 % - Markeringsfarve2 2 4 11" xfId="22455"/>
    <cellStyle name="20 % - Markeringsfarve2 2 4 12" xfId="33258"/>
    <cellStyle name="20 % - Markeringsfarve2 2 4 13" xfId="33533"/>
    <cellStyle name="20 % - Markeringsfarve2 2 4 14" xfId="33804"/>
    <cellStyle name="20 % - Markeringsfarve2 2 4 2" xfId="562"/>
    <cellStyle name="20 % - Markeringsfarve2 2 4 2 2" xfId="1394"/>
    <cellStyle name="20 % - Markeringsfarve2 2 4 2 2 2" xfId="3059"/>
    <cellStyle name="20 % - Markeringsfarve2 2 4 2 2 2 2" xfId="8047"/>
    <cellStyle name="20 % - Markeringsfarve2 2 4 2 2 2 2 2" xfId="18854"/>
    <cellStyle name="20 % - Markeringsfarve2 2 4 2 2 2 2 3" xfId="30211"/>
    <cellStyle name="20 % - Markeringsfarve2 2 4 2 2 2 3" xfId="13869"/>
    <cellStyle name="20 % - Markeringsfarve2 2 4 2 2 2 4" xfId="25227"/>
    <cellStyle name="20 % - Markeringsfarve2 2 4 2 2 3" xfId="4723"/>
    <cellStyle name="20 % - Markeringsfarve2 2 4 2 2 3 2" xfId="9708"/>
    <cellStyle name="20 % - Markeringsfarve2 2 4 2 2 3 2 2" xfId="20515"/>
    <cellStyle name="20 % - Markeringsfarve2 2 4 2 2 3 2 3" xfId="31872"/>
    <cellStyle name="20 % - Markeringsfarve2 2 4 2 2 3 3" xfId="15530"/>
    <cellStyle name="20 % - Markeringsfarve2 2 4 2 2 3 4" xfId="26888"/>
    <cellStyle name="20 % - Markeringsfarve2 2 4 2 2 4" xfId="6385"/>
    <cellStyle name="20 % - Markeringsfarve2 2 4 2 2 4 2" xfId="17193"/>
    <cellStyle name="20 % - Markeringsfarve2 2 4 2 2 4 3" xfId="28550"/>
    <cellStyle name="20 % - Markeringsfarve2 2 4 2 2 5" xfId="12208"/>
    <cellStyle name="20 % - Markeringsfarve2 2 4 2 2 6" xfId="23566"/>
    <cellStyle name="20 % - Markeringsfarve2 2 4 2 3" xfId="2228"/>
    <cellStyle name="20 % - Markeringsfarve2 2 4 2 3 2" xfId="7216"/>
    <cellStyle name="20 % - Markeringsfarve2 2 4 2 3 2 2" xfId="18023"/>
    <cellStyle name="20 % - Markeringsfarve2 2 4 2 3 2 3" xfId="29380"/>
    <cellStyle name="20 % - Markeringsfarve2 2 4 2 3 3" xfId="13038"/>
    <cellStyle name="20 % - Markeringsfarve2 2 4 2 3 4" xfId="24396"/>
    <cellStyle name="20 % - Markeringsfarve2 2 4 2 4" xfId="3892"/>
    <cellStyle name="20 % - Markeringsfarve2 2 4 2 4 2" xfId="8877"/>
    <cellStyle name="20 % - Markeringsfarve2 2 4 2 4 2 2" xfId="19684"/>
    <cellStyle name="20 % - Markeringsfarve2 2 4 2 4 2 3" xfId="31041"/>
    <cellStyle name="20 % - Markeringsfarve2 2 4 2 4 3" xfId="14699"/>
    <cellStyle name="20 % - Markeringsfarve2 2 4 2 4 4" xfId="26057"/>
    <cellStyle name="20 % - Markeringsfarve2 2 4 2 5" xfId="5554"/>
    <cellStyle name="20 % - Markeringsfarve2 2 4 2 5 2" xfId="16362"/>
    <cellStyle name="20 % - Markeringsfarve2 2 4 2 5 3" xfId="27719"/>
    <cellStyle name="20 % - Markeringsfarve2 2 4 2 6" xfId="10541"/>
    <cellStyle name="20 % - Markeringsfarve2 2 4 2 6 2" xfId="21348"/>
    <cellStyle name="20 % - Markeringsfarve2 2 4 2 6 3" xfId="32705"/>
    <cellStyle name="20 % - Markeringsfarve2 2 4 2 7" xfId="11375"/>
    <cellStyle name="20 % - Markeringsfarve2 2 4 2 8" xfId="22181"/>
    <cellStyle name="20 % - Markeringsfarve2 2 4 2 9" xfId="22735"/>
    <cellStyle name="20 % - Markeringsfarve2 2 4 3" xfId="836"/>
    <cellStyle name="20 % - Markeringsfarve2 2 4 3 2" xfId="1668"/>
    <cellStyle name="20 % - Markeringsfarve2 2 4 3 2 2" xfId="3333"/>
    <cellStyle name="20 % - Markeringsfarve2 2 4 3 2 2 2" xfId="8321"/>
    <cellStyle name="20 % - Markeringsfarve2 2 4 3 2 2 2 2" xfId="19128"/>
    <cellStyle name="20 % - Markeringsfarve2 2 4 3 2 2 2 3" xfId="30485"/>
    <cellStyle name="20 % - Markeringsfarve2 2 4 3 2 2 3" xfId="14143"/>
    <cellStyle name="20 % - Markeringsfarve2 2 4 3 2 2 4" xfId="25501"/>
    <cellStyle name="20 % - Markeringsfarve2 2 4 3 2 3" xfId="4997"/>
    <cellStyle name="20 % - Markeringsfarve2 2 4 3 2 3 2" xfId="9982"/>
    <cellStyle name="20 % - Markeringsfarve2 2 4 3 2 3 2 2" xfId="20789"/>
    <cellStyle name="20 % - Markeringsfarve2 2 4 3 2 3 2 3" xfId="32146"/>
    <cellStyle name="20 % - Markeringsfarve2 2 4 3 2 3 3" xfId="15804"/>
    <cellStyle name="20 % - Markeringsfarve2 2 4 3 2 3 4" xfId="27162"/>
    <cellStyle name="20 % - Markeringsfarve2 2 4 3 2 4" xfId="6659"/>
    <cellStyle name="20 % - Markeringsfarve2 2 4 3 2 4 2" xfId="17467"/>
    <cellStyle name="20 % - Markeringsfarve2 2 4 3 2 4 3" xfId="28824"/>
    <cellStyle name="20 % - Markeringsfarve2 2 4 3 2 5" xfId="12482"/>
    <cellStyle name="20 % - Markeringsfarve2 2 4 3 2 6" xfId="23840"/>
    <cellStyle name="20 % - Markeringsfarve2 2 4 3 3" xfId="2502"/>
    <cellStyle name="20 % - Markeringsfarve2 2 4 3 3 2" xfId="7490"/>
    <cellStyle name="20 % - Markeringsfarve2 2 4 3 3 2 2" xfId="18297"/>
    <cellStyle name="20 % - Markeringsfarve2 2 4 3 3 2 3" xfId="29654"/>
    <cellStyle name="20 % - Markeringsfarve2 2 4 3 3 3" xfId="13312"/>
    <cellStyle name="20 % - Markeringsfarve2 2 4 3 3 4" xfId="24670"/>
    <cellStyle name="20 % - Markeringsfarve2 2 4 3 4" xfId="4166"/>
    <cellStyle name="20 % - Markeringsfarve2 2 4 3 4 2" xfId="9151"/>
    <cellStyle name="20 % - Markeringsfarve2 2 4 3 4 2 2" xfId="19958"/>
    <cellStyle name="20 % - Markeringsfarve2 2 4 3 4 2 3" xfId="31315"/>
    <cellStyle name="20 % - Markeringsfarve2 2 4 3 4 3" xfId="14973"/>
    <cellStyle name="20 % - Markeringsfarve2 2 4 3 4 4" xfId="26331"/>
    <cellStyle name="20 % - Markeringsfarve2 2 4 3 5" xfId="5828"/>
    <cellStyle name="20 % - Markeringsfarve2 2 4 3 5 2" xfId="16636"/>
    <cellStyle name="20 % - Markeringsfarve2 2 4 3 5 3" xfId="27993"/>
    <cellStyle name="20 % - Markeringsfarve2 2 4 3 6" xfId="10815"/>
    <cellStyle name="20 % - Markeringsfarve2 2 4 3 6 2" xfId="21622"/>
    <cellStyle name="20 % - Markeringsfarve2 2 4 3 6 3" xfId="32979"/>
    <cellStyle name="20 % - Markeringsfarve2 2 4 3 7" xfId="11650"/>
    <cellStyle name="20 % - Markeringsfarve2 2 4 3 8" xfId="23009"/>
    <cellStyle name="20 % - Markeringsfarve2 2 4 4" xfId="1115"/>
    <cellStyle name="20 % - Markeringsfarve2 2 4 4 2" xfId="2780"/>
    <cellStyle name="20 % - Markeringsfarve2 2 4 4 2 2" xfId="7768"/>
    <cellStyle name="20 % - Markeringsfarve2 2 4 4 2 2 2" xfId="18575"/>
    <cellStyle name="20 % - Markeringsfarve2 2 4 4 2 2 3" xfId="29932"/>
    <cellStyle name="20 % - Markeringsfarve2 2 4 4 2 3" xfId="13590"/>
    <cellStyle name="20 % - Markeringsfarve2 2 4 4 2 4" xfId="24948"/>
    <cellStyle name="20 % - Markeringsfarve2 2 4 4 3" xfId="4444"/>
    <cellStyle name="20 % - Markeringsfarve2 2 4 4 3 2" xfId="9429"/>
    <cellStyle name="20 % - Markeringsfarve2 2 4 4 3 2 2" xfId="20236"/>
    <cellStyle name="20 % - Markeringsfarve2 2 4 4 3 2 3" xfId="31593"/>
    <cellStyle name="20 % - Markeringsfarve2 2 4 4 3 3" xfId="15251"/>
    <cellStyle name="20 % - Markeringsfarve2 2 4 4 3 4" xfId="26609"/>
    <cellStyle name="20 % - Markeringsfarve2 2 4 4 4" xfId="6106"/>
    <cellStyle name="20 % - Markeringsfarve2 2 4 4 4 2" xfId="16914"/>
    <cellStyle name="20 % - Markeringsfarve2 2 4 4 4 3" xfId="28271"/>
    <cellStyle name="20 % - Markeringsfarve2 2 4 4 5" xfId="11929"/>
    <cellStyle name="20 % - Markeringsfarve2 2 4 4 6" xfId="23287"/>
    <cellStyle name="20 % - Markeringsfarve2 2 4 5" xfId="1950"/>
    <cellStyle name="20 % - Markeringsfarve2 2 4 5 2" xfId="6938"/>
    <cellStyle name="20 % - Markeringsfarve2 2 4 5 2 2" xfId="17746"/>
    <cellStyle name="20 % - Markeringsfarve2 2 4 5 2 3" xfId="29103"/>
    <cellStyle name="20 % - Markeringsfarve2 2 4 5 3" xfId="12761"/>
    <cellStyle name="20 % - Markeringsfarve2 2 4 5 4" xfId="24119"/>
    <cellStyle name="20 % - Markeringsfarve2 2 4 6" xfId="3615"/>
    <cellStyle name="20 % - Markeringsfarve2 2 4 6 2" xfId="8600"/>
    <cellStyle name="20 % - Markeringsfarve2 2 4 6 2 2" xfId="19407"/>
    <cellStyle name="20 % - Markeringsfarve2 2 4 6 2 3" xfId="30764"/>
    <cellStyle name="20 % - Markeringsfarve2 2 4 6 3" xfId="14422"/>
    <cellStyle name="20 % - Markeringsfarve2 2 4 6 4" xfId="25780"/>
    <cellStyle name="20 % - Markeringsfarve2 2 4 7" xfId="5276"/>
    <cellStyle name="20 % - Markeringsfarve2 2 4 7 2" xfId="16085"/>
    <cellStyle name="20 % - Markeringsfarve2 2 4 7 3" xfId="27442"/>
    <cellStyle name="20 % - Markeringsfarve2 2 4 8" xfId="10261"/>
    <cellStyle name="20 % - Markeringsfarve2 2 4 8 2" xfId="21068"/>
    <cellStyle name="20 % - Markeringsfarve2 2 4 8 3" xfId="32425"/>
    <cellStyle name="20 % - Markeringsfarve2 2 4 9" xfId="11095"/>
    <cellStyle name="20 % - Markeringsfarve2 2 5" xfId="299"/>
    <cellStyle name="20 % - Markeringsfarve2 2 5 10" xfId="21956"/>
    <cellStyle name="20 % - Markeringsfarve2 2 5 11" xfId="22509"/>
    <cellStyle name="20 % - Markeringsfarve2 2 5 12" xfId="33312"/>
    <cellStyle name="20 % - Markeringsfarve2 2 5 13" xfId="33587"/>
    <cellStyle name="20 % - Markeringsfarve2 2 5 14" xfId="33858"/>
    <cellStyle name="20 % - Markeringsfarve2 2 5 2" xfId="616"/>
    <cellStyle name="20 % - Markeringsfarve2 2 5 2 2" xfId="1448"/>
    <cellStyle name="20 % - Markeringsfarve2 2 5 2 2 2" xfId="3113"/>
    <cellStyle name="20 % - Markeringsfarve2 2 5 2 2 2 2" xfId="8101"/>
    <cellStyle name="20 % - Markeringsfarve2 2 5 2 2 2 2 2" xfId="18908"/>
    <cellStyle name="20 % - Markeringsfarve2 2 5 2 2 2 2 3" xfId="30265"/>
    <cellStyle name="20 % - Markeringsfarve2 2 5 2 2 2 3" xfId="13923"/>
    <cellStyle name="20 % - Markeringsfarve2 2 5 2 2 2 4" xfId="25281"/>
    <cellStyle name="20 % - Markeringsfarve2 2 5 2 2 3" xfId="4777"/>
    <cellStyle name="20 % - Markeringsfarve2 2 5 2 2 3 2" xfId="9762"/>
    <cellStyle name="20 % - Markeringsfarve2 2 5 2 2 3 2 2" xfId="20569"/>
    <cellStyle name="20 % - Markeringsfarve2 2 5 2 2 3 2 3" xfId="31926"/>
    <cellStyle name="20 % - Markeringsfarve2 2 5 2 2 3 3" xfId="15584"/>
    <cellStyle name="20 % - Markeringsfarve2 2 5 2 2 3 4" xfId="26942"/>
    <cellStyle name="20 % - Markeringsfarve2 2 5 2 2 4" xfId="6439"/>
    <cellStyle name="20 % - Markeringsfarve2 2 5 2 2 4 2" xfId="17247"/>
    <cellStyle name="20 % - Markeringsfarve2 2 5 2 2 4 3" xfId="28604"/>
    <cellStyle name="20 % - Markeringsfarve2 2 5 2 2 5" xfId="12262"/>
    <cellStyle name="20 % - Markeringsfarve2 2 5 2 2 6" xfId="23620"/>
    <cellStyle name="20 % - Markeringsfarve2 2 5 2 3" xfId="2282"/>
    <cellStyle name="20 % - Markeringsfarve2 2 5 2 3 2" xfId="7270"/>
    <cellStyle name="20 % - Markeringsfarve2 2 5 2 3 2 2" xfId="18077"/>
    <cellStyle name="20 % - Markeringsfarve2 2 5 2 3 2 3" xfId="29434"/>
    <cellStyle name="20 % - Markeringsfarve2 2 5 2 3 3" xfId="13092"/>
    <cellStyle name="20 % - Markeringsfarve2 2 5 2 3 4" xfId="24450"/>
    <cellStyle name="20 % - Markeringsfarve2 2 5 2 4" xfId="3946"/>
    <cellStyle name="20 % - Markeringsfarve2 2 5 2 4 2" xfId="8931"/>
    <cellStyle name="20 % - Markeringsfarve2 2 5 2 4 2 2" xfId="19738"/>
    <cellStyle name="20 % - Markeringsfarve2 2 5 2 4 2 3" xfId="31095"/>
    <cellStyle name="20 % - Markeringsfarve2 2 5 2 4 3" xfId="14753"/>
    <cellStyle name="20 % - Markeringsfarve2 2 5 2 4 4" xfId="26111"/>
    <cellStyle name="20 % - Markeringsfarve2 2 5 2 5" xfId="5608"/>
    <cellStyle name="20 % - Markeringsfarve2 2 5 2 5 2" xfId="16416"/>
    <cellStyle name="20 % - Markeringsfarve2 2 5 2 5 3" xfId="27773"/>
    <cellStyle name="20 % - Markeringsfarve2 2 5 2 6" xfId="10595"/>
    <cellStyle name="20 % - Markeringsfarve2 2 5 2 6 2" xfId="21402"/>
    <cellStyle name="20 % - Markeringsfarve2 2 5 2 6 3" xfId="32759"/>
    <cellStyle name="20 % - Markeringsfarve2 2 5 2 7" xfId="11429"/>
    <cellStyle name="20 % - Markeringsfarve2 2 5 2 8" xfId="22235"/>
    <cellStyle name="20 % - Markeringsfarve2 2 5 2 9" xfId="22789"/>
    <cellStyle name="20 % - Markeringsfarve2 2 5 3" xfId="890"/>
    <cellStyle name="20 % - Markeringsfarve2 2 5 3 2" xfId="1722"/>
    <cellStyle name="20 % - Markeringsfarve2 2 5 3 2 2" xfId="3387"/>
    <cellStyle name="20 % - Markeringsfarve2 2 5 3 2 2 2" xfId="8375"/>
    <cellStyle name="20 % - Markeringsfarve2 2 5 3 2 2 2 2" xfId="19182"/>
    <cellStyle name="20 % - Markeringsfarve2 2 5 3 2 2 2 3" xfId="30539"/>
    <cellStyle name="20 % - Markeringsfarve2 2 5 3 2 2 3" xfId="14197"/>
    <cellStyle name="20 % - Markeringsfarve2 2 5 3 2 2 4" xfId="25555"/>
    <cellStyle name="20 % - Markeringsfarve2 2 5 3 2 3" xfId="5051"/>
    <cellStyle name="20 % - Markeringsfarve2 2 5 3 2 3 2" xfId="10036"/>
    <cellStyle name="20 % - Markeringsfarve2 2 5 3 2 3 2 2" xfId="20843"/>
    <cellStyle name="20 % - Markeringsfarve2 2 5 3 2 3 2 3" xfId="32200"/>
    <cellStyle name="20 % - Markeringsfarve2 2 5 3 2 3 3" xfId="15858"/>
    <cellStyle name="20 % - Markeringsfarve2 2 5 3 2 3 4" xfId="27216"/>
    <cellStyle name="20 % - Markeringsfarve2 2 5 3 2 4" xfId="6713"/>
    <cellStyle name="20 % - Markeringsfarve2 2 5 3 2 4 2" xfId="17521"/>
    <cellStyle name="20 % - Markeringsfarve2 2 5 3 2 4 3" xfId="28878"/>
    <cellStyle name="20 % - Markeringsfarve2 2 5 3 2 5" xfId="12536"/>
    <cellStyle name="20 % - Markeringsfarve2 2 5 3 2 6" xfId="23894"/>
    <cellStyle name="20 % - Markeringsfarve2 2 5 3 3" xfId="2556"/>
    <cellStyle name="20 % - Markeringsfarve2 2 5 3 3 2" xfId="7544"/>
    <cellStyle name="20 % - Markeringsfarve2 2 5 3 3 2 2" xfId="18351"/>
    <cellStyle name="20 % - Markeringsfarve2 2 5 3 3 2 3" xfId="29708"/>
    <cellStyle name="20 % - Markeringsfarve2 2 5 3 3 3" xfId="13366"/>
    <cellStyle name="20 % - Markeringsfarve2 2 5 3 3 4" xfId="24724"/>
    <cellStyle name="20 % - Markeringsfarve2 2 5 3 4" xfId="4220"/>
    <cellStyle name="20 % - Markeringsfarve2 2 5 3 4 2" xfId="9205"/>
    <cellStyle name="20 % - Markeringsfarve2 2 5 3 4 2 2" xfId="20012"/>
    <cellStyle name="20 % - Markeringsfarve2 2 5 3 4 2 3" xfId="31369"/>
    <cellStyle name="20 % - Markeringsfarve2 2 5 3 4 3" xfId="15027"/>
    <cellStyle name="20 % - Markeringsfarve2 2 5 3 4 4" xfId="26385"/>
    <cellStyle name="20 % - Markeringsfarve2 2 5 3 5" xfId="5882"/>
    <cellStyle name="20 % - Markeringsfarve2 2 5 3 5 2" xfId="16690"/>
    <cellStyle name="20 % - Markeringsfarve2 2 5 3 5 3" xfId="28047"/>
    <cellStyle name="20 % - Markeringsfarve2 2 5 3 6" xfId="10869"/>
    <cellStyle name="20 % - Markeringsfarve2 2 5 3 6 2" xfId="21676"/>
    <cellStyle name="20 % - Markeringsfarve2 2 5 3 6 3" xfId="33033"/>
    <cellStyle name="20 % - Markeringsfarve2 2 5 3 7" xfId="11704"/>
    <cellStyle name="20 % - Markeringsfarve2 2 5 3 8" xfId="23063"/>
    <cellStyle name="20 % - Markeringsfarve2 2 5 4" xfId="1169"/>
    <cellStyle name="20 % - Markeringsfarve2 2 5 4 2" xfId="2834"/>
    <cellStyle name="20 % - Markeringsfarve2 2 5 4 2 2" xfId="7822"/>
    <cellStyle name="20 % - Markeringsfarve2 2 5 4 2 2 2" xfId="18629"/>
    <cellStyle name="20 % - Markeringsfarve2 2 5 4 2 2 3" xfId="29986"/>
    <cellStyle name="20 % - Markeringsfarve2 2 5 4 2 3" xfId="13644"/>
    <cellStyle name="20 % - Markeringsfarve2 2 5 4 2 4" xfId="25002"/>
    <cellStyle name="20 % - Markeringsfarve2 2 5 4 3" xfId="4498"/>
    <cellStyle name="20 % - Markeringsfarve2 2 5 4 3 2" xfId="9483"/>
    <cellStyle name="20 % - Markeringsfarve2 2 5 4 3 2 2" xfId="20290"/>
    <cellStyle name="20 % - Markeringsfarve2 2 5 4 3 2 3" xfId="31647"/>
    <cellStyle name="20 % - Markeringsfarve2 2 5 4 3 3" xfId="15305"/>
    <cellStyle name="20 % - Markeringsfarve2 2 5 4 3 4" xfId="26663"/>
    <cellStyle name="20 % - Markeringsfarve2 2 5 4 4" xfId="6160"/>
    <cellStyle name="20 % - Markeringsfarve2 2 5 4 4 2" xfId="16968"/>
    <cellStyle name="20 % - Markeringsfarve2 2 5 4 4 3" xfId="28325"/>
    <cellStyle name="20 % - Markeringsfarve2 2 5 4 5" xfId="11983"/>
    <cellStyle name="20 % - Markeringsfarve2 2 5 4 6" xfId="23341"/>
    <cellStyle name="20 % - Markeringsfarve2 2 5 5" xfId="2004"/>
    <cellStyle name="20 % - Markeringsfarve2 2 5 5 2" xfId="6992"/>
    <cellStyle name="20 % - Markeringsfarve2 2 5 5 2 2" xfId="17800"/>
    <cellStyle name="20 % - Markeringsfarve2 2 5 5 2 3" xfId="29157"/>
    <cellStyle name="20 % - Markeringsfarve2 2 5 5 3" xfId="12815"/>
    <cellStyle name="20 % - Markeringsfarve2 2 5 5 4" xfId="24173"/>
    <cellStyle name="20 % - Markeringsfarve2 2 5 6" xfId="3669"/>
    <cellStyle name="20 % - Markeringsfarve2 2 5 6 2" xfId="8654"/>
    <cellStyle name="20 % - Markeringsfarve2 2 5 6 2 2" xfId="19461"/>
    <cellStyle name="20 % - Markeringsfarve2 2 5 6 2 3" xfId="30818"/>
    <cellStyle name="20 % - Markeringsfarve2 2 5 6 3" xfId="14476"/>
    <cellStyle name="20 % - Markeringsfarve2 2 5 6 4" xfId="25834"/>
    <cellStyle name="20 % - Markeringsfarve2 2 5 7" xfId="5330"/>
    <cellStyle name="20 % - Markeringsfarve2 2 5 7 2" xfId="16139"/>
    <cellStyle name="20 % - Markeringsfarve2 2 5 7 3" xfId="27496"/>
    <cellStyle name="20 % - Markeringsfarve2 2 5 8" xfId="10315"/>
    <cellStyle name="20 % - Markeringsfarve2 2 5 8 2" xfId="21122"/>
    <cellStyle name="20 % - Markeringsfarve2 2 5 8 3" xfId="32479"/>
    <cellStyle name="20 % - Markeringsfarve2 2 5 9" xfId="11149"/>
    <cellStyle name="20 % - Markeringsfarve2 2 6" xfId="355"/>
    <cellStyle name="20 % - Markeringsfarve2 2 6 10" xfId="22012"/>
    <cellStyle name="20 % - Markeringsfarve2 2 6 11" xfId="22565"/>
    <cellStyle name="20 % - Markeringsfarve2 2 6 12" xfId="33368"/>
    <cellStyle name="20 % - Markeringsfarve2 2 6 13" xfId="33643"/>
    <cellStyle name="20 % - Markeringsfarve2 2 6 14" xfId="33914"/>
    <cellStyle name="20 % - Markeringsfarve2 2 6 2" xfId="672"/>
    <cellStyle name="20 % - Markeringsfarve2 2 6 2 2" xfId="1504"/>
    <cellStyle name="20 % - Markeringsfarve2 2 6 2 2 2" xfId="3169"/>
    <cellStyle name="20 % - Markeringsfarve2 2 6 2 2 2 2" xfId="8157"/>
    <cellStyle name="20 % - Markeringsfarve2 2 6 2 2 2 2 2" xfId="18964"/>
    <cellStyle name="20 % - Markeringsfarve2 2 6 2 2 2 2 3" xfId="30321"/>
    <cellStyle name="20 % - Markeringsfarve2 2 6 2 2 2 3" xfId="13979"/>
    <cellStyle name="20 % - Markeringsfarve2 2 6 2 2 2 4" xfId="25337"/>
    <cellStyle name="20 % - Markeringsfarve2 2 6 2 2 3" xfId="4833"/>
    <cellStyle name="20 % - Markeringsfarve2 2 6 2 2 3 2" xfId="9818"/>
    <cellStyle name="20 % - Markeringsfarve2 2 6 2 2 3 2 2" xfId="20625"/>
    <cellStyle name="20 % - Markeringsfarve2 2 6 2 2 3 2 3" xfId="31982"/>
    <cellStyle name="20 % - Markeringsfarve2 2 6 2 2 3 3" xfId="15640"/>
    <cellStyle name="20 % - Markeringsfarve2 2 6 2 2 3 4" xfId="26998"/>
    <cellStyle name="20 % - Markeringsfarve2 2 6 2 2 4" xfId="6495"/>
    <cellStyle name="20 % - Markeringsfarve2 2 6 2 2 4 2" xfId="17303"/>
    <cellStyle name="20 % - Markeringsfarve2 2 6 2 2 4 3" xfId="28660"/>
    <cellStyle name="20 % - Markeringsfarve2 2 6 2 2 5" xfId="12318"/>
    <cellStyle name="20 % - Markeringsfarve2 2 6 2 2 6" xfId="23676"/>
    <cellStyle name="20 % - Markeringsfarve2 2 6 2 3" xfId="2338"/>
    <cellStyle name="20 % - Markeringsfarve2 2 6 2 3 2" xfId="7326"/>
    <cellStyle name="20 % - Markeringsfarve2 2 6 2 3 2 2" xfId="18133"/>
    <cellStyle name="20 % - Markeringsfarve2 2 6 2 3 2 3" xfId="29490"/>
    <cellStyle name="20 % - Markeringsfarve2 2 6 2 3 3" xfId="13148"/>
    <cellStyle name="20 % - Markeringsfarve2 2 6 2 3 4" xfId="24506"/>
    <cellStyle name="20 % - Markeringsfarve2 2 6 2 4" xfId="4002"/>
    <cellStyle name="20 % - Markeringsfarve2 2 6 2 4 2" xfId="8987"/>
    <cellStyle name="20 % - Markeringsfarve2 2 6 2 4 2 2" xfId="19794"/>
    <cellStyle name="20 % - Markeringsfarve2 2 6 2 4 2 3" xfId="31151"/>
    <cellStyle name="20 % - Markeringsfarve2 2 6 2 4 3" xfId="14809"/>
    <cellStyle name="20 % - Markeringsfarve2 2 6 2 4 4" xfId="26167"/>
    <cellStyle name="20 % - Markeringsfarve2 2 6 2 5" xfId="5664"/>
    <cellStyle name="20 % - Markeringsfarve2 2 6 2 5 2" xfId="16472"/>
    <cellStyle name="20 % - Markeringsfarve2 2 6 2 5 3" xfId="27829"/>
    <cellStyle name="20 % - Markeringsfarve2 2 6 2 6" xfId="10651"/>
    <cellStyle name="20 % - Markeringsfarve2 2 6 2 6 2" xfId="21458"/>
    <cellStyle name="20 % - Markeringsfarve2 2 6 2 6 3" xfId="32815"/>
    <cellStyle name="20 % - Markeringsfarve2 2 6 2 7" xfId="11485"/>
    <cellStyle name="20 % - Markeringsfarve2 2 6 2 8" xfId="22291"/>
    <cellStyle name="20 % - Markeringsfarve2 2 6 2 9" xfId="22845"/>
    <cellStyle name="20 % - Markeringsfarve2 2 6 3" xfId="946"/>
    <cellStyle name="20 % - Markeringsfarve2 2 6 3 2" xfId="1778"/>
    <cellStyle name="20 % - Markeringsfarve2 2 6 3 2 2" xfId="3443"/>
    <cellStyle name="20 % - Markeringsfarve2 2 6 3 2 2 2" xfId="8431"/>
    <cellStyle name="20 % - Markeringsfarve2 2 6 3 2 2 2 2" xfId="19238"/>
    <cellStyle name="20 % - Markeringsfarve2 2 6 3 2 2 2 3" xfId="30595"/>
    <cellStyle name="20 % - Markeringsfarve2 2 6 3 2 2 3" xfId="14253"/>
    <cellStyle name="20 % - Markeringsfarve2 2 6 3 2 2 4" xfId="25611"/>
    <cellStyle name="20 % - Markeringsfarve2 2 6 3 2 3" xfId="5107"/>
    <cellStyle name="20 % - Markeringsfarve2 2 6 3 2 3 2" xfId="10092"/>
    <cellStyle name="20 % - Markeringsfarve2 2 6 3 2 3 2 2" xfId="20899"/>
    <cellStyle name="20 % - Markeringsfarve2 2 6 3 2 3 2 3" xfId="32256"/>
    <cellStyle name="20 % - Markeringsfarve2 2 6 3 2 3 3" xfId="15914"/>
    <cellStyle name="20 % - Markeringsfarve2 2 6 3 2 3 4" xfId="27272"/>
    <cellStyle name="20 % - Markeringsfarve2 2 6 3 2 4" xfId="6769"/>
    <cellStyle name="20 % - Markeringsfarve2 2 6 3 2 4 2" xfId="17577"/>
    <cellStyle name="20 % - Markeringsfarve2 2 6 3 2 4 3" xfId="28934"/>
    <cellStyle name="20 % - Markeringsfarve2 2 6 3 2 5" xfId="12592"/>
    <cellStyle name="20 % - Markeringsfarve2 2 6 3 2 6" xfId="23950"/>
    <cellStyle name="20 % - Markeringsfarve2 2 6 3 3" xfId="2612"/>
    <cellStyle name="20 % - Markeringsfarve2 2 6 3 3 2" xfId="7600"/>
    <cellStyle name="20 % - Markeringsfarve2 2 6 3 3 2 2" xfId="18407"/>
    <cellStyle name="20 % - Markeringsfarve2 2 6 3 3 2 3" xfId="29764"/>
    <cellStyle name="20 % - Markeringsfarve2 2 6 3 3 3" xfId="13422"/>
    <cellStyle name="20 % - Markeringsfarve2 2 6 3 3 4" xfId="24780"/>
    <cellStyle name="20 % - Markeringsfarve2 2 6 3 4" xfId="4276"/>
    <cellStyle name="20 % - Markeringsfarve2 2 6 3 4 2" xfId="9261"/>
    <cellStyle name="20 % - Markeringsfarve2 2 6 3 4 2 2" xfId="20068"/>
    <cellStyle name="20 % - Markeringsfarve2 2 6 3 4 2 3" xfId="31425"/>
    <cellStyle name="20 % - Markeringsfarve2 2 6 3 4 3" xfId="15083"/>
    <cellStyle name="20 % - Markeringsfarve2 2 6 3 4 4" xfId="26441"/>
    <cellStyle name="20 % - Markeringsfarve2 2 6 3 5" xfId="5938"/>
    <cellStyle name="20 % - Markeringsfarve2 2 6 3 5 2" xfId="16746"/>
    <cellStyle name="20 % - Markeringsfarve2 2 6 3 5 3" xfId="28103"/>
    <cellStyle name="20 % - Markeringsfarve2 2 6 3 6" xfId="10925"/>
    <cellStyle name="20 % - Markeringsfarve2 2 6 3 6 2" xfId="21732"/>
    <cellStyle name="20 % - Markeringsfarve2 2 6 3 6 3" xfId="33089"/>
    <cellStyle name="20 % - Markeringsfarve2 2 6 3 7" xfId="11760"/>
    <cellStyle name="20 % - Markeringsfarve2 2 6 3 8" xfId="23119"/>
    <cellStyle name="20 % - Markeringsfarve2 2 6 4" xfId="1225"/>
    <cellStyle name="20 % - Markeringsfarve2 2 6 4 2" xfId="2890"/>
    <cellStyle name="20 % - Markeringsfarve2 2 6 4 2 2" xfId="7878"/>
    <cellStyle name="20 % - Markeringsfarve2 2 6 4 2 2 2" xfId="18685"/>
    <cellStyle name="20 % - Markeringsfarve2 2 6 4 2 2 3" xfId="30042"/>
    <cellStyle name="20 % - Markeringsfarve2 2 6 4 2 3" xfId="13700"/>
    <cellStyle name="20 % - Markeringsfarve2 2 6 4 2 4" xfId="25058"/>
    <cellStyle name="20 % - Markeringsfarve2 2 6 4 3" xfId="4554"/>
    <cellStyle name="20 % - Markeringsfarve2 2 6 4 3 2" xfId="9539"/>
    <cellStyle name="20 % - Markeringsfarve2 2 6 4 3 2 2" xfId="20346"/>
    <cellStyle name="20 % - Markeringsfarve2 2 6 4 3 2 3" xfId="31703"/>
    <cellStyle name="20 % - Markeringsfarve2 2 6 4 3 3" xfId="15361"/>
    <cellStyle name="20 % - Markeringsfarve2 2 6 4 3 4" xfId="26719"/>
    <cellStyle name="20 % - Markeringsfarve2 2 6 4 4" xfId="6216"/>
    <cellStyle name="20 % - Markeringsfarve2 2 6 4 4 2" xfId="17024"/>
    <cellStyle name="20 % - Markeringsfarve2 2 6 4 4 3" xfId="28381"/>
    <cellStyle name="20 % - Markeringsfarve2 2 6 4 5" xfId="12039"/>
    <cellStyle name="20 % - Markeringsfarve2 2 6 4 6" xfId="23397"/>
    <cellStyle name="20 % - Markeringsfarve2 2 6 5" xfId="2060"/>
    <cellStyle name="20 % - Markeringsfarve2 2 6 5 2" xfId="7048"/>
    <cellStyle name="20 % - Markeringsfarve2 2 6 5 2 2" xfId="17856"/>
    <cellStyle name="20 % - Markeringsfarve2 2 6 5 2 3" xfId="29213"/>
    <cellStyle name="20 % - Markeringsfarve2 2 6 5 3" xfId="12871"/>
    <cellStyle name="20 % - Markeringsfarve2 2 6 5 4" xfId="24229"/>
    <cellStyle name="20 % - Markeringsfarve2 2 6 6" xfId="3725"/>
    <cellStyle name="20 % - Markeringsfarve2 2 6 6 2" xfId="8710"/>
    <cellStyle name="20 % - Markeringsfarve2 2 6 6 2 2" xfId="19517"/>
    <cellStyle name="20 % - Markeringsfarve2 2 6 6 2 3" xfId="30874"/>
    <cellStyle name="20 % - Markeringsfarve2 2 6 6 3" xfId="14532"/>
    <cellStyle name="20 % - Markeringsfarve2 2 6 6 4" xfId="25890"/>
    <cellStyle name="20 % - Markeringsfarve2 2 6 7" xfId="5386"/>
    <cellStyle name="20 % - Markeringsfarve2 2 6 7 2" xfId="16195"/>
    <cellStyle name="20 % - Markeringsfarve2 2 6 7 3" xfId="27552"/>
    <cellStyle name="20 % - Markeringsfarve2 2 6 8" xfId="10371"/>
    <cellStyle name="20 % - Markeringsfarve2 2 6 8 2" xfId="21178"/>
    <cellStyle name="20 % - Markeringsfarve2 2 6 8 3" xfId="32535"/>
    <cellStyle name="20 % - Markeringsfarve2 2 6 9" xfId="11205"/>
    <cellStyle name="20 % - Markeringsfarve2 2 7" xfId="456"/>
    <cellStyle name="20 % - Markeringsfarve2 2 7 2" xfId="1286"/>
    <cellStyle name="20 % - Markeringsfarve2 2 7 2 2" xfId="2951"/>
    <cellStyle name="20 % - Markeringsfarve2 2 7 2 2 2" xfId="7939"/>
    <cellStyle name="20 % - Markeringsfarve2 2 7 2 2 2 2" xfId="18746"/>
    <cellStyle name="20 % - Markeringsfarve2 2 7 2 2 2 3" xfId="30103"/>
    <cellStyle name="20 % - Markeringsfarve2 2 7 2 2 3" xfId="13761"/>
    <cellStyle name="20 % - Markeringsfarve2 2 7 2 2 4" xfId="25119"/>
    <cellStyle name="20 % - Markeringsfarve2 2 7 2 3" xfId="4615"/>
    <cellStyle name="20 % - Markeringsfarve2 2 7 2 3 2" xfId="9600"/>
    <cellStyle name="20 % - Markeringsfarve2 2 7 2 3 2 2" xfId="20407"/>
    <cellStyle name="20 % - Markeringsfarve2 2 7 2 3 2 3" xfId="31764"/>
    <cellStyle name="20 % - Markeringsfarve2 2 7 2 3 3" xfId="15422"/>
    <cellStyle name="20 % - Markeringsfarve2 2 7 2 3 4" xfId="26780"/>
    <cellStyle name="20 % - Markeringsfarve2 2 7 2 4" xfId="6277"/>
    <cellStyle name="20 % - Markeringsfarve2 2 7 2 4 2" xfId="17085"/>
    <cellStyle name="20 % - Markeringsfarve2 2 7 2 4 3" xfId="28442"/>
    <cellStyle name="20 % - Markeringsfarve2 2 7 2 5" xfId="12100"/>
    <cellStyle name="20 % - Markeringsfarve2 2 7 2 6" xfId="23458"/>
    <cellStyle name="20 % - Markeringsfarve2 2 7 3" xfId="2122"/>
    <cellStyle name="20 % - Markeringsfarve2 2 7 3 2" xfId="7110"/>
    <cellStyle name="20 % - Markeringsfarve2 2 7 3 2 2" xfId="17917"/>
    <cellStyle name="20 % - Markeringsfarve2 2 7 3 2 3" xfId="29274"/>
    <cellStyle name="20 % - Markeringsfarve2 2 7 3 3" xfId="12932"/>
    <cellStyle name="20 % - Markeringsfarve2 2 7 3 4" xfId="24290"/>
    <cellStyle name="20 % - Markeringsfarve2 2 7 4" xfId="3786"/>
    <cellStyle name="20 % - Markeringsfarve2 2 7 4 2" xfId="8771"/>
    <cellStyle name="20 % - Markeringsfarve2 2 7 4 2 2" xfId="19578"/>
    <cellStyle name="20 % - Markeringsfarve2 2 7 4 2 3" xfId="30935"/>
    <cellStyle name="20 % - Markeringsfarve2 2 7 4 3" xfId="14593"/>
    <cellStyle name="20 % - Markeringsfarve2 2 7 4 4" xfId="25951"/>
    <cellStyle name="20 % - Markeringsfarve2 2 7 5" xfId="5448"/>
    <cellStyle name="20 % - Markeringsfarve2 2 7 5 2" xfId="16256"/>
    <cellStyle name="20 % - Markeringsfarve2 2 7 5 3" xfId="27613"/>
    <cellStyle name="20 % - Markeringsfarve2 2 7 6" xfId="10454"/>
    <cellStyle name="20 % - Markeringsfarve2 2 7 6 2" xfId="21261"/>
    <cellStyle name="20 % - Markeringsfarve2 2 7 6 3" xfId="32618"/>
    <cellStyle name="20 % - Markeringsfarve2 2 7 7" xfId="11267"/>
    <cellStyle name="20 % - Markeringsfarve2 2 7 8" xfId="22073"/>
    <cellStyle name="20 % - Markeringsfarve2 2 7 9" xfId="22627"/>
    <cellStyle name="20 % - Markeringsfarve2 2 8" xfId="728"/>
    <cellStyle name="20 % - Markeringsfarve2 2 8 2" xfId="1560"/>
    <cellStyle name="20 % - Markeringsfarve2 2 8 2 2" xfId="3225"/>
    <cellStyle name="20 % - Markeringsfarve2 2 8 2 2 2" xfId="8213"/>
    <cellStyle name="20 % - Markeringsfarve2 2 8 2 2 2 2" xfId="19020"/>
    <cellStyle name="20 % - Markeringsfarve2 2 8 2 2 2 3" xfId="30377"/>
    <cellStyle name="20 % - Markeringsfarve2 2 8 2 2 3" xfId="14035"/>
    <cellStyle name="20 % - Markeringsfarve2 2 8 2 2 4" xfId="25393"/>
    <cellStyle name="20 % - Markeringsfarve2 2 8 2 3" xfId="4889"/>
    <cellStyle name="20 % - Markeringsfarve2 2 8 2 3 2" xfId="9874"/>
    <cellStyle name="20 % - Markeringsfarve2 2 8 2 3 2 2" xfId="20681"/>
    <cellStyle name="20 % - Markeringsfarve2 2 8 2 3 2 3" xfId="32038"/>
    <cellStyle name="20 % - Markeringsfarve2 2 8 2 3 3" xfId="15696"/>
    <cellStyle name="20 % - Markeringsfarve2 2 8 2 3 4" xfId="27054"/>
    <cellStyle name="20 % - Markeringsfarve2 2 8 2 4" xfId="6551"/>
    <cellStyle name="20 % - Markeringsfarve2 2 8 2 4 2" xfId="17359"/>
    <cellStyle name="20 % - Markeringsfarve2 2 8 2 4 3" xfId="28716"/>
    <cellStyle name="20 % - Markeringsfarve2 2 8 2 5" xfId="12374"/>
    <cellStyle name="20 % - Markeringsfarve2 2 8 2 6" xfId="23732"/>
    <cellStyle name="20 % - Markeringsfarve2 2 8 3" xfId="2394"/>
    <cellStyle name="20 % - Markeringsfarve2 2 8 3 2" xfId="7382"/>
    <cellStyle name="20 % - Markeringsfarve2 2 8 3 2 2" xfId="18189"/>
    <cellStyle name="20 % - Markeringsfarve2 2 8 3 2 3" xfId="29546"/>
    <cellStyle name="20 % - Markeringsfarve2 2 8 3 3" xfId="13204"/>
    <cellStyle name="20 % - Markeringsfarve2 2 8 3 4" xfId="24562"/>
    <cellStyle name="20 % - Markeringsfarve2 2 8 4" xfId="4058"/>
    <cellStyle name="20 % - Markeringsfarve2 2 8 4 2" xfId="9043"/>
    <cellStyle name="20 % - Markeringsfarve2 2 8 4 2 2" xfId="19850"/>
    <cellStyle name="20 % - Markeringsfarve2 2 8 4 2 3" xfId="31207"/>
    <cellStyle name="20 % - Markeringsfarve2 2 8 4 3" xfId="14865"/>
    <cellStyle name="20 % - Markeringsfarve2 2 8 4 4" xfId="26223"/>
    <cellStyle name="20 % - Markeringsfarve2 2 8 5" xfId="5720"/>
    <cellStyle name="20 % - Markeringsfarve2 2 8 5 2" xfId="16528"/>
    <cellStyle name="20 % - Markeringsfarve2 2 8 5 3" xfId="27885"/>
    <cellStyle name="20 % - Markeringsfarve2 2 8 6" xfId="10707"/>
    <cellStyle name="20 % - Markeringsfarve2 2 8 6 2" xfId="21514"/>
    <cellStyle name="20 % - Markeringsfarve2 2 8 6 3" xfId="32871"/>
    <cellStyle name="20 % - Markeringsfarve2 2 8 7" xfId="11542"/>
    <cellStyle name="20 % - Markeringsfarve2 2 8 8" xfId="22901"/>
    <cellStyle name="20 % - Markeringsfarve2 2 9" xfId="1007"/>
    <cellStyle name="20 % - Markeringsfarve2 2 9 2" xfId="2672"/>
    <cellStyle name="20 % - Markeringsfarve2 2 9 2 2" xfId="7660"/>
    <cellStyle name="20 % - Markeringsfarve2 2 9 2 2 2" xfId="18467"/>
    <cellStyle name="20 % - Markeringsfarve2 2 9 2 2 3" xfId="29824"/>
    <cellStyle name="20 % - Markeringsfarve2 2 9 2 3" xfId="13482"/>
    <cellStyle name="20 % - Markeringsfarve2 2 9 2 4" xfId="24840"/>
    <cellStyle name="20 % - Markeringsfarve2 2 9 3" xfId="4336"/>
    <cellStyle name="20 % - Markeringsfarve2 2 9 3 2" xfId="9321"/>
    <cellStyle name="20 % - Markeringsfarve2 2 9 3 2 2" xfId="20128"/>
    <cellStyle name="20 % - Markeringsfarve2 2 9 3 2 3" xfId="31485"/>
    <cellStyle name="20 % - Markeringsfarve2 2 9 3 3" xfId="15143"/>
    <cellStyle name="20 % - Markeringsfarve2 2 9 3 4" xfId="26501"/>
    <cellStyle name="20 % - Markeringsfarve2 2 9 4" xfId="5998"/>
    <cellStyle name="20 % - Markeringsfarve2 2 9 4 2" xfId="16806"/>
    <cellStyle name="20 % - Markeringsfarve2 2 9 4 3" xfId="28163"/>
    <cellStyle name="20 % - Markeringsfarve2 2 9 5" xfId="11821"/>
    <cellStyle name="20 % - Markeringsfarve2 2 9 6" xfId="23179"/>
    <cellStyle name="20 % - Markeringsfarve2 3" xfId="179"/>
    <cellStyle name="20 % - Markeringsfarve2 3 10" xfId="21837"/>
    <cellStyle name="20 % - Markeringsfarve2 3 11" xfId="22390"/>
    <cellStyle name="20 % - Markeringsfarve2 3 12" xfId="33193"/>
    <cellStyle name="20 % - Markeringsfarve2 3 13" xfId="33466"/>
    <cellStyle name="20 % - Markeringsfarve2 3 14" xfId="33737"/>
    <cellStyle name="20 % - Markeringsfarve2 3 2" xfId="499"/>
    <cellStyle name="20 % - Markeringsfarve2 3 2 2" xfId="1329"/>
    <cellStyle name="20 % - Markeringsfarve2 3 2 2 2" xfId="2994"/>
    <cellStyle name="20 % - Markeringsfarve2 3 2 2 2 2" xfId="7982"/>
    <cellStyle name="20 % - Markeringsfarve2 3 2 2 2 2 2" xfId="18789"/>
    <cellStyle name="20 % - Markeringsfarve2 3 2 2 2 2 3" xfId="30146"/>
    <cellStyle name="20 % - Markeringsfarve2 3 2 2 2 3" xfId="13804"/>
    <cellStyle name="20 % - Markeringsfarve2 3 2 2 2 4" xfId="25162"/>
    <cellStyle name="20 % - Markeringsfarve2 3 2 2 3" xfId="4658"/>
    <cellStyle name="20 % - Markeringsfarve2 3 2 2 3 2" xfId="9643"/>
    <cellStyle name="20 % - Markeringsfarve2 3 2 2 3 2 2" xfId="20450"/>
    <cellStyle name="20 % - Markeringsfarve2 3 2 2 3 2 3" xfId="31807"/>
    <cellStyle name="20 % - Markeringsfarve2 3 2 2 3 3" xfId="15465"/>
    <cellStyle name="20 % - Markeringsfarve2 3 2 2 3 4" xfId="26823"/>
    <cellStyle name="20 % - Markeringsfarve2 3 2 2 4" xfId="6320"/>
    <cellStyle name="20 % - Markeringsfarve2 3 2 2 4 2" xfId="17128"/>
    <cellStyle name="20 % - Markeringsfarve2 3 2 2 4 3" xfId="28485"/>
    <cellStyle name="20 % - Markeringsfarve2 3 2 2 5" xfId="12143"/>
    <cellStyle name="20 % - Markeringsfarve2 3 2 2 6" xfId="23501"/>
    <cellStyle name="20 % - Markeringsfarve2 3 2 3" xfId="2165"/>
    <cellStyle name="20 % - Markeringsfarve2 3 2 3 2" xfId="7153"/>
    <cellStyle name="20 % - Markeringsfarve2 3 2 3 2 2" xfId="17960"/>
    <cellStyle name="20 % - Markeringsfarve2 3 2 3 2 3" xfId="29317"/>
    <cellStyle name="20 % - Markeringsfarve2 3 2 3 3" xfId="12975"/>
    <cellStyle name="20 % - Markeringsfarve2 3 2 3 4" xfId="24333"/>
    <cellStyle name="20 % - Markeringsfarve2 3 2 4" xfId="3829"/>
    <cellStyle name="20 % - Markeringsfarve2 3 2 4 2" xfId="8814"/>
    <cellStyle name="20 % - Markeringsfarve2 3 2 4 2 2" xfId="19621"/>
    <cellStyle name="20 % - Markeringsfarve2 3 2 4 2 3" xfId="30978"/>
    <cellStyle name="20 % - Markeringsfarve2 3 2 4 3" xfId="14636"/>
    <cellStyle name="20 % - Markeringsfarve2 3 2 4 4" xfId="25994"/>
    <cellStyle name="20 % - Markeringsfarve2 3 2 5" xfId="5491"/>
    <cellStyle name="20 % - Markeringsfarve2 3 2 5 2" xfId="16299"/>
    <cellStyle name="20 % - Markeringsfarve2 3 2 5 3" xfId="27656"/>
    <cellStyle name="20 % - Markeringsfarve2 3 2 6" xfId="10476"/>
    <cellStyle name="20 % - Markeringsfarve2 3 2 6 2" xfId="21283"/>
    <cellStyle name="20 % - Markeringsfarve2 3 2 6 3" xfId="32640"/>
    <cellStyle name="20 % - Markeringsfarve2 3 2 7" xfId="11310"/>
    <cellStyle name="20 % - Markeringsfarve2 3 2 8" xfId="22116"/>
    <cellStyle name="20 % - Markeringsfarve2 3 2 9" xfId="22670"/>
    <cellStyle name="20 % - Markeringsfarve2 3 3" xfId="771"/>
    <cellStyle name="20 % - Markeringsfarve2 3 3 2" xfId="1603"/>
    <cellStyle name="20 % - Markeringsfarve2 3 3 2 2" xfId="3268"/>
    <cellStyle name="20 % - Markeringsfarve2 3 3 2 2 2" xfId="8256"/>
    <cellStyle name="20 % - Markeringsfarve2 3 3 2 2 2 2" xfId="19063"/>
    <cellStyle name="20 % - Markeringsfarve2 3 3 2 2 2 3" xfId="30420"/>
    <cellStyle name="20 % - Markeringsfarve2 3 3 2 2 3" xfId="14078"/>
    <cellStyle name="20 % - Markeringsfarve2 3 3 2 2 4" xfId="25436"/>
    <cellStyle name="20 % - Markeringsfarve2 3 3 2 3" xfId="4932"/>
    <cellStyle name="20 % - Markeringsfarve2 3 3 2 3 2" xfId="9917"/>
    <cellStyle name="20 % - Markeringsfarve2 3 3 2 3 2 2" xfId="20724"/>
    <cellStyle name="20 % - Markeringsfarve2 3 3 2 3 2 3" xfId="32081"/>
    <cellStyle name="20 % - Markeringsfarve2 3 3 2 3 3" xfId="15739"/>
    <cellStyle name="20 % - Markeringsfarve2 3 3 2 3 4" xfId="27097"/>
    <cellStyle name="20 % - Markeringsfarve2 3 3 2 4" xfId="6594"/>
    <cellStyle name="20 % - Markeringsfarve2 3 3 2 4 2" xfId="17402"/>
    <cellStyle name="20 % - Markeringsfarve2 3 3 2 4 3" xfId="28759"/>
    <cellStyle name="20 % - Markeringsfarve2 3 3 2 5" xfId="12417"/>
    <cellStyle name="20 % - Markeringsfarve2 3 3 2 6" xfId="23775"/>
    <cellStyle name="20 % - Markeringsfarve2 3 3 3" xfId="2437"/>
    <cellStyle name="20 % - Markeringsfarve2 3 3 3 2" xfId="7425"/>
    <cellStyle name="20 % - Markeringsfarve2 3 3 3 2 2" xfId="18232"/>
    <cellStyle name="20 % - Markeringsfarve2 3 3 3 2 3" xfId="29589"/>
    <cellStyle name="20 % - Markeringsfarve2 3 3 3 3" xfId="13247"/>
    <cellStyle name="20 % - Markeringsfarve2 3 3 3 4" xfId="24605"/>
    <cellStyle name="20 % - Markeringsfarve2 3 3 4" xfId="4101"/>
    <cellStyle name="20 % - Markeringsfarve2 3 3 4 2" xfId="9086"/>
    <cellStyle name="20 % - Markeringsfarve2 3 3 4 2 2" xfId="19893"/>
    <cellStyle name="20 % - Markeringsfarve2 3 3 4 2 3" xfId="31250"/>
    <cellStyle name="20 % - Markeringsfarve2 3 3 4 3" xfId="14908"/>
    <cellStyle name="20 % - Markeringsfarve2 3 3 4 4" xfId="26266"/>
    <cellStyle name="20 % - Markeringsfarve2 3 3 5" xfId="5763"/>
    <cellStyle name="20 % - Markeringsfarve2 3 3 5 2" xfId="16571"/>
    <cellStyle name="20 % - Markeringsfarve2 3 3 5 3" xfId="27928"/>
    <cellStyle name="20 % - Markeringsfarve2 3 3 6" xfId="10750"/>
    <cellStyle name="20 % - Markeringsfarve2 3 3 6 2" xfId="21557"/>
    <cellStyle name="20 % - Markeringsfarve2 3 3 6 3" xfId="32914"/>
    <cellStyle name="20 % - Markeringsfarve2 3 3 7" xfId="11585"/>
    <cellStyle name="20 % - Markeringsfarve2 3 3 8" xfId="22944"/>
    <cellStyle name="20 % - Markeringsfarve2 3 4" xfId="1050"/>
    <cellStyle name="20 % - Markeringsfarve2 3 4 2" xfId="2715"/>
    <cellStyle name="20 % - Markeringsfarve2 3 4 2 2" xfId="7703"/>
    <cellStyle name="20 % - Markeringsfarve2 3 4 2 2 2" xfId="18510"/>
    <cellStyle name="20 % - Markeringsfarve2 3 4 2 2 3" xfId="29867"/>
    <cellStyle name="20 % - Markeringsfarve2 3 4 2 3" xfId="13525"/>
    <cellStyle name="20 % - Markeringsfarve2 3 4 2 4" xfId="24883"/>
    <cellStyle name="20 % - Markeringsfarve2 3 4 3" xfId="4379"/>
    <cellStyle name="20 % - Markeringsfarve2 3 4 3 2" xfId="9364"/>
    <cellStyle name="20 % - Markeringsfarve2 3 4 3 2 2" xfId="20171"/>
    <cellStyle name="20 % - Markeringsfarve2 3 4 3 2 3" xfId="31528"/>
    <cellStyle name="20 % - Markeringsfarve2 3 4 3 3" xfId="15186"/>
    <cellStyle name="20 % - Markeringsfarve2 3 4 3 4" xfId="26544"/>
    <cellStyle name="20 % - Markeringsfarve2 3 4 4" xfId="6041"/>
    <cellStyle name="20 % - Markeringsfarve2 3 4 4 2" xfId="16849"/>
    <cellStyle name="20 % - Markeringsfarve2 3 4 4 3" xfId="28206"/>
    <cellStyle name="20 % - Markeringsfarve2 3 4 5" xfId="11864"/>
    <cellStyle name="20 % - Markeringsfarve2 3 4 6" xfId="23222"/>
    <cellStyle name="20 % - Markeringsfarve2 3 5" xfId="1885"/>
    <cellStyle name="20 % - Markeringsfarve2 3 5 2" xfId="6873"/>
    <cellStyle name="20 % - Markeringsfarve2 3 5 2 2" xfId="17681"/>
    <cellStyle name="20 % - Markeringsfarve2 3 5 2 3" xfId="29038"/>
    <cellStyle name="20 % - Markeringsfarve2 3 5 3" xfId="12696"/>
    <cellStyle name="20 % - Markeringsfarve2 3 5 4" xfId="24054"/>
    <cellStyle name="20 % - Markeringsfarve2 3 6" xfId="3550"/>
    <cellStyle name="20 % - Markeringsfarve2 3 6 2" xfId="8535"/>
    <cellStyle name="20 % - Markeringsfarve2 3 6 2 2" xfId="19342"/>
    <cellStyle name="20 % - Markeringsfarve2 3 6 2 3" xfId="30699"/>
    <cellStyle name="20 % - Markeringsfarve2 3 6 3" xfId="14357"/>
    <cellStyle name="20 % - Markeringsfarve2 3 6 4" xfId="25715"/>
    <cellStyle name="20 % - Markeringsfarve2 3 7" xfId="5211"/>
    <cellStyle name="20 % - Markeringsfarve2 3 7 2" xfId="16020"/>
    <cellStyle name="20 % - Markeringsfarve2 3 7 3" xfId="27377"/>
    <cellStyle name="20 % - Markeringsfarve2 3 8" xfId="10196"/>
    <cellStyle name="20 % - Markeringsfarve2 3 8 2" xfId="21003"/>
    <cellStyle name="20 % - Markeringsfarve2 3 8 3" xfId="32360"/>
    <cellStyle name="20 % - Markeringsfarve2 3 9" xfId="11030"/>
    <cellStyle name="20 % - Markeringsfarve2 4" xfId="232"/>
    <cellStyle name="20 % - Markeringsfarve2 4 10" xfId="21890"/>
    <cellStyle name="20 % - Markeringsfarve2 4 11" xfId="22443"/>
    <cellStyle name="20 % - Markeringsfarve2 4 12" xfId="33246"/>
    <cellStyle name="20 % - Markeringsfarve2 4 13" xfId="33521"/>
    <cellStyle name="20 % - Markeringsfarve2 4 14" xfId="33792"/>
    <cellStyle name="20 % - Markeringsfarve2 4 2" xfId="550"/>
    <cellStyle name="20 % - Markeringsfarve2 4 2 2" xfId="1382"/>
    <cellStyle name="20 % - Markeringsfarve2 4 2 2 2" xfId="3047"/>
    <cellStyle name="20 % - Markeringsfarve2 4 2 2 2 2" xfId="8035"/>
    <cellStyle name="20 % - Markeringsfarve2 4 2 2 2 2 2" xfId="18842"/>
    <cellStyle name="20 % - Markeringsfarve2 4 2 2 2 2 3" xfId="30199"/>
    <cellStyle name="20 % - Markeringsfarve2 4 2 2 2 3" xfId="13857"/>
    <cellStyle name="20 % - Markeringsfarve2 4 2 2 2 4" xfId="25215"/>
    <cellStyle name="20 % - Markeringsfarve2 4 2 2 3" xfId="4711"/>
    <cellStyle name="20 % - Markeringsfarve2 4 2 2 3 2" xfId="9696"/>
    <cellStyle name="20 % - Markeringsfarve2 4 2 2 3 2 2" xfId="20503"/>
    <cellStyle name="20 % - Markeringsfarve2 4 2 2 3 2 3" xfId="31860"/>
    <cellStyle name="20 % - Markeringsfarve2 4 2 2 3 3" xfId="15518"/>
    <cellStyle name="20 % - Markeringsfarve2 4 2 2 3 4" xfId="26876"/>
    <cellStyle name="20 % - Markeringsfarve2 4 2 2 4" xfId="6373"/>
    <cellStyle name="20 % - Markeringsfarve2 4 2 2 4 2" xfId="17181"/>
    <cellStyle name="20 % - Markeringsfarve2 4 2 2 4 3" xfId="28538"/>
    <cellStyle name="20 % - Markeringsfarve2 4 2 2 5" xfId="12196"/>
    <cellStyle name="20 % - Markeringsfarve2 4 2 2 6" xfId="23554"/>
    <cellStyle name="20 % - Markeringsfarve2 4 2 3" xfId="2216"/>
    <cellStyle name="20 % - Markeringsfarve2 4 2 3 2" xfId="7204"/>
    <cellStyle name="20 % - Markeringsfarve2 4 2 3 2 2" xfId="18011"/>
    <cellStyle name="20 % - Markeringsfarve2 4 2 3 2 3" xfId="29368"/>
    <cellStyle name="20 % - Markeringsfarve2 4 2 3 3" xfId="13026"/>
    <cellStyle name="20 % - Markeringsfarve2 4 2 3 4" xfId="24384"/>
    <cellStyle name="20 % - Markeringsfarve2 4 2 4" xfId="3880"/>
    <cellStyle name="20 % - Markeringsfarve2 4 2 4 2" xfId="8865"/>
    <cellStyle name="20 % - Markeringsfarve2 4 2 4 2 2" xfId="19672"/>
    <cellStyle name="20 % - Markeringsfarve2 4 2 4 2 3" xfId="31029"/>
    <cellStyle name="20 % - Markeringsfarve2 4 2 4 3" xfId="14687"/>
    <cellStyle name="20 % - Markeringsfarve2 4 2 4 4" xfId="26045"/>
    <cellStyle name="20 % - Markeringsfarve2 4 2 5" xfId="5542"/>
    <cellStyle name="20 % - Markeringsfarve2 4 2 5 2" xfId="16350"/>
    <cellStyle name="20 % - Markeringsfarve2 4 2 5 3" xfId="27707"/>
    <cellStyle name="20 % - Markeringsfarve2 4 2 6" xfId="10529"/>
    <cellStyle name="20 % - Markeringsfarve2 4 2 6 2" xfId="21336"/>
    <cellStyle name="20 % - Markeringsfarve2 4 2 6 3" xfId="32693"/>
    <cellStyle name="20 % - Markeringsfarve2 4 2 7" xfId="11363"/>
    <cellStyle name="20 % - Markeringsfarve2 4 2 8" xfId="22169"/>
    <cellStyle name="20 % - Markeringsfarve2 4 2 9" xfId="22723"/>
    <cellStyle name="20 % - Markeringsfarve2 4 3" xfId="824"/>
    <cellStyle name="20 % - Markeringsfarve2 4 3 2" xfId="1656"/>
    <cellStyle name="20 % - Markeringsfarve2 4 3 2 2" xfId="3321"/>
    <cellStyle name="20 % - Markeringsfarve2 4 3 2 2 2" xfId="8309"/>
    <cellStyle name="20 % - Markeringsfarve2 4 3 2 2 2 2" xfId="19116"/>
    <cellStyle name="20 % - Markeringsfarve2 4 3 2 2 2 3" xfId="30473"/>
    <cellStyle name="20 % - Markeringsfarve2 4 3 2 2 3" xfId="14131"/>
    <cellStyle name="20 % - Markeringsfarve2 4 3 2 2 4" xfId="25489"/>
    <cellStyle name="20 % - Markeringsfarve2 4 3 2 3" xfId="4985"/>
    <cellStyle name="20 % - Markeringsfarve2 4 3 2 3 2" xfId="9970"/>
    <cellStyle name="20 % - Markeringsfarve2 4 3 2 3 2 2" xfId="20777"/>
    <cellStyle name="20 % - Markeringsfarve2 4 3 2 3 2 3" xfId="32134"/>
    <cellStyle name="20 % - Markeringsfarve2 4 3 2 3 3" xfId="15792"/>
    <cellStyle name="20 % - Markeringsfarve2 4 3 2 3 4" xfId="27150"/>
    <cellStyle name="20 % - Markeringsfarve2 4 3 2 4" xfId="6647"/>
    <cellStyle name="20 % - Markeringsfarve2 4 3 2 4 2" xfId="17455"/>
    <cellStyle name="20 % - Markeringsfarve2 4 3 2 4 3" xfId="28812"/>
    <cellStyle name="20 % - Markeringsfarve2 4 3 2 5" xfId="12470"/>
    <cellStyle name="20 % - Markeringsfarve2 4 3 2 6" xfId="23828"/>
    <cellStyle name="20 % - Markeringsfarve2 4 3 3" xfId="2490"/>
    <cellStyle name="20 % - Markeringsfarve2 4 3 3 2" xfId="7478"/>
    <cellStyle name="20 % - Markeringsfarve2 4 3 3 2 2" xfId="18285"/>
    <cellStyle name="20 % - Markeringsfarve2 4 3 3 2 3" xfId="29642"/>
    <cellStyle name="20 % - Markeringsfarve2 4 3 3 3" xfId="13300"/>
    <cellStyle name="20 % - Markeringsfarve2 4 3 3 4" xfId="24658"/>
    <cellStyle name="20 % - Markeringsfarve2 4 3 4" xfId="4154"/>
    <cellStyle name="20 % - Markeringsfarve2 4 3 4 2" xfId="9139"/>
    <cellStyle name="20 % - Markeringsfarve2 4 3 4 2 2" xfId="19946"/>
    <cellStyle name="20 % - Markeringsfarve2 4 3 4 2 3" xfId="31303"/>
    <cellStyle name="20 % - Markeringsfarve2 4 3 4 3" xfId="14961"/>
    <cellStyle name="20 % - Markeringsfarve2 4 3 4 4" xfId="26319"/>
    <cellStyle name="20 % - Markeringsfarve2 4 3 5" xfId="5816"/>
    <cellStyle name="20 % - Markeringsfarve2 4 3 5 2" xfId="16624"/>
    <cellStyle name="20 % - Markeringsfarve2 4 3 5 3" xfId="27981"/>
    <cellStyle name="20 % - Markeringsfarve2 4 3 6" xfId="10803"/>
    <cellStyle name="20 % - Markeringsfarve2 4 3 6 2" xfId="21610"/>
    <cellStyle name="20 % - Markeringsfarve2 4 3 6 3" xfId="32967"/>
    <cellStyle name="20 % - Markeringsfarve2 4 3 7" xfId="11638"/>
    <cellStyle name="20 % - Markeringsfarve2 4 3 8" xfId="22997"/>
    <cellStyle name="20 % - Markeringsfarve2 4 4" xfId="1103"/>
    <cellStyle name="20 % - Markeringsfarve2 4 4 2" xfId="2768"/>
    <cellStyle name="20 % - Markeringsfarve2 4 4 2 2" xfId="7756"/>
    <cellStyle name="20 % - Markeringsfarve2 4 4 2 2 2" xfId="18563"/>
    <cellStyle name="20 % - Markeringsfarve2 4 4 2 2 3" xfId="29920"/>
    <cellStyle name="20 % - Markeringsfarve2 4 4 2 3" xfId="13578"/>
    <cellStyle name="20 % - Markeringsfarve2 4 4 2 4" xfId="24936"/>
    <cellStyle name="20 % - Markeringsfarve2 4 4 3" xfId="4432"/>
    <cellStyle name="20 % - Markeringsfarve2 4 4 3 2" xfId="9417"/>
    <cellStyle name="20 % - Markeringsfarve2 4 4 3 2 2" xfId="20224"/>
    <cellStyle name="20 % - Markeringsfarve2 4 4 3 2 3" xfId="31581"/>
    <cellStyle name="20 % - Markeringsfarve2 4 4 3 3" xfId="15239"/>
    <cellStyle name="20 % - Markeringsfarve2 4 4 3 4" xfId="26597"/>
    <cellStyle name="20 % - Markeringsfarve2 4 4 4" xfId="6094"/>
    <cellStyle name="20 % - Markeringsfarve2 4 4 4 2" xfId="16902"/>
    <cellStyle name="20 % - Markeringsfarve2 4 4 4 3" xfId="28259"/>
    <cellStyle name="20 % - Markeringsfarve2 4 4 5" xfId="11917"/>
    <cellStyle name="20 % - Markeringsfarve2 4 4 6" xfId="23275"/>
    <cellStyle name="20 % - Markeringsfarve2 4 5" xfId="1938"/>
    <cellStyle name="20 % - Markeringsfarve2 4 5 2" xfId="6926"/>
    <cellStyle name="20 % - Markeringsfarve2 4 5 2 2" xfId="17734"/>
    <cellStyle name="20 % - Markeringsfarve2 4 5 2 3" xfId="29091"/>
    <cellStyle name="20 % - Markeringsfarve2 4 5 3" xfId="12749"/>
    <cellStyle name="20 % - Markeringsfarve2 4 5 4" xfId="24107"/>
    <cellStyle name="20 % - Markeringsfarve2 4 6" xfId="3603"/>
    <cellStyle name="20 % - Markeringsfarve2 4 6 2" xfId="8588"/>
    <cellStyle name="20 % - Markeringsfarve2 4 6 2 2" xfId="19395"/>
    <cellStyle name="20 % - Markeringsfarve2 4 6 2 3" xfId="30752"/>
    <cellStyle name="20 % - Markeringsfarve2 4 6 3" xfId="14410"/>
    <cellStyle name="20 % - Markeringsfarve2 4 6 4" xfId="25768"/>
    <cellStyle name="20 % - Markeringsfarve2 4 7" xfId="5264"/>
    <cellStyle name="20 % - Markeringsfarve2 4 7 2" xfId="16073"/>
    <cellStyle name="20 % - Markeringsfarve2 4 7 3" xfId="27430"/>
    <cellStyle name="20 % - Markeringsfarve2 4 8" xfId="10249"/>
    <cellStyle name="20 % - Markeringsfarve2 4 8 2" xfId="21056"/>
    <cellStyle name="20 % - Markeringsfarve2 4 8 3" xfId="32413"/>
    <cellStyle name="20 % - Markeringsfarve2 4 9" xfId="11083"/>
    <cellStyle name="20 % - Markeringsfarve2 5" xfId="288"/>
    <cellStyle name="20 % - Markeringsfarve2 5 10" xfId="21945"/>
    <cellStyle name="20 % - Markeringsfarve2 5 11" xfId="22498"/>
    <cellStyle name="20 % - Markeringsfarve2 5 12" xfId="33301"/>
    <cellStyle name="20 % - Markeringsfarve2 5 13" xfId="33576"/>
    <cellStyle name="20 % - Markeringsfarve2 5 14" xfId="33847"/>
    <cellStyle name="20 % - Markeringsfarve2 5 2" xfId="605"/>
    <cellStyle name="20 % - Markeringsfarve2 5 2 2" xfId="1437"/>
    <cellStyle name="20 % - Markeringsfarve2 5 2 2 2" xfId="3102"/>
    <cellStyle name="20 % - Markeringsfarve2 5 2 2 2 2" xfId="8090"/>
    <cellStyle name="20 % - Markeringsfarve2 5 2 2 2 2 2" xfId="18897"/>
    <cellStyle name="20 % - Markeringsfarve2 5 2 2 2 2 3" xfId="30254"/>
    <cellStyle name="20 % - Markeringsfarve2 5 2 2 2 3" xfId="13912"/>
    <cellStyle name="20 % - Markeringsfarve2 5 2 2 2 4" xfId="25270"/>
    <cellStyle name="20 % - Markeringsfarve2 5 2 2 3" xfId="4766"/>
    <cellStyle name="20 % - Markeringsfarve2 5 2 2 3 2" xfId="9751"/>
    <cellStyle name="20 % - Markeringsfarve2 5 2 2 3 2 2" xfId="20558"/>
    <cellStyle name="20 % - Markeringsfarve2 5 2 2 3 2 3" xfId="31915"/>
    <cellStyle name="20 % - Markeringsfarve2 5 2 2 3 3" xfId="15573"/>
    <cellStyle name="20 % - Markeringsfarve2 5 2 2 3 4" xfId="26931"/>
    <cellStyle name="20 % - Markeringsfarve2 5 2 2 4" xfId="6428"/>
    <cellStyle name="20 % - Markeringsfarve2 5 2 2 4 2" xfId="17236"/>
    <cellStyle name="20 % - Markeringsfarve2 5 2 2 4 3" xfId="28593"/>
    <cellStyle name="20 % - Markeringsfarve2 5 2 2 5" xfId="12251"/>
    <cellStyle name="20 % - Markeringsfarve2 5 2 2 6" xfId="23609"/>
    <cellStyle name="20 % - Markeringsfarve2 5 2 3" xfId="2271"/>
    <cellStyle name="20 % - Markeringsfarve2 5 2 3 2" xfId="7259"/>
    <cellStyle name="20 % - Markeringsfarve2 5 2 3 2 2" xfId="18066"/>
    <cellStyle name="20 % - Markeringsfarve2 5 2 3 2 3" xfId="29423"/>
    <cellStyle name="20 % - Markeringsfarve2 5 2 3 3" xfId="13081"/>
    <cellStyle name="20 % - Markeringsfarve2 5 2 3 4" xfId="24439"/>
    <cellStyle name="20 % - Markeringsfarve2 5 2 4" xfId="3935"/>
    <cellStyle name="20 % - Markeringsfarve2 5 2 4 2" xfId="8920"/>
    <cellStyle name="20 % - Markeringsfarve2 5 2 4 2 2" xfId="19727"/>
    <cellStyle name="20 % - Markeringsfarve2 5 2 4 2 3" xfId="31084"/>
    <cellStyle name="20 % - Markeringsfarve2 5 2 4 3" xfId="14742"/>
    <cellStyle name="20 % - Markeringsfarve2 5 2 4 4" xfId="26100"/>
    <cellStyle name="20 % - Markeringsfarve2 5 2 5" xfId="5597"/>
    <cellStyle name="20 % - Markeringsfarve2 5 2 5 2" xfId="16405"/>
    <cellStyle name="20 % - Markeringsfarve2 5 2 5 3" xfId="27762"/>
    <cellStyle name="20 % - Markeringsfarve2 5 2 6" xfId="10584"/>
    <cellStyle name="20 % - Markeringsfarve2 5 2 6 2" xfId="21391"/>
    <cellStyle name="20 % - Markeringsfarve2 5 2 6 3" xfId="32748"/>
    <cellStyle name="20 % - Markeringsfarve2 5 2 7" xfId="11418"/>
    <cellStyle name="20 % - Markeringsfarve2 5 2 8" xfId="22224"/>
    <cellStyle name="20 % - Markeringsfarve2 5 2 9" xfId="22778"/>
    <cellStyle name="20 % - Markeringsfarve2 5 3" xfId="879"/>
    <cellStyle name="20 % - Markeringsfarve2 5 3 2" xfId="1711"/>
    <cellStyle name="20 % - Markeringsfarve2 5 3 2 2" xfId="3376"/>
    <cellStyle name="20 % - Markeringsfarve2 5 3 2 2 2" xfId="8364"/>
    <cellStyle name="20 % - Markeringsfarve2 5 3 2 2 2 2" xfId="19171"/>
    <cellStyle name="20 % - Markeringsfarve2 5 3 2 2 2 3" xfId="30528"/>
    <cellStyle name="20 % - Markeringsfarve2 5 3 2 2 3" xfId="14186"/>
    <cellStyle name="20 % - Markeringsfarve2 5 3 2 2 4" xfId="25544"/>
    <cellStyle name="20 % - Markeringsfarve2 5 3 2 3" xfId="5040"/>
    <cellStyle name="20 % - Markeringsfarve2 5 3 2 3 2" xfId="10025"/>
    <cellStyle name="20 % - Markeringsfarve2 5 3 2 3 2 2" xfId="20832"/>
    <cellStyle name="20 % - Markeringsfarve2 5 3 2 3 2 3" xfId="32189"/>
    <cellStyle name="20 % - Markeringsfarve2 5 3 2 3 3" xfId="15847"/>
    <cellStyle name="20 % - Markeringsfarve2 5 3 2 3 4" xfId="27205"/>
    <cellStyle name="20 % - Markeringsfarve2 5 3 2 4" xfId="6702"/>
    <cellStyle name="20 % - Markeringsfarve2 5 3 2 4 2" xfId="17510"/>
    <cellStyle name="20 % - Markeringsfarve2 5 3 2 4 3" xfId="28867"/>
    <cellStyle name="20 % - Markeringsfarve2 5 3 2 5" xfId="12525"/>
    <cellStyle name="20 % - Markeringsfarve2 5 3 2 6" xfId="23883"/>
    <cellStyle name="20 % - Markeringsfarve2 5 3 3" xfId="2545"/>
    <cellStyle name="20 % - Markeringsfarve2 5 3 3 2" xfId="7533"/>
    <cellStyle name="20 % - Markeringsfarve2 5 3 3 2 2" xfId="18340"/>
    <cellStyle name="20 % - Markeringsfarve2 5 3 3 2 3" xfId="29697"/>
    <cellStyle name="20 % - Markeringsfarve2 5 3 3 3" xfId="13355"/>
    <cellStyle name="20 % - Markeringsfarve2 5 3 3 4" xfId="24713"/>
    <cellStyle name="20 % - Markeringsfarve2 5 3 4" xfId="4209"/>
    <cellStyle name="20 % - Markeringsfarve2 5 3 4 2" xfId="9194"/>
    <cellStyle name="20 % - Markeringsfarve2 5 3 4 2 2" xfId="20001"/>
    <cellStyle name="20 % - Markeringsfarve2 5 3 4 2 3" xfId="31358"/>
    <cellStyle name="20 % - Markeringsfarve2 5 3 4 3" xfId="15016"/>
    <cellStyle name="20 % - Markeringsfarve2 5 3 4 4" xfId="26374"/>
    <cellStyle name="20 % - Markeringsfarve2 5 3 5" xfId="5871"/>
    <cellStyle name="20 % - Markeringsfarve2 5 3 5 2" xfId="16679"/>
    <cellStyle name="20 % - Markeringsfarve2 5 3 5 3" xfId="28036"/>
    <cellStyle name="20 % - Markeringsfarve2 5 3 6" xfId="10858"/>
    <cellStyle name="20 % - Markeringsfarve2 5 3 6 2" xfId="21665"/>
    <cellStyle name="20 % - Markeringsfarve2 5 3 6 3" xfId="33022"/>
    <cellStyle name="20 % - Markeringsfarve2 5 3 7" xfId="11693"/>
    <cellStyle name="20 % - Markeringsfarve2 5 3 8" xfId="23052"/>
    <cellStyle name="20 % - Markeringsfarve2 5 4" xfId="1158"/>
    <cellStyle name="20 % - Markeringsfarve2 5 4 2" xfId="2823"/>
    <cellStyle name="20 % - Markeringsfarve2 5 4 2 2" xfId="7811"/>
    <cellStyle name="20 % - Markeringsfarve2 5 4 2 2 2" xfId="18618"/>
    <cellStyle name="20 % - Markeringsfarve2 5 4 2 2 3" xfId="29975"/>
    <cellStyle name="20 % - Markeringsfarve2 5 4 2 3" xfId="13633"/>
    <cellStyle name="20 % - Markeringsfarve2 5 4 2 4" xfId="24991"/>
    <cellStyle name="20 % - Markeringsfarve2 5 4 3" xfId="4487"/>
    <cellStyle name="20 % - Markeringsfarve2 5 4 3 2" xfId="9472"/>
    <cellStyle name="20 % - Markeringsfarve2 5 4 3 2 2" xfId="20279"/>
    <cellStyle name="20 % - Markeringsfarve2 5 4 3 2 3" xfId="31636"/>
    <cellStyle name="20 % - Markeringsfarve2 5 4 3 3" xfId="15294"/>
    <cellStyle name="20 % - Markeringsfarve2 5 4 3 4" xfId="26652"/>
    <cellStyle name="20 % - Markeringsfarve2 5 4 4" xfId="6149"/>
    <cellStyle name="20 % - Markeringsfarve2 5 4 4 2" xfId="16957"/>
    <cellStyle name="20 % - Markeringsfarve2 5 4 4 3" xfId="28314"/>
    <cellStyle name="20 % - Markeringsfarve2 5 4 5" xfId="11972"/>
    <cellStyle name="20 % - Markeringsfarve2 5 4 6" xfId="23330"/>
    <cellStyle name="20 % - Markeringsfarve2 5 5" xfId="1993"/>
    <cellStyle name="20 % - Markeringsfarve2 5 5 2" xfId="6981"/>
    <cellStyle name="20 % - Markeringsfarve2 5 5 2 2" xfId="17789"/>
    <cellStyle name="20 % - Markeringsfarve2 5 5 2 3" xfId="29146"/>
    <cellStyle name="20 % - Markeringsfarve2 5 5 3" xfId="12804"/>
    <cellStyle name="20 % - Markeringsfarve2 5 5 4" xfId="24162"/>
    <cellStyle name="20 % - Markeringsfarve2 5 6" xfId="3658"/>
    <cellStyle name="20 % - Markeringsfarve2 5 6 2" xfId="8643"/>
    <cellStyle name="20 % - Markeringsfarve2 5 6 2 2" xfId="19450"/>
    <cellStyle name="20 % - Markeringsfarve2 5 6 2 3" xfId="30807"/>
    <cellStyle name="20 % - Markeringsfarve2 5 6 3" xfId="14465"/>
    <cellStyle name="20 % - Markeringsfarve2 5 6 4" xfId="25823"/>
    <cellStyle name="20 % - Markeringsfarve2 5 7" xfId="5319"/>
    <cellStyle name="20 % - Markeringsfarve2 5 7 2" xfId="16128"/>
    <cellStyle name="20 % - Markeringsfarve2 5 7 3" xfId="27485"/>
    <cellStyle name="20 % - Markeringsfarve2 5 8" xfId="10304"/>
    <cellStyle name="20 % - Markeringsfarve2 5 8 2" xfId="21111"/>
    <cellStyle name="20 % - Markeringsfarve2 5 8 3" xfId="32468"/>
    <cellStyle name="20 % - Markeringsfarve2 5 9" xfId="11138"/>
    <cellStyle name="20 % - Markeringsfarve2 6" xfId="343"/>
    <cellStyle name="20 % - Markeringsfarve2 6 10" xfId="22000"/>
    <cellStyle name="20 % - Markeringsfarve2 6 11" xfId="22553"/>
    <cellStyle name="20 % - Markeringsfarve2 6 12" xfId="33356"/>
    <cellStyle name="20 % - Markeringsfarve2 6 13" xfId="33631"/>
    <cellStyle name="20 % - Markeringsfarve2 6 14" xfId="33902"/>
    <cellStyle name="20 % - Markeringsfarve2 6 2" xfId="660"/>
    <cellStyle name="20 % - Markeringsfarve2 6 2 2" xfId="1492"/>
    <cellStyle name="20 % - Markeringsfarve2 6 2 2 2" xfId="3157"/>
    <cellStyle name="20 % - Markeringsfarve2 6 2 2 2 2" xfId="8145"/>
    <cellStyle name="20 % - Markeringsfarve2 6 2 2 2 2 2" xfId="18952"/>
    <cellStyle name="20 % - Markeringsfarve2 6 2 2 2 2 3" xfId="30309"/>
    <cellStyle name="20 % - Markeringsfarve2 6 2 2 2 3" xfId="13967"/>
    <cellStyle name="20 % - Markeringsfarve2 6 2 2 2 4" xfId="25325"/>
    <cellStyle name="20 % - Markeringsfarve2 6 2 2 3" xfId="4821"/>
    <cellStyle name="20 % - Markeringsfarve2 6 2 2 3 2" xfId="9806"/>
    <cellStyle name="20 % - Markeringsfarve2 6 2 2 3 2 2" xfId="20613"/>
    <cellStyle name="20 % - Markeringsfarve2 6 2 2 3 2 3" xfId="31970"/>
    <cellStyle name="20 % - Markeringsfarve2 6 2 2 3 3" xfId="15628"/>
    <cellStyle name="20 % - Markeringsfarve2 6 2 2 3 4" xfId="26986"/>
    <cellStyle name="20 % - Markeringsfarve2 6 2 2 4" xfId="6483"/>
    <cellStyle name="20 % - Markeringsfarve2 6 2 2 4 2" xfId="17291"/>
    <cellStyle name="20 % - Markeringsfarve2 6 2 2 4 3" xfId="28648"/>
    <cellStyle name="20 % - Markeringsfarve2 6 2 2 5" xfId="12306"/>
    <cellStyle name="20 % - Markeringsfarve2 6 2 2 6" xfId="23664"/>
    <cellStyle name="20 % - Markeringsfarve2 6 2 3" xfId="2326"/>
    <cellStyle name="20 % - Markeringsfarve2 6 2 3 2" xfId="7314"/>
    <cellStyle name="20 % - Markeringsfarve2 6 2 3 2 2" xfId="18121"/>
    <cellStyle name="20 % - Markeringsfarve2 6 2 3 2 3" xfId="29478"/>
    <cellStyle name="20 % - Markeringsfarve2 6 2 3 3" xfId="13136"/>
    <cellStyle name="20 % - Markeringsfarve2 6 2 3 4" xfId="24494"/>
    <cellStyle name="20 % - Markeringsfarve2 6 2 4" xfId="3990"/>
    <cellStyle name="20 % - Markeringsfarve2 6 2 4 2" xfId="8975"/>
    <cellStyle name="20 % - Markeringsfarve2 6 2 4 2 2" xfId="19782"/>
    <cellStyle name="20 % - Markeringsfarve2 6 2 4 2 3" xfId="31139"/>
    <cellStyle name="20 % - Markeringsfarve2 6 2 4 3" xfId="14797"/>
    <cellStyle name="20 % - Markeringsfarve2 6 2 4 4" xfId="26155"/>
    <cellStyle name="20 % - Markeringsfarve2 6 2 5" xfId="5652"/>
    <cellStyle name="20 % - Markeringsfarve2 6 2 5 2" xfId="16460"/>
    <cellStyle name="20 % - Markeringsfarve2 6 2 5 3" xfId="27817"/>
    <cellStyle name="20 % - Markeringsfarve2 6 2 6" xfId="10639"/>
    <cellStyle name="20 % - Markeringsfarve2 6 2 6 2" xfId="21446"/>
    <cellStyle name="20 % - Markeringsfarve2 6 2 6 3" xfId="32803"/>
    <cellStyle name="20 % - Markeringsfarve2 6 2 7" xfId="11473"/>
    <cellStyle name="20 % - Markeringsfarve2 6 2 8" xfId="22279"/>
    <cellStyle name="20 % - Markeringsfarve2 6 2 9" xfId="22833"/>
    <cellStyle name="20 % - Markeringsfarve2 6 3" xfId="934"/>
    <cellStyle name="20 % - Markeringsfarve2 6 3 2" xfId="1766"/>
    <cellStyle name="20 % - Markeringsfarve2 6 3 2 2" xfId="3431"/>
    <cellStyle name="20 % - Markeringsfarve2 6 3 2 2 2" xfId="8419"/>
    <cellStyle name="20 % - Markeringsfarve2 6 3 2 2 2 2" xfId="19226"/>
    <cellStyle name="20 % - Markeringsfarve2 6 3 2 2 2 3" xfId="30583"/>
    <cellStyle name="20 % - Markeringsfarve2 6 3 2 2 3" xfId="14241"/>
    <cellStyle name="20 % - Markeringsfarve2 6 3 2 2 4" xfId="25599"/>
    <cellStyle name="20 % - Markeringsfarve2 6 3 2 3" xfId="5095"/>
    <cellStyle name="20 % - Markeringsfarve2 6 3 2 3 2" xfId="10080"/>
    <cellStyle name="20 % - Markeringsfarve2 6 3 2 3 2 2" xfId="20887"/>
    <cellStyle name="20 % - Markeringsfarve2 6 3 2 3 2 3" xfId="32244"/>
    <cellStyle name="20 % - Markeringsfarve2 6 3 2 3 3" xfId="15902"/>
    <cellStyle name="20 % - Markeringsfarve2 6 3 2 3 4" xfId="27260"/>
    <cellStyle name="20 % - Markeringsfarve2 6 3 2 4" xfId="6757"/>
    <cellStyle name="20 % - Markeringsfarve2 6 3 2 4 2" xfId="17565"/>
    <cellStyle name="20 % - Markeringsfarve2 6 3 2 4 3" xfId="28922"/>
    <cellStyle name="20 % - Markeringsfarve2 6 3 2 5" xfId="12580"/>
    <cellStyle name="20 % - Markeringsfarve2 6 3 2 6" xfId="23938"/>
    <cellStyle name="20 % - Markeringsfarve2 6 3 3" xfId="2600"/>
    <cellStyle name="20 % - Markeringsfarve2 6 3 3 2" xfId="7588"/>
    <cellStyle name="20 % - Markeringsfarve2 6 3 3 2 2" xfId="18395"/>
    <cellStyle name="20 % - Markeringsfarve2 6 3 3 2 3" xfId="29752"/>
    <cellStyle name="20 % - Markeringsfarve2 6 3 3 3" xfId="13410"/>
    <cellStyle name="20 % - Markeringsfarve2 6 3 3 4" xfId="24768"/>
    <cellStyle name="20 % - Markeringsfarve2 6 3 4" xfId="4264"/>
    <cellStyle name="20 % - Markeringsfarve2 6 3 4 2" xfId="9249"/>
    <cellStyle name="20 % - Markeringsfarve2 6 3 4 2 2" xfId="20056"/>
    <cellStyle name="20 % - Markeringsfarve2 6 3 4 2 3" xfId="31413"/>
    <cellStyle name="20 % - Markeringsfarve2 6 3 4 3" xfId="15071"/>
    <cellStyle name="20 % - Markeringsfarve2 6 3 4 4" xfId="26429"/>
    <cellStyle name="20 % - Markeringsfarve2 6 3 5" xfId="5926"/>
    <cellStyle name="20 % - Markeringsfarve2 6 3 5 2" xfId="16734"/>
    <cellStyle name="20 % - Markeringsfarve2 6 3 5 3" xfId="28091"/>
    <cellStyle name="20 % - Markeringsfarve2 6 3 6" xfId="10913"/>
    <cellStyle name="20 % - Markeringsfarve2 6 3 6 2" xfId="21720"/>
    <cellStyle name="20 % - Markeringsfarve2 6 3 6 3" xfId="33077"/>
    <cellStyle name="20 % - Markeringsfarve2 6 3 7" xfId="11748"/>
    <cellStyle name="20 % - Markeringsfarve2 6 3 8" xfId="23107"/>
    <cellStyle name="20 % - Markeringsfarve2 6 4" xfId="1213"/>
    <cellStyle name="20 % - Markeringsfarve2 6 4 2" xfId="2878"/>
    <cellStyle name="20 % - Markeringsfarve2 6 4 2 2" xfId="7866"/>
    <cellStyle name="20 % - Markeringsfarve2 6 4 2 2 2" xfId="18673"/>
    <cellStyle name="20 % - Markeringsfarve2 6 4 2 2 3" xfId="30030"/>
    <cellStyle name="20 % - Markeringsfarve2 6 4 2 3" xfId="13688"/>
    <cellStyle name="20 % - Markeringsfarve2 6 4 2 4" xfId="25046"/>
    <cellStyle name="20 % - Markeringsfarve2 6 4 3" xfId="4542"/>
    <cellStyle name="20 % - Markeringsfarve2 6 4 3 2" xfId="9527"/>
    <cellStyle name="20 % - Markeringsfarve2 6 4 3 2 2" xfId="20334"/>
    <cellStyle name="20 % - Markeringsfarve2 6 4 3 2 3" xfId="31691"/>
    <cellStyle name="20 % - Markeringsfarve2 6 4 3 3" xfId="15349"/>
    <cellStyle name="20 % - Markeringsfarve2 6 4 3 4" xfId="26707"/>
    <cellStyle name="20 % - Markeringsfarve2 6 4 4" xfId="6204"/>
    <cellStyle name="20 % - Markeringsfarve2 6 4 4 2" xfId="17012"/>
    <cellStyle name="20 % - Markeringsfarve2 6 4 4 3" xfId="28369"/>
    <cellStyle name="20 % - Markeringsfarve2 6 4 5" xfId="12027"/>
    <cellStyle name="20 % - Markeringsfarve2 6 4 6" xfId="23385"/>
    <cellStyle name="20 % - Markeringsfarve2 6 5" xfId="2048"/>
    <cellStyle name="20 % - Markeringsfarve2 6 5 2" xfId="7036"/>
    <cellStyle name="20 % - Markeringsfarve2 6 5 2 2" xfId="17844"/>
    <cellStyle name="20 % - Markeringsfarve2 6 5 2 3" xfId="29201"/>
    <cellStyle name="20 % - Markeringsfarve2 6 5 3" xfId="12859"/>
    <cellStyle name="20 % - Markeringsfarve2 6 5 4" xfId="24217"/>
    <cellStyle name="20 % - Markeringsfarve2 6 6" xfId="3713"/>
    <cellStyle name="20 % - Markeringsfarve2 6 6 2" xfId="8698"/>
    <cellStyle name="20 % - Markeringsfarve2 6 6 2 2" xfId="19505"/>
    <cellStyle name="20 % - Markeringsfarve2 6 6 2 3" xfId="30862"/>
    <cellStyle name="20 % - Markeringsfarve2 6 6 3" xfId="14520"/>
    <cellStyle name="20 % - Markeringsfarve2 6 6 4" xfId="25878"/>
    <cellStyle name="20 % - Markeringsfarve2 6 7" xfId="5374"/>
    <cellStyle name="20 % - Markeringsfarve2 6 7 2" xfId="16183"/>
    <cellStyle name="20 % - Markeringsfarve2 6 7 3" xfId="27540"/>
    <cellStyle name="20 % - Markeringsfarve2 6 8" xfId="10359"/>
    <cellStyle name="20 % - Markeringsfarve2 6 8 2" xfId="21166"/>
    <cellStyle name="20 % - Markeringsfarve2 6 8 3" xfId="32523"/>
    <cellStyle name="20 % - Markeringsfarve2 6 9" xfId="11193"/>
    <cellStyle name="20 % - Markeringsfarve2 7" xfId="444"/>
    <cellStyle name="20 % - Markeringsfarve2 7 2" xfId="1274"/>
    <cellStyle name="20 % - Markeringsfarve2 7 2 2" xfId="2939"/>
    <cellStyle name="20 % - Markeringsfarve2 7 2 2 2" xfId="7927"/>
    <cellStyle name="20 % - Markeringsfarve2 7 2 2 2 2" xfId="18734"/>
    <cellStyle name="20 % - Markeringsfarve2 7 2 2 2 3" xfId="30091"/>
    <cellStyle name="20 % - Markeringsfarve2 7 2 2 3" xfId="13749"/>
    <cellStyle name="20 % - Markeringsfarve2 7 2 2 4" xfId="25107"/>
    <cellStyle name="20 % - Markeringsfarve2 7 2 3" xfId="4603"/>
    <cellStyle name="20 % - Markeringsfarve2 7 2 3 2" xfId="9588"/>
    <cellStyle name="20 % - Markeringsfarve2 7 2 3 2 2" xfId="20395"/>
    <cellStyle name="20 % - Markeringsfarve2 7 2 3 2 3" xfId="31752"/>
    <cellStyle name="20 % - Markeringsfarve2 7 2 3 3" xfId="15410"/>
    <cellStyle name="20 % - Markeringsfarve2 7 2 3 4" xfId="26768"/>
    <cellStyle name="20 % - Markeringsfarve2 7 2 4" xfId="6265"/>
    <cellStyle name="20 % - Markeringsfarve2 7 2 4 2" xfId="17073"/>
    <cellStyle name="20 % - Markeringsfarve2 7 2 4 3" xfId="28430"/>
    <cellStyle name="20 % - Markeringsfarve2 7 2 5" xfId="12088"/>
    <cellStyle name="20 % - Markeringsfarve2 7 2 6" xfId="23446"/>
    <cellStyle name="20 % - Markeringsfarve2 7 3" xfId="2110"/>
    <cellStyle name="20 % - Markeringsfarve2 7 3 2" xfId="7098"/>
    <cellStyle name="20 % - Markeringsfarve2 7 3 2 2" xfId="17905"/>
    <cellStyle name="20 % - Markeringsfarve2 7 3 2 3" xfId="29262"/>
    <cellStyle name="20 % - Markeringsfarve2 7 3 3" xfId="12920"/>
    <cellStyle name="20 % - Markeringsfarve2 7 3 4" xfId="24278"/>
    <cellStyle name="20 % - Markeringsfarve2 7 4" xfId="3774"/>
    <cellStyle name="20 % - Markeringsfarve2 7 4 2" xfId="8759"/>
    <cellStyle name="20 % - Markeringsfarve2 7 4 2 2" xfId="19566"/>
    <cellStyle name="20 % - Markeringsfarve2 7 4 2 3" xfId="30923"/>
    <cellStyle name="20 % - Markeringsfarve2 7 4 3" xfId="14581"/>
    <cellStyle name="20 % - Markeringsfarve2 7 4 4" xfId="25939"/>
    <cellStyle name="20 % - Markeringsfarve2 7 5" xfId="5436"/>
    <cellStyle name="20 % - Markeringsfarve2 7 5 2" xfId="16244"/>
    <cellStyle name="20 % - Markeringsfarve2 7 5 3" xfId="27601"/>
    <cellStyle name="20 % - Markeringsfarve2 7 6" xfId="10430"/>
    <cellStyle name="20 % - Markeringsfarve2 7 6 2" xfId="21237"/>
    <cellStyle name="20 % - Markeringsfarve2 7 6 3" xfId="32594"/>
    <cellStyle name="20 % - Markeringsfarve2 7 7" xfId="11255"/>
    <cellStyle name="20 % - Markeringsfarve2 7 8" xfId="22061"/>
    <cellStyle name="20 % - Markeringsfarve2 7 9" xfId="22615"/>
    <cellStyle name="20 % - Markeringsfarve2 8" xfId="716"/>
    <cellStyle name="20 % - Markeringsfarve2 8 2" xfId="1548"/>
    <cellStyle name="20 % - Markeringsfarve2 8 2 2" xfId="3213"/>
    <cellStyle name="20 % - Markeringsfarve2 8 2 2 2" xfId="8201"/>
    <cellStyle name="20 % - Markeringsfarve2 8 2 2 2 2" xfId="19008"/>
    <cellStyle name="20 % - Markeringsfarve2 8 2 2 2 3" xfId="30365"/>
    <cellStyle name="20 % - Markeringsfarve2 8 2 2 3" xfId="14023"/>
    <cellStyle name="20 % - Markeringsfarve2 8 2 2 4" xfId="25381"/>
    <cellStyle name="20 % - Markeringsfarve2 8 2 3" xfId="4877"/>
    <cellStyle name="20 % - Markeringsfarve2 8 2 3 2" xfId="9862"/>
    <cellStyle name="20 % - Markeringsfarve2 8 2 3 2 2" xfId="20669"/>
    <cellStyle name="20 % - Markeringsfarve2 8 2 3 2 3" xfId="32026"/>
    <cellStyle name="20 % - Markeringsfarve2 8 2 3 3" xfId="15684"/>
    <cellStyle name="20 % - Markeringsfarve2 8 2 3 4" xfId="27042"/>
    <cellStyle name="20 % - Markeringsfarve2 8 2 4" xfId="6539"/>
    <cellStyle name="20 % - Markeringsfarve2 8 2 4 2" xfId="17347"/>
    <cellStyle name="20 % - Markeringsfarve2 8 2 4 3" xfId="28704"/>
    <cellStyle name="20 % - Markeringsfarve2 8 2 5" xfId="12362"/>
    <cellStyle name="20 % - Markeringsfarve2 8 2 6" xfId="23720"/>
    <cellStyle name="20 % - Markeringsfarve2 8 3" xfId="2382"/>
    <cellStyle name="20 % - Markeringsfarve2 8 3 2" xfId="7370"/>
    <cellStyle name="20 % - Markeringsfarve2 8 3 2 2" xfId="18177"/>
    <cellStyle name="20 % - Markeringsfarve2 8 3 2 3" xfId="29534"/>
    <cellStyle name="20 % - Markeringsfarve2 8 3 3" xfId="13192"/>
    <cellStyle name="20 % - Markeringsfarve2 8 3 4" xfId="24550"/>
    <cellStyle name="20 % - Markeringsfarve2 8 4" xfId="4046"/>
    <cellStyle name="20 % - Markeringsfarve2 8 4 2" xfId="9031"/>
    <cellStyle name="20 % - Markeringsfarve2 8 4 2 2" xfId="19838"/>
    <cellStyle name="20 % - Markeringsfarve2 8 4 2 3" xfId="31195"/>
    <cellStyle name="20 % - Markeringsfarve2 8 4 3" xfId="14853"/>
    <cellStyle name="20 % - Markeringsfarve2 8 4 4" xfId="26211"/>
    <cellStyle name="20 % - Markeringsfarve2 8 5" xfId="5708"/>
    <cellStyle name="20 % - Markeringsfarve2 8 5 2" xfId="16516"/>
    <cellStyle name="20 % - Markeringsfarve2 8 5 3" xfId="27873"/>
    <cellStyle name="20 % - Markeringsfarve2 8 6" xfId="10695"/>
    <cellStyle name="20 % - Markeringsfarve2 8 6 2" xfId="21502"/>
    <cellStyle name="20 % - Markeringsfarve2 8 6 3" xfId="32859"/>
    <cellStyle name="20 % - Markeringsfarve2 8 7" xfId="11530"/>
    <cellStyle name="20 % - Markeringsfarve2 8 8" xfId="22889"/>
    <cellStyle name="20 % - Markeringsfarve2 9" xfId="995"/>
    <cellStyle name="20 % - Markeringsfarve2 9 2" xfId="2660"/>
    <cellStyle name="20 % - Markeringsfarve2 9 2 2" xfId="7648"/>
    <cellStyle name="20 % - Markeringsfarve2 9 2 2 2" xfId="18455"/>
    <cellStyle name="20 % - Markeringsfarve2 9 2 2 3" xfId="29812"/>
    <cellStyle name="20 % - Markeringsfarve2 9 2 3" xfId="13470"/>
    <cellStyle name="20 % - Markeringsfarve2 9 2 4" xfId="24828"/>
    <cellStyle name="20 % - Markeringsfarve2 9 3" xfId="4324"/>
    <cellStyle name="20 % - Markeringsfarve2 9 3 2" xfId="9309"/>
    <cellStyle name="20 % - Markeringsfarve2 9 3 2 2" xfId="20116"/>
    <cellStyle name="20 % - Markeringsfarve2 9 3 2 3" xfId="31473"/>
    <cellStyle name="20 % - Markeringsfarve2 9 3 3" xfId="15131"/>
    <cellStyle name="20 % - Markeringsfarve2 9 3 4" xfId="26489"/>
    <cellStyle name="20 % - Markeringsfarve2 9 4" xfId="5986"/>
    <cellStyle name="20 % - Markeringsfarve2 9 4 2" xfId="16794"/>
    <cellStyle name="20 % - Markeringsfarve2 9 4 3" xfId="28151"/>
    <cellStyle name="20 % - Markeringsfarve2 9 5" xfId="11809"/>
    <cellStyle name="20 % - Markeringsfarve2 9 6" xfId="23167"/>
    <cellStyle name="20 % - Markeringsfarve3" xfId="29" builtinId="38" customBuiltin="1"/>
    <cellStyle name="20 % - Markeringsfarve3 10" xfId="1832"/>
    <cellStyle name="20 % - Markeringsfarve3 10 2" xfId="6820"/>
    <cellStyle name="20 % - Markeringsfarve3 10 2 2" xfId="17628"/>
    <cellStyle name="20 % - Markeringsfarve3 10 2 3" xfId="28985"/>
    <cellStyle name="20 % - Markeringsfarve3 10 3" xfId="12643"/>
    <cellStyle name="20 % - Markeringsfarve3 10 4" xfId="24001"/>
    <cellStyle name="20 % - Markeringsfarve3 11" xfId="3497"/>
    <cellStyle name="20 % - Markeringsfarve3 11 2" xfId="8482"/>
    <cellStyle name="20 % - Markeringsfarve3 11 2 2" xfId="19289"/>
    <cellStyle name="20 % - Markeringsfarve3 11 2 3" xfId="30646"/>
    <cellStyle name="20 % - Markeringsfarve3 11 3" xfId="14304"/>
    <cellStyle name="20 % - Markeringsfarve3 11 4" xfId="25662"/>
    <cellStyle name="20 % - Markeringsfarve3 12" xfId="5158"/>
    <cellStyle name="20 % - Markeringsfarve3 12 2" xfId="15967"/>
    <cellStyle name="20 % - Markeringsfarve3 12 3" xfId="27324"/>
    <cellStyle name="20 % - Markeringsfarve3 13" xfId="10143"/>
    <cellStyle name="20 % - Markeringsfarve3 13 2" xfId="20950"/>
    <cellStyle name="20 % - Markeringsfarve3 13 3" xfId="32307"/>
    <cellStyle name="20 % - Markeringsfarve3 14" xfId="10977"/>
    <cellStyle name="20 % - Markeringsfarve3 15" xfId="21784"/>
    <cellStyle name="20 % - Markeringsfarve3 16" xfId="22337"/>
    <cellStyle name="20 % - Markeringsfarve3 17" xfId="33140"/>
    <cellStyle name="20 % - Markeringsfarve3 18" xfId="33447"/>
    <cellStyle name="20 % - Markeringsfarve3 19" xfId="33718"/>
    <cellStyle name="20 % - Markeringsfarve3 2" xfId="53"/>
    <cellStyle name="20 % - Markeringsfarve3 2 10" xfId="1843"/>
    <cellStyle name="20 % - Markeringsfarve3 2 10 2" xfId="6831"/>
    <cellStyle name="20 % - Markeringsfarve3 2 10 2 2" xfId="17639"/>
    <cellStyle name="20 % - Markeringsfarve3 2 10 2 3" xfId="28996"/>
    <cellStyle name="20 % - Markeringsfarve3 2 10 3" xfId="12654"/>
    <cellStyle name="20 % - Markeringsfarve3 2 10 4" xfId="24012"/>
    <cellStyle name="20 % - Markeringsfarve3 2 11" xfId="3508"/>
    <cellStyle name="20 % - Markeringsfarve3 2 11 2" xfId="8493"/>
    <cellStyle name="20 % - Markeringsfarve3 2 11 2 2" xfId="19300"/>
    <cellStyle name="20 % - Markeringsfarve3 2 11 2 3" xfId="30657"/>
    <cellStyle name="20 % - Markeringsfarve3 2 11 3" xfId="14315"/>
    <cellStyle name="20 % - Markeringsfarve3 2 11 4" xfId="25673"/>
    <cellStyle name="20 % - Markeringsfarve3 2 12" xfId="5169"/>
    <cellStyle name="20 % - Markeringsfarve3 2 12 2" xfId="15978"/>
    <cellStyle name="20 % - Markeringsfarve3 2 12 3" xfId="27335"/>
    <cellStyle name="20 % - Markeringsfarve3 2 13" xfId="10154"/>
    <cellStyle name="20 % - Markeringsfarve3 2 13 2" xfId="20961"/>
    <cellStyle name="20 % - Markeringsfarve3 2 13 3" xfId="32318"/>
    <cellStyle name="20 % - Markeringsfarve3 2 14" xfId="10988"/>
    <cellStyle name="20 % - Markeringsfarve3 2 15" xfId="21795"/>
    <cellStyle name="20 % - Markeringsfarve3 2 16" xfId="22348"/>
    <cellStyle name="20 % - Markeringsfarve3 2 17" xfId="33151"/>
    <cellStyle name="20 % - Markeringsfarve3 2 18" xfId="33412"/>
    <cellStyle name="20 % - Markeringsfarve3 2 19" xfId="33683"/>
    <cellStyle name="20 % - Markeringsfarve3 2 2" xfId="81"/>
    <cellStyle name="20 % - Markeringsfarve3 2 2 10" xfId="3527"/>
    <cellStyle name="20 % - Markeringsfarve3 2 2 10 2" xfId="8512"/>
    <cellStyle name="20 % - Markeringsfarve3 2 2 10 2 2" xfId="19319"/>
    <cellStyle name="20 % - Markeringsfarve3 2 2 10 2 3" xfId="30676"/>
    <cellStyle name="20 % - Markeringsfarve3 2 2 10 3" xfId="14334"/>
    <cellStyle name="20 % - Markeringsfarve3 2 2 10 4" xfId="25692"/>
    <cellStyle name="20 % - Markeringsfarve3 2 2 11" xfId="5188"/>
    <cellStyle name="20 % - Markeringsfarve3 2 2 11 2" xfId="15997"/>
    <cellStyle name="20 % - Markeringsfarve3 2 2 11 3" xfId="27354"/>
    <cellStyle name="20 % - Markeringsfarve3 2 2 12" xfId="10172"/>
    <cellStyle name="20 % - Markeringsfarve3 2 2 12 2" xfId="20979"/>
    <cellStyle name="20 % - Markeringsfarve3 2 2 12 3" xfId="32336"/>
    <cellStyle name="20 % - Markeringsfarve3 2 2 13" xfId="11006"/>
    <cellStyle name="20 % - Markeringsfarve3 2 2 14" xfId="21813"/>
    <cellStyle name="20 % - Markeringsfarve3 2 2 15" xfId="22366"/>
    <cellStyle name="20 % - Markeringsfarve3 2 2 16" xfId="33169"/>
    <cellStyle name="20 % - Markeringsfarve3 2 2 17" xfId="33438"/>
    <cellStyle name="20 % - Markeringsfarve3 2 2 18" xfId="33709"/>
    <cellStyle name="20 % - Markeringsfarve3 2 2 2" xfId="209"/>
    <cellStyle name="20 % - Markeringsfarve3 2 2 2 10" xfId="21867"/>
    <cellStyle name="20 % - Markeringsfarve3 2 2 2 11" xfId="22420"/>
    <cellStyle name="20 % - Markeringsfarve3 2 2 2 12" xfId="33223"/>
    <cellStyle name="20 % - Markeringsfarve3 2 2 2 13" xfId="33498"/>
    <cellStyle name="20 % - Markeringsfarve3 2 2 2 14" xfId="33769"/>
    <cellStyle name="20 % - Markeringsfarve3 2 2 2 2" xfId="527"/>
    <cellStyle name="20 % - Markeringsfarve3 2 2 2 2 2" xfId="1359"/>
    <cellStyle name="20 % - Markeringsfarve3 2 2 2 2 2 2" xfId="3024"/>
    <cellStyle name="20 % - Markeringsfarve3 2 2 2 2 2 2 2" xfId="8012"/>
    <cellStyle name="20 % - Markeringsfarve3 2 2 2 2 2 2 2 2" xfId="18819"/>
    <cellStyle name="20 % - Markeringsfarve3 2 2 2 2 2 2 2 3" xfId="30176"/>
    <cellStyle name="20 % - Markeringsfarve3 2 2 2 2 2 2 3" xfId="13834"/>
    <cellStyle name="20 % - Markeringsfarve3 2 2 2 2 2 2 4" xfId="25192"/>
    <cellStyle name="20 % - Markeringsfarve3 2 2 2 2 2 3" xfId="4688"/>
    <cellStyle name="20 % - Markeringsfarve3 2 2 2 2 2 3 2" xfId="9673"/>
    <cellStyle name="20 % - Markeringsfarve3 2 2 2 2 2 3 2 2" xfId="20480"/>
    <cellStyle name="20 % - Markeringsfarve3 2 2 2 2 2 3 2 3" xfId="31837"/>
    <cellStyle name="20 % - Markeringsfarve3 2 2 2 2 2 3 3" xfId="15495"/>
    <cellStyle name="20 % - Markeringsfarve3 2 2 2 2 2 3 4" xfId="26853"/>
    <cellStyle name="20 % - Markeringsfarve3 2 2 2 2 2 4" xfId="6350"/>
    <cellStyle name="20 % - Markeringsfarve3 2 2 2 2 2 4 2" xfId="17158"/>
    <cellStyle name="20 % - Markeringsfarve3 2 2 2 2 2 4 3" xfId="28515"/>
    <cellStyle name="20 % - Markeringsfarve3 2 2 2 2 2 5" xfId="12173"/>
    <cellStyle name="20 % - Markeringsfarve3 2 2 2 2 2 6" xfId="23531"/>
    <cellStyle name="20 % - Markeringsfarve3 2 2 2 2 3" xfId="2193"/>
    <cellStyle name="20 % - Markeringsfarve3 2 2 2 2 3 2" xfId="7181"/>
    <cellStyle name="20 % - Markeringsfarve3 2 2 2 2 3 2 2" xfId="17988"/>
    <cellStyle name="20 % - Markeringsfarve3 2 2 2 2 3 2 3" xfId="29345"/>
    <cellStyle name="20 % - Markeringsfarve3 2 2 2 2 3 3" xfId="13003"/>
    <cellStyle name="20 % - Markeringsfarve3 2 2 2 2 3 4" xfId="24361"/>
    <cellStyle name="20 % - Markeringsfarve3 2 2 2 2 4" xfId="3857"/>
    <cellStyle name="20 % - Markeringsfarve3 2 2 2 2 4 2" xfId="8842"/>
    <cellStyle name="20 % - Markeringsfarve3 2 2 2 2 4 2 2" xfId="19649"/>
    <cellStyle name="20 % - Markeringsfarve3 2 2 2 2 4 2 3" xfId="31006"/>
    <cellStyle name="20 % - Markeringsfarve3 2 2 2 2 4 3" xfId="14664"/>
    <cellStyle name="20 % - Markeringsfarve3 2 2 2 2 4 4" xfId="26022"/>
    <cellStyle name="20 % - Markeringsfarve3 2 2 2 2 5" xfId="5519"/>
    <cellStyle name="20 % - Markeringsfarve3 2 2 2 2 5 2" xfId="16327"/>
    <cellStyle name="20 % - Markeringsfarve3 2 2 2 2 5 3" xfId="27684"/>
    <cellStyle name="20 % - Markeringsfarve3 2 2 2 2 6" xfId="10506"/>
    <cellStyle name="20 % - Markeringsfarve3 2 2 2 2 6 2" xfId="21313"/>
    <cellStyle name="20 % - Markeringsfarve3 2 2 2 2 6 3" xfId="32670"/>
    <cellStyle name="20 % - Markeringsfarve3 2 2 2 2 7" xfId="11340"/>
    <cellStyle name="20 % - Markeringsfarve3 2 2 2 2 8" xfId="22146"/>
    <cellStyle name="20 % - Markeringsfarve3 2 2 2 2 9" xfId="22700"/>
    <cellStyle name="20 % - Markeringsfarve3 2 2 2 3" xfId="801"/>
    <cellStyle name="20 % - Markeringsfarve3 2 2 2 3 2" xfId="1633"/>
    <cellStyle name="20 % - Markeringsfarve3 2 2 2 3 2 2" xfId="3298"/>
    <cellStyle name="20 % - Markeringsfarve3 2 2 2 3 2 2 2" xfId="8286"/>
    <cellStyle name="20 % - Markeringsfarve3 2 2 2 3 2 2 2 2" xfId="19093"/>
    <cellStyle name="20 % - Markeringsfarve3 2 2 2 3 2 2 2 3" xfId="30450"/>
    <cellStyle name="20 % - Markeringsfarve3 2 2 2 3 2 2 3" xfId="14108"/>
    <cellStyle name="20 % - Markeringsfarve3 2 2 2 3 2 2 4" xfId="25466"/>
    <cellStyle name="20 % - Markeringsfarve3 2 2 2 3 2 3" xfId="4962"/>
    <cellStyle name="20 % - Markeringsfarve3 2 2 2 3 2 3 2" xfId="9947"/>
    <cellStyle name="20 % - Markeringsfarve3 2 2 2 3 2 3 2 2" xfId="20754"/>
    <cellStyle name="20 % - Markeringsfarve3 2 2 2 3 2 3 2 3" xfId="32111"/>
    <cellStyle name="20 % - Markeringsfarve3 2 2 2 3 2 3 3" xfId="15769"/>
    <cellStyle name="20 % - Markeringsfarve3 2 2 2 3 2 3 4" xfId="27127"/>
    <cellStyle name="20 % - Markeringsfarve3 2 2 2 3 2 4" xfId="6624"/>
    <cellStyle name="20 % - Markeringsfarve3 2 2 2 3 2 4 2" xfId="17432"/>
    <cellStyle name="20 % - Markeringsfarve3 2 2 2 3 2 4 3" xfId="28789"/>
    <cellStyle name="20 % - Markeringsfarve3 2 2 2 3 2 5" xfId="12447"/>
    <cellStyle name="20 % - Markeringsfarve3 2 2 2 3 2 6" xfId="23805"/>
    <cellStyle name="20 % - Markeringsfarve3 2 2 2 3 3" xfId="2467"/>
    <cellStyle name="20 % - Markeringsfarve3 2 2 2 3 3 2" xfId="7455"/>
    <cellStyle name="20 % - Markeringsfarve3 2 2 2 3 3 2 2" xfId="18262"/>
    <cellStyle name="20 % - Markeringsfarve3 2 2 2 3 3 2 3" xfId="29619"/>
    <cellStyle name="20 % - Markeringsfarve3 2 2 2 3 3 3" xfId="13277"/>
    <cellStyle name="20 % - Markeringsfarve3 2 2 2 3 3 4" xfId="24635"/>
    <cellStyle name="20 % - Markeringsfarve3 2 2 2 3 4" xfId="4131"/>
    <cellStyle name="20 % - Markeringsfarve3 2 2 2 3 4 2" xfId="9116"/>
    <cellStyle name="20 % - Markeringsfarve3 2 2 2 3 4 2 2" xfId="19923"/>
    <cellStyle name="20 % - Markeringsfarve3 2 2 2 3 4 2 3" xfId="31280"/>
    <cellStyle name="20 % - Markeringsfarve3 2 2 2 3 4 3" xfId="14938"/>
    <cellStyle name="20 % - Markeringsfarve3 2 2 2 3 4 4" xfId="26296"/>
    <cellStyle name="20 % - Markeringsfarve3 2 2 2 3 5" xfId="5793"/>
    <cellStyle name="20 % - Markeringsfarve3 2 2 2 3 5 2" xfId="16601"/>
    <cellStyle name="20 % - Markeringsfarve3 2 2 2 3 5 3" xfId="27958"/>
    <cellStyle name="20 % - Markeringsfarve3 2 2 2 3 6" xfId="10780"/>
    <cellStyle name="20 % - Markeringsfarve3 2 2 2 3 6 2" xfId="21587"/>
    <cellStyle name="20 % - Markeringsfarve3 2 2 2 3 6 3" xfId="32944"/>
    <cellStyle name="20 % - Markeringsfarve3 2 2 2 3 7" xfId="11615"/>
    <cellStyle name="20 % - Markeringsfarve3 2 2 2 3 8" xfId="22974"/>
    <cellStyle name="20 % - Markeringsfarve3 2 2 2 4" xfId="1080"/>
    <cellStyle name="20 % - Markeringsfarve3 2 2 2 4 2" xfId="2745"/>
    <cellStyle name="20 % - Markeringsfarve3 2 2 2 4 2 2" xfId="7733"/>
    <cellStyle name="20 % - Markeringsfarve3 2 2 2 4 2 2 2" xfId="18540"/>
    <cellStyle name="20 % - Markeringsfarve3 2 2 2 4 2 2 3" xfId="29897"/>
    <cellStyle name="20 % - Markeringsfarve3 2 2 2 4 2 3" xfId="13555"/>
    <cellStyle name="20 % - Markeringsfarve3 2 2 2 4 2 4" xfId="24913"/>
    <cellStyle name="20 % - Markeringsfarve3 2 2 2 4 3" xfId="4409"/>
    <cellStyle name="20 % - Markeringsfarve3 2 2 2 4 3 2" xfId="9394"/>
    <cellStyle name="20 % - Markeringsfarve3 2 2 2 4 3 2 2" xfId="20201"/>
    <cellStyle name="20 % - Markeringsfarve3 2 2 2 4 3 2 3" xfId="31558"/>
    <cellStyle name="20 % - Markeringsfarve3 2 2 2 4 3 3" xfId="15216"/>
    <cellStyle name="20 % - Markeringsfarve3 2 2 2 4 3 4" xfId="26574"/>
    <cellStyle name="20 % - Markeringsfarve3 2 2 2 4 4" xfId="6071"/>
    <cellStyle name="20 % - Markeringsfarve3 2 2 2 4 4 2" xfId="16879"/>
    <cellStyle name="20 % - Markeringsfarve3 2 2 2 4 4 3" xfId="28236"/>
    <cellStyle name="20 % - Markeringsfarve3 2 2 2 4 5" xfId="11894"/>
    <cellStyle name="20 % - Markeringsfarve3 2 2 2 4 6" xfId="23252"/>
    <cellStyle name="20 % - Markeringsfarve3 2 2 2 5" xfId="1915"/>
    <cellStyle name="20 % - Markeringsfarve3 2 2 2 5 2" xfId="6903"/>
    <cellStyle name="20 % - Markeringsfarve3 2 2 2 5 2 2" xfId="17711"/>
    <cellStyle name="20 % - Markeringsfarve3 2 2 2 5 2 3" xfId="29068"/>
    <cellStyle name="20 % - Markeringsfarve3 2 2 2 5 3" xfId="12726"/>
    <cellStyle name="20 % - Markeringsfarve3 2 2 2 5 4" xfId="24084"/>
    <cellStyle name="20 % - Markeringsfarve3 2 2 2 6" xfId="3580"/>
    <cellStyle name="20 % - Markeringsfarve3 2 2 2 6 2" xfId="8565"/>
    <cellStyle name="20 % - Markeringsfarve3 2 2 2 6 2 2" xfId="19372"/>
    <cellStyle name="20 % - Markeringsfarve3 2 2 2 6 2 3" xfId="30729"/>
    <cellStyle name="20 % - Markeringsfarve3 2 2 2 6 3" xfId="14387"/>
    <cellStyle name="20 % - Markeringsfarve3 2 2 2 6 4" xfId="25745"/>
    <cellStyle name="20 % - Markeringsfarve3 2 2 2 7" xfId="5241"/>
    <cellStyle name="20 % - Markeringsfarve3 2 2 2 7 2" xfId="16050"/>
    <cellStyle name="20 % - Markeringsfarve3 2 2 2 7 3" xfId="27407"/>
    <cellStyle name="20 % - Markeringsfarve3 2 2 2 8" xfId="10226"/>
    <cellStyle name="20 % - Markeringsfarve3 2 2 2 8 2" xfId="21033"/>
    <cellStyle name="20 % - Markeringsfarve3 2 2 2 8 3" xfId="32390"/>
    <cellStyle name="20 % - Markeringsfarve3 2 2 2 9" xfId="11060"/>
    <cellStyle name="20 % - Markeringsfarve3 2 2 3" xfId="264"/>
    <cellStyle name="20 % - Markeringsfarve3 2 2 3 10" xfId="21921"/>
    <cellStyle name="20 % - Markeringsfarve3 2 2 3 11" xfId="22474"/>
    <cellStyle name="20 % - Markeringsfarve3 2 2 3 12" xfId="33277"/>
    <cellStyle name="20 % - Markeringsfarve3 2 2 3 13" xfId="33552"/>
    <cellStyle name="20 % - Markeringsfarve3 2 2 3 14" xfId="33823"/>
    <cellStyle name="20 % - Markeringsfarve3 2 2 3 2" xfId="581"/>
    <cellStyle name="20 % - Markeringsfarve3 2 2 3 2 2" xfId="1413"/>
    <cellStyle name="20 % - Markeringsfarve3 2 2 3 2 2 2" xfId="3078"/>
    <cellStyle name="20 % - Markeringsfarve3 2 2 3 2 2 2 2" xfId="8066"/>
    <cellStyle name="20 % - Markeringsfarve3 2 2 3 2 2 2 2 2" xfId="18873"/>
    <cellStyle name="20 % - Markeringsfarve3 2 2 3 2 2 2 2 3" xfId="30230"/>
    <cellStyle name="20 % - Markeringsfarve3 2 2 3 2 2 2 3" xfId="13888"/>
    <cellStyle name="20 % - Markeringsfarve3 2 2 3 2 2 2 4" xfId="25246"/>
    <cellStyle name="20 % - Markeringsfarve3 2 2 3 2 2 3" xfId="4742"/>
    <cellStyle name="20 % - Markeringsfarve3 2 2 3 2 2 3 2" xfId="9727"/>
    <cellStyle name="20 % - Markeringsfarve3 2 2 3 2 2 3 2 2" xfId="20534"/>
    <cellStyle name="20 % - Markeringsfarve3 2 2 3 2 2 3 2 3" xfId="31891"/>
    <cellStyle name="20 % - Markeringsfarve3 2 2 3 2 2 3 3" xfId="15549"/>
    <cellStyle name="20 % - Markeringsfarve3 2 2 3 2 2 3 4" xfId="26907"/>
    <cellStyle name="20 % - Markeringsfarve3 2 2 3 2 2 4" xfId="6404"/>
    <cellStyle name="20 % - Markeringsfarve3 2 2 3 2 2 4 2" xfId="17212"/>
    <cellStyle name="20 % - Markeringsfarve3 2 2 3 2 2 4 3" xfId="28569"/>
    <cellStyle name="20 % - Markeringsfarve3 2 2 3 2 2 5" xfId="12227"/>
    <cellStyle name="20 % - Markeringsfarve3 2 2 3 2 2 6" xfId="23585"/>
    <cellStyle name="20 % - Markeringsfarve3 2 2 3 2 3" xfId="2247"/>
    <cellStyle name="20 % - Markeringsfarve3 2 2 3 2 3 2" xfId="7235"/>
    <cellStyle name="20 % - Markeringsfarve3 2 2 3 2 3 2 2" xfId="18042"/>
    <cellStyle name="20 % - Markeringsfarve3 2 2 3 2 3 2 3" xfId="29399"/>
    <cellStyle name="20 % - Markeringsfarve3 2 2 3 2 3 3" xfId="13057"/>
    <cellStyle name="20 % - Markeringsfarve3 2 2 3 2 3 4" xfId="24415"/>
    <cellStyle name="20 % - Markeringsfarve3 2 2 3 2 4" xfId="3911"/>
    <cellStyle name="20 % - Markeringsfarve3 2 2 3 2 4 2" xfId="8896"/>
    <cellStyle name="20 % - Markeringsfarve3 2 2 3 2 4 2 2" xfId="19703"/>
    <cellStyle name="20 % - Markeringsfarve3 2 2 3 2 4 2 3" xfId="31060"/>
    <cellStyle name="20 % - Markeringsfarve3 2 2 3 2 4 3" xfId="14718"/>
    <cellStyle name="20 % - Markeringsfarve3 2 2 3 2 4 4" xfId="26076"/>
    <cellStyle name="20 % - Markeringsfarve3 2 2 3 2 5" xfId="5573"/>
    <cellStyle name="20 % - Markeringsfarve3 2 2 3 2 5 2" xfId="16381"/>
    <cellStyle name="20 % - Markeringsfarve3 2 2 3 2 5 3" xfId="27738"/>
    <cellStyle name="20 % - Markeringsfarve3 2 2 3 2 6" xfId="10560"/>
    <cellStyle name="20 % - Markeringsfarve3 2 2 3 2 6 2" xfId="21367"/>
    <cellStyle name="20 % - Markeringsfarve3 2 2 3 2 6 3" xfId="32724"/>
    <cellStyle name="20 % - Markeringsfarve3 2 2 3 2 7" xfId="11394"/>
    <cellStyle name="20 % - Markeringsfarve3 2 2 3 2 8" xfId="22200"/>
    <cellStyle name="20 % - Markeringsfarve3 2 2 3 2 9" xfId="22754"/>
    <cellStyle name="20 % - Markeringsfarve3 2 2 3 3" xfId="855"/>
    <cellStyle name="20 % - Markeringsfarve3 2 2 3 3 2" xfId="1687"/>
    <cellStyle name="20 % - Markeringsfarve3 2 2 3 3 2 2" xfId="3352"/>
    <cellStyle name="20 % - Markeringsfarve3 2 2 3 3 2 2 2" xfId="8340"/>
    <cellStyle name="20 % - Markeringsfarve3 2 2 3 3 2 2 2 2" xfId="19147"/>
    <cellStyle name="20 % - Markeringsfarve3 2 2 3 3 2 2 2 3" xfId="30504"/>
    <cellStyle name="20 % - Markeringsfarve3 2 2 3 3 2 2 3" xfId="14162"/>
    <cellStyle name="20 % - Markeringsfarve3 2 2 3 3 2 2 4" xfId="25520"/>
    <cellStyle name="20 % - Markeringsfarve3 2 2 3 3 2 3" xfId="5016"/>
    <cellStyle name="20 % - Markeringsfarve3 2 2 3 3 2 3 2" xfId="10001"/>
    <cellStyle name="20 % - Markeringsfarve3 2 2 3 3 2 3 2 2" xfId="20808"/>
    <cellStyle name="20 % - Markeringsfarve3 2 2 3 3 2 3 2 3" xfId="32165"/>
    <cellStyle name="20 % - Markeringsfarve3 2 2 3 3 2 3 3" xfId="15823"/>
    <cellStyle name="20 % - Markeringsfarve3 2 2 3 3 2 3 4" xfId="27181"/>
    <cellStyle name="20 % - Markeringsfarve3 2 2 3 3 2 4" xfId="6678"/>
    <cellStyle name="20 % - Markeringsfarve3 2 2 3 3 2 4 2" xfId="17486"/>
    <cellStyle name="20 % - Markeringsfarve3 2 2 3 3 2 4 3" xfId="28843"/>
    <cellStyle name="20 % - Markeringsfarve3 2 2 3 3 2 5" xfId="12501"/>
    <cellStyle name="20 % - Markeringsfarve3 2 2 3 3 2 6" xfId="23859"/>
    <cellStyle name="20 % - Markeringsfarve3 2 2 3 3 3" xfId="2521"/>
    <cellStyle name="20 % - Markeringsfarve3 2 2 3 3 3 2" xfId="7509"/>
    <cellStyle name="20 % - Markeringsfarve3 2 2 3 3 3 2 2" xfId="18316"/>
    <cellStyle name="20 % - Markeringsfarve3 2 2 3 3 3 2 3" xfId="29673"/>
    <cellStyle name="20 % - Markeringsfarve3 2 2 3 3 3 3" xfId="13331"/>
    <cellStyle name="20 % - Markeringsfarve3 2 2 3 3 3 4" xfId="24689"/>
    <cellStyle name="20 % - Markeringsfarve3 2 2 3 3 4" xfId="4185"/>
    <cellStyle name="20 % - Markeringsfarve3 2 2 3 3 4 2" xfId="9170"/>
    <cellStyle name="20 % - Markeringsfarve3 2 2 3 3 4 2 2" xfId="19977"/>
    <cellStyle name="20 % - Markeringsfarve3 2 2 3 3 4 2 3" xfId="31334"/>
    <cellStyle name="20 % - Markeringsfarve3 2 2 3 3 4 3" xfId="14992"/>
    <cellStyle name="20 % - Markeringsfarve3 2 2 3 3 4 4" xfId="26350"/>
    <cellStyle name="20 % - Markeringsfarve3 2 2 3 3 5" xfId="5847"/>
    <cellStyle name="20 % - Markeringsfarve3 2 2 3 3 5 2" xfId="16655"/>
    <cellStyle name="20 % - Markeringsfarve3 2 2 3 3 5 3" xfId="28012"/>
    <cellStyle name="20 % - Markeringsfarve3 2 2 3 3 6" xfId="10834"/>
    <cellStyle name="20 % - Markeringsfarve3 2 2 3 3 6 2" xfId="21641"/>
    <cellStyle name="20 % - Markeringsfarve3 2 2 3 3 6 3" xfId="32998"/>
    <cellStyle name="20 % - Markeringsfarve3 2 2 3 3 7" xfId="11669"/>
    <cellStyle name="20 % - Markeringsfarve3 2 2 3 3 8" xfId="23028"/>
    <cellStyle name="20 % - Markeringsfarve3 2 2 3 4" xfId="1134"/>
    <cellStyle name="20 % - Markeringsfarve3 2 2 3 4 2" xfId="2799"/>
    <cellStyle name="20 % - Markeringsfarve3 2 2 3 4 2 2" xfId="7787"/>
    <cellStyle name="20 % - Markeringsfarve3 2 2 3 4 2 2 2" xfId="18594"/>
    <cellStyle name="20 % - Markeringsfarve3 2 2 3 4 2 2 3" xfId="29951"/>
    <cellStyle name="20 % - Markeringsfarve3 2 2 3 4 2 3" xfId="13609"/>
    <cellStyle name="20 % - Markeringsfarve3 2 2 3 4 2 4" xfId="24967"/>
    <cellStyle name="20 % - Markeringsfarve3 2 2 3 4 3" xfId="4463"/>
    <cellStyle name="20 % - Markeringsfarve3 2 2 3 4 3 2" xfId="9448"/>
    <cellStyle name="20 % - Markeringsfarve3 2 2 3 4 3 2 2" xfId="20255"/>
    <cellStyle name="20 % - Markeringsfarve3 2 2 3 4 3 2 3" xfId="31612"/>
    <cellStyle name="20 % - Markeringsfarve3 2 2 3 4 3 3" xfId="15270"/>
    <cellStyle name="20 % - Markeringsfarve3 2 2 3 4 3 4" xfId="26628"/>
    <cellStyle name="20 % - Markeringsfarve3 2 2 3 4 4" xfId="6125"/>
    <cellStyle name="20 % - Markeringsfarve3 2 2 3 4 4 2" xfId="16933"/>
    <cellStyle name="20 % - Markeringsfarve3 2 2 3 4 4 3" xfId="28290"/>
    <cellStyle name="20 % - Markeringsfarve3 2 2 3 4 5" xfId="11948"/>
    <cellStyle name="20 % - Markeringsfarve3 2 2 3 4 6" xfId="23306"/>
    <cellStyle name="20 % - Markeringsfarve3 2 2 3 5" xfId="1969"/>
    <cellStyle name="20 % - Markeringsfarve3 2 2 3 5 2" xfId="6957"/>
    <cellStyle name="20 % - Markeringsfarve3 2 2 3 5 2 2" xfId="17765"/>
    <cellStyle name="20 % - Markeringsfarve3 2 2 3 5 2 3" xfId="29122"/>
    <cellStyle name="20 % - Markeringsfarve3 2 2 3 5 3" xfId="12780"/>
    <cellStyle name="20 % - Markeringsfarve3 2 2 3 5 4" xfId="24138"/>
    <cellStyle name="20 % - Markeringsfarve3 2 2 3 6" xfId="3634"/>
    <cellStyle name="20 % - Markeringsfarve3 2 2 3 6 2" xfId="8619"/>
    <cellStyle name="20 % - Markeringsfarve3 2 2 3 6 2 2" xfId="19426"/>
    <cellStyle name="20 % - Markeringsfarve3 2 2 3 6 2 3" xfId="30783"/>
    <cellStyle name="20 % - Markeringsfarve3 2 2 3 6 3" xfId="14441"/>
    <cellStyle name="20 % - Markeringsfarve3 2 2 3 6 4" xfId="25799"/>
    <cellStyle name="20 % - Markeringsfarve3 2 2 3 7" xfId="5295"/>
    <cellStyle name="20 % - Markeringsfarve3 2 2 3 7 2" xfId="16104"/>
    <cellStyle name="20 % - Markeringsfarve3 2 2 3 7 3" xfId="27461"/>
    <cellStyle name="20 % - Markeringsfarve3 2 2 3 8" xfId="10280"/>
    <cellStyle name="20 % - Markeringsfarve3 2 2 3 8 2" xfId="21087"/>
    <cellStyle name="20 % - Markeringsfarve3 2 2 3 8 3" xfId="32444"/>
    <cellStyle name="20 % - Markeringsfarve3 2 2 3 9" xfId="11114"/>
    <cellStyle name="20 % - Markeringsfarve3 2 2 4" xfId="319"/>
    <cellStyle name="20 % - Markeringsfarve3 2 2 4 10" xfId="21976"/>
    <cellStyle name="20 % - Markeringsfarve3 2 2 4 11" xfId="22529"/>
    <cellStyle name="20 % - Markeringsfarve3 2 2 4 12" xfId="33332"/>
    <cellStyle name="20 % - Markeringsfarve3 2 2 4 13" xfId="33607"/>
    <cellStyle name="20 % - Markeringsfarve3 2 2 4 14" xfId="33878"/>
    <cellStyle name="20 % - Markeringsfarve3 2 2 4 2" xfId="636"/>
    <cellStyle name="20 % - Markeringsfarve3 2 2 4 2 2" xfId="1468"/>
    <cellStyle name="20 % - Markeringsfarve3 2 2 4 2 2 2" xfId="3133"/>
    <cellStyle name="20 % - Markeringsfarve3 2 2 4 2 2 2 2" xfId="8121"/>
    <cellStyle name="20 % - Markeringsfarve3 2 2 4 2 2 2 2 2" xfId="18928"/>
    <cellStyle name="20 % - Markeringsfarve3 2 2 4 2 2 2 2 3" xfId="30285"/>
    <cellStyle name="20 % - Markeringsfarve3 2 2 4 2 2 2 3" xfId="13943"/>
    <cellStyle name="20 % - Markeringsfarve3 2 2 4 2 2 2 4" xfId="25301"/>
    <cellStyle name="20 % - Markeringsfarve3 2 2 4 2 2 3" xfId="4797"/>
    <cellStyle name="20 % - Markeringsfarve3 2 2 4 2 2 3 2" xfId="9782"/>
    <cellStyle name="20 % - Markeringsfarve3 2 2 4 2 2 3 2 2" xfId="20589"/>
    <cellStyle name="20 % - Markeringsfarve3 2 2 4 2 2 3 2 3" xfId="31946"/>
    <cellStyle name="20 % - Markeringsfarve3 2 2 4 2 2 3 3" xfId="15604"/>
    <cellStyle name="20 % - Markeringsfarve3 2 2 4 2 2 3 4" xfId="26962"/>
    <cellStyle name="20 % - Markeringsfarve3 2 2 4 2 2 4" xfId="6459"/>
    <cellStyle name="20 % - Markeringsfarve3 2 2 4 2 2 4 2" xfId="17267"/>
    <cellStyle name="20 % - Markeringsfarve3 2 2 4 2 2 4 3" xfId="28624"/>
    <cellStyle name="20 % - Markeringsfarve3 2 2 4 2 2 5" xfId="12282"/>
    <cellStyle name="20 % - Markeringsfarve3 2 2 4 2 2 6" xfId="23640"/>
    <cellStyle name="20 % - Markeringsfarve3 2 2 4 2 3" xfId="2302"/>
    <cellStyle name="20 % - Markeringsfarve3 2 2 4 2 3 2" xfId="7290"/>
    <cellStyle name="20 % - Markeringsfarve3 2 2 4 2 3 2 2" xfId="18097"/>
    <cellStyle name="20 % - Markeringsfarve3 2 2 4 2 3 2 3" xfId="29454"/>
    <cellStyle name="20 % - Markeringsfarve3 2 2 4 2 3 3" xfId="13112"/>
    <cellStyle name="20 % - Markeringsfarve3 2 2 4 2 3 4" xfId="24470"/>
    <cellStyle name="20 % - Markeringsfarve3 2 2 4 2 4" xfId="3966"/>
    <cellStyle name="20 % - Markeringsfarve3 2 2 4 2 4 2" xfId="8951"/>
    <cellStyle name="20 % - Markeringsfarve3 2 2 4 2 4 2 2" xfId="19758"/>
    <cellStyle name="20 % - Markeringsfarve3 2 2 4 2 4 2 3" xfId="31115"/>
    <cellStyle name="20 % - Markeringsfarve3 2 2 4 2 4 3" xfId="14773"/>
    <cellStyle name="20 % - Markeringsfarve3 2 2 4 2 4 4" xfId="26131"/>
    <cellStyle name="20 % - Markeringsfarve3 2 2 4 2 5" xfId="5628"/>
    <cellStyle name="20 % - Markeringsfarve3 2 2 4 2 5 2" xfId="16436"/>
    <cellStyle name="20 % - Markeringsfarve3 2 2 4 2 5 3" xfId="27793"/>
    <cellStyle name="20 % - Markeringsfarve3 2 2 4 2 6" xfId="10615"/>
    <cellStyle name="20 % - Markeringsfarve3 2 2 4 2 6 2" xfId="21422"/>
    <cellStyle name="20 % - Markeringsfarve3 2 2 4 2 6 3" xfId="32779"/>
    <cellStyle name="20 % - Markeringsfarve3 2 2 4 2 7" xfId="11449"/>
    <cellStyle name="20 % - Markeringsfarve3 2 2 4 2 8" xfId="22255"/>
    <cellStyle name="20 % - Markeringsfarve3 2 2 4 2 9" xfId="22809"/>
    <cellStyle name="20 % - Markeringsfarve3 2 2 4 3" xfId="910"/>
    <cellStyle name="20 % - Markeringsfarve3 2 2 4 3 2" xfId="1742"/>
    <cellStyle name="20 % - Markeringsfarve3 2 2 4 3 2 2" xfId="3407"/>
    <cellStyle name="20 % - Markeringsfarve3 2 2 4 3 2 2 2" xfId="8395"/>
    <cellStyle name="20 % - Markeringsfarve3 2 2 4 3 2 2 2 2" xfId="19202"/>
    <cellStyle name="20 % - Markeringsfarve3 2 2 4 3 2 2 2 3" xfId="30559"/>
    <cellStyle name="20 % - Markeringsfarve3 2 2 4 3 2 2 3" xfId="14217"/>
    <cellStyle name="20 % - Markeringsfarve3 2 2 4 3 2 2 4" xfId="25575"/>
    <cellStyle name="20 % - Markeringsfarve3 2 2 4 3 2 3" xfId="5071"/>
    <cellStyle name="20 % - Markeringsfarve3 2 2 4 3 2 3 2" xfId="10056"/>
    <cellStyle name="20 % - Markeringsfarve3 2 2 4 3 2 3 2 2" xfId="20863"/>
    <cellStyle name="20 % - Markeringsfarve3 2 2 4 3 2 3 2 3" xfId="32220"/>
    <cellStyle name="20 % - Markeringsfarve3 2 2 4 3 2 3 3" xfId="15878"/>
    <cellStyle name="20 % - Markeringsfarve3 2 2 4 3 2 3 4" xfId="27236"/>
    <cellStyle name="20 % - Markeringsfarve3 2 2 4 3 2 4" xfId="6733"/>
    <cellStyle name="20 % - Markeringsfarve3 2 2 4 3 2 4 2" xfId="17541"/>
    <cellStyle name="20 % - Markeringsfarve3 2 2 4 3 2 4 3" xfId="28898"/>
    <cellStyle name="20 % - Markeringsfarve3 2 2 4 3 2 5" xfId="12556"/>
    <cellStyle name="20 % - Markeringsfarve3 2 2 4 3 2 6" xfId="23914"/>
    <cellStyle name="20 % - Markeringsfarve3 2 2 4 3 3" xfId="2576"/>
    <cellStyle name="20 % - Markeringsfarve3 2 2 4 3 3 2" xfId="7564"/>
    <cellStyle name="20 % - Markeringsfarve3 2 2 4 3 3 2 2" xfId="18371"/>
    <cellStyle name="20 % - Markeringsfarve3 2 2 4 3 3 2 3" xfId="29728"/>
    <cellStyle name="20 % - Markeringsfarve3 2 2 4 3 3 3" xfId="13386"/>
    <cellStyle name="20 % - Markeringsfarve3 2 2 4 3 3 4" xfId="24744"/>
    <cellStyle name="20 % - Markeringsfarve3 2 2 4 3 4" xfId="4240"/>
    <cellStyle name="20 % - Markeringsfarve3 2 2 4 3 4 2" xfId="9225"/>
    <cellStyle name="20 % - Markeringsfarve3 2 2 4 3 4 2 2" xfId="20032"/>
    <cellStyle name="20 % - Markeringsfarve3 2 2 4 3 4 2 3" xfId="31389"/>
    <cellStyle name="20 % - Markeringsfarve3 2 2 4 3 4 3" xfId="15047"/>
    <cellStyle name="20 % - Markeringsfarve3 2 2 4 3 4 4" xfId="26405"/>
    <cellStyle name="20 % - Markeringsfarve3 2 2 4 3 5" xfId="5902"/>
    <cellStyle name="20 % - Markeringsfarve3 2 2 4 3 5 2" xfId="16710"/>
    <cellStyle name="20 % - Markeringsfarve3 2 2 4 3 5 3" xfId="28067"/>
    <cellStyle name="20 % - Markeringsfarve3 2 2 4 3 6" xfId="10889"/>
    <cellStyle name="20 % - Markeringsfarve3 2 2 4 3 6 2" xfId="21696"/>
    <cellStyle name="20 % - Markeringsfarve3 2 2 4 3 6 3" xfId="33053"/>
    <cellStyle name="20 % - Markeringsfarve3 2 2 4 3 7" xfId="11724"/>
    <cellStyle name="20 % - Markeringsfarve3 2 2 4 3 8" xfId="23083"/>
    <cellStyle name="20 % - Markeringsfarve3 2 2 4 4" xfId="1189"/>
    <cellStyle name="20 % - Markeringsfarve3 2 2 4 4 2" xfId="2854"/>
    <cellStyle name="20 % - Markeringsfarve3 2 2 4 4 2 2" xfId="7842"/>
    <cellStyle name="20 % - Markeringsfarve3 2 2 4 4 2 2 2" xfId="18649"/>
    <cellStyle name="20 % - Markeringsfarve3 2 2 4 4 2 2 3" xfId="30006"/>
    <cellStyle name="20 % - Markeringsfarve3 2 2 4 4 2 3" xfId="13664"/>
    <cellStyle name="20 % - Markeringsfarve3 2 2 4 4 2 4" xfId="25022"/>
    <cellStyle name="20 % - Markeringsfarve3 2 2 4 4 3" xfId="4518"/>
    <cellStyle name="20 % - Markeringsfarve3 2 2 4 4 3 2" xfId="9503"/>
    <cellStyle name="20 % - Markeringsfarve3 2 2 4 4 3 2 2" xfId="20310"/>
    <cellStyle name="20 % - Markeringsfarve3 2 2 4 4 3 2 3" xfId="31667"/>
    <cellStyle name="20 % - Markeringsfarve3 2 2 4 4 3 3" xfId="15325"/>
    <cellStyle name="20 % - Markeringsfarve3 2 2 4 4 3 4" xfId="26683"/>
    <cellStyle name="20 % - Markeringsfarve3 2 2 4 4 4" xfId="6180"/>
    <cellStyle name="20 % - Markeringsfarve3 2 2 4 4 4 2" xfId="16988"/>
    <cellStyle name="20 % - Markeringsfarve3 2 2 4 4 4 3" xfId="28345"/>
    <cellStyle name="20 % - Markeringsfarve3 2 2 4 4 5" xfId="12003"/>
    <cellStyle name="20 % - Markeringsfarve3 2 2 4 4 6" xfId="23361"/>
    <cellStyle name="20 % - Markeringsfarve3 2 2 4 5" xfId="2024"/>
    <cellStyle name="20 % - Markeringsfarve3 2 2 4 5 2" xfId="7012"/>
    <cellStyle name="20 % - Markeringsfarve3 2 2 4 5 2 2" xfId="17820"/>
    <cellStyle name="20 % - Markeringsfarve3 2 2 4 5 2 3" xfId="29177"/>
    <cellStyle name="20 % - Markeringsfarve3 2 2 4 5 3" xfId="12835"/>
    <cellStyle name="20 % - Markeringsfarve3 2 2 4 5 4" xfId="24193"/>
    <cellStyle name="20 % - Markeringsfarve3 2 2 4 6" xfId="3689"/>
    <cellStyle name="20 % - Markeringsfarve3 2 2 4 6 2" xfId="8674"/>
    <cellStyle name="20 % - Markeringsfarve3 2 2 4 6 2 2" xfId="19481"/>
    <cellStyle name="20 % - Markeringsfarve3 2 2 4 6 2 3" xfId="30838"/>
    <cellStyle name="20 % - Markeringsfarve3 2 2 4 6 3" xfId="14496"/>
    <cellStyle name="20 % - Markeringsfarve3 2 2 4 6 4" xfId="25854"/>
    <cellStyle name="20 % - Markeringsfarve3 2 2 4 7" xfId="5350"/>
    <cellStyle name="20 % - Markeringsfarve3 2 2 4 7 2" xfId="16159"/>
    <cellStyle name="20 % - Markeringsfarve3 2 2 4 7 3" xfId="27516"/>
    <cellStyle name="20 % - Markeringsfarve3 2 2 4 8" xfId="10335"/>
    <cellStyle name="20 % - Markeringsfarve3 2 2 4 8 2" xfId="21142"/>
    <cellStyle name="20 % - Markeringsfarve3 2 2 4 8 3" xfId="32499"/>
    <cellStyle name="20 % - Markeringsfarve3 2 2 4 9" xfId="11169"/>
    <cellStyle name="20 % - Markeringsfarve3 2 2 5" xfId="375"/>
    <cellStyle name="20 % - Markeringsfarve3 2 2 5 10" xfId="22032"/>
    <cellStyle name="20 % - Markeringsfarve3 2 2 5 11" xfId="22585"/>
    <cellStyle name="20 % - Markeringsfarve3 2 2 5 12" xfId="33388"/>
    <cellStyle name="20 % - Markeringsfarve3 2 2 5 13" xfId="33663"/>
    <cellStyle name="20 % - Markeringsfarve3 2 2 5 14" xfId="33934"/>
    <cellStyle name="20 % - Markeringsfarve3 2 2 5 2" xfId="692"/>
    <cellStyle name="20 % - Markeringsfarve3 2 2 5 2 2" xfId="1524"/>
    <cellStyle name="20 % - Markeringsfarve3 2 2 5 2 2 2" xfId="3189"/>
    <cellStyle name="20 % - Markeringsfarve3 2 2 5 2 2 2 2" xfId="8177"/>
    <cellStyle name="20 % - Markeringsfarve3 2 2 5 2 2 2 2 2" xfId="18984"/>
    <cellStyle name="20 % - Markeringsfarve3 2 2 5 2 2 2 2 3" xfId="30341"/>
    <cellStyle name="20 % - Markeringsfarve3 2 2 5 2 2 2 3" xfId="13999"/>
    <cellStyle name="20 % - Markeringsfarve3 2 2 5 2 2 2 4" xfId="25357"/>
    <cellStyle name="20 % - Markeringsfarve3 2 2 5 2 2 3" xfId="4853"/>
    <cellStyle name="20 % - Markeringsfarve3 2 2 5 2 2 3 2" xfId="9838"/>
    <cellStyle name="20 % - Markeringsfarve3 2 2 5 2 2 3 2 2" xfId="20645"/>
    <cellStyle name="20 % - Markeringsfarve3 2 2 5 2 2 3 2 3" xfId="32002"/>
    <cellStyle name="20 % - Markeringsfarve3 2 2 5 2 2 3 3" xfId="15660"/>
    <cellStyle name="20 % - Markeringsfarve3 2 2 5 2 2 3 4" xfId="27018"/>
    <cellStyle name="20 % - Markeringsfarve3 2 2 5 2 2 4" xfId="6515"/>
    <cellStyle name="20 % - Markeringsfarve3 2 2 5 2 2 4 2" xfId="17323"/>
    <cellStyle name="20 % - Markeringsfarve3 2 2 5 2 2 4 3" xfId="28680"/>
    <cellStyle name="20 % - Markeringsfarve3 2 2 5 2 2 5" xfId="12338"/>
    <cellStyle name="20 % - Markeringsfarve3 2 2 5 2 2 6" xfId="23696"/>
    <cellStyle name="20 % - Markeringsfarve3 2 2 5 2 3" xfId="2358"/>
    <cellStyle name="20 % - Markeringsfarve3 2 2 5 2 3 2" xfId="7346"/>
    <cellStyle name="20 % - Markeringsfarve3 2 2 5 2 3 2 2" xfId="18153"/>
    <cellStyle name="20 % - Markeringsfarve3 2 2 5 2 3 2 3" xfId="29510"/>
    <cellStyle name="20 % - Markeringsfarve3 2 2 5 2 3 3" xfId="13168"/>
    <cellStyle name="20 % - Markeringsfarve3 2 2 5 2 3 4" xfId="24526"/>
    <cellStyle name="20 % - Markeringsfarve3 2 2 5 2 4" xfId="4022"/>
    <cellStyle name="20 % - Markeringsfarve3 2 2 5 2 4 2" xfId="9007"/>
    <cellStyle name="20 % - Markeringsfarve3 2 2 5 2 4 2 2" xfId="19814"/>
    <cellStyle name="20 % - Markeringsfarve3 2 2 5 2 4 2 3" xfId="31171"/>
    <cellStyle name="20 % - Markeringsfarve3 2 2 5 2 4 3" xfId="14829"/>
    <cellStyle name="20 % - Markeringsfarve3 2 2 5 2 4 4" xfId="26187"/>
    <cellStyle name="20 % - Markeringsfarve3 2 2 5 2 5" xfId="5684"/>
    <cellStyle name="20 % - Markeringsfarve3 2 2 5 2 5 2" xfId="16492"/>
    <cellStyle name="20 % - Markeringsfarve3 2 2 5 2 5 3" xfId="27849"/>
    <cellStyle name="20 % - Markeringsfarve3 2 2 5 2 6" xfId="10671"/>
    <cellStyle name="20 % - Markeringsfarve3 2 2 5 2 6 2" xfId="21478"/>
    <cellStyle name="20 % - Markeringsfarve3 2 2 5 2 6 3" xfId="32835"/>
    <cellStyle name="20 % - Markeringsfarve3 2 2 5 2 7" xfId="11505"/>
    <cellStyle name="20 % - Markeringsfarve3 2 2 5 2 8" xfId="22311"/>
    <cellStyle name="20 % - Markeringsfarve3 2 2 5 2 9" xfId="22865"/>
    <cellStyle name="20 % - Markeringsfarve3 2 2 5 3" xfId="966"/>
    <cellStyle name="20 % - Markeringsfarve3 2 2 5 3 2" xfId="1798"/>
    <cellStyle name="20 % - Markeringsfarve3 2 2 5 3 2 2" xfId="3463"/>
    <cellStyle name="20 % - Markeringsfarve3 2 2 5 3 2 2 2" xfId="8451"/>
    <cellStyle name="20 % - Markeringsfarve3 2 2 5 3 2 2 2 2" xfId="19258"/>
    <cellStyle name="20 % - Markeringsfarve3 2 2 5 3 2 2 2 3" xfId="30615"/>
    <cellStyle name="20 % - Markeringsfarve3 2 2 5 3 2 2 3" xfId="14273"/>
    <cellStyle name="20 % - Markeringsfarve3 2 2 5 3 2 2 4" xfId="25631"/>
    <cellStyle name="20 % - Markeringsfarve3 2 2 5 3 2 3" xfId="5127"/>
    <cellStyle name="20 % - Markeringsfarve3 2 2 5 3 2 3 2" xfId="10112"/>
    <cellStyle name="20 % - Markeringsfarve3 2 2 5 3 2 3 2 2" xfId="20919"/>
    <cellStyle name="20 % - Markeringsfarve3 2 2 5 3 2 3 2 3" xfId="32276"/>
    <cellStyle name="20 % - Markeringsfarve3 2 2 5 3 2 3 3" xfId="15934"/>
    <cellStyle name="20 % - Markeringsfarve3 2 2 5 3 2 3 4" xfId="27292"/>
    <cellStyle name="20 % - Markeringsfarve3 2 2 5 3 2 4" xfId="6789"/>
    <cellStyle name="20 % - Markeringsfarve3 2 2 5 3 2 4 2" xfId="17597"/>
    <cellStyle name="20 % - Markeringsfarve3 2 2 5 3 2 4 3" xfId="28954"/>
    <cellStyle name="20 % - Markeringsfarve3 2 2 5 3 2 5" xfId="12612"/>
    <cellStyle name="20 % - Markeringsfarve3 2 2 5 3 2 6" xfId="23970"/>
    <cellStyle name="20 % - Markeringsfarve3 2 2 5 3 3" xfId="2632"/>
    <cellStyle name="20 % - Markeringsfarve3 2 2 5 3 3 2" xfId="7620"/>
    <cellStyle name="20 % - Markeringsfarve3 2 2 5 3 3 2 2" xfId="18427"/>
    <cellStyle name="20 % - Markeringsfarve3 2 2 5 3 3 2 3" xfId="29784"/>
    <cellStyle name="20 % - Markeringsfarve3 2 2 5 3 3 3" xfId="13442"/>
    <cellStyle name="20 % - Markeringsfarve3 2 2 5 3 3 4" xfId="24800"/>
    <cellStyle name="20 % - Markeringsfarve3 2 2 5 3 4" xfId="4296"/>
    <cellStyle name="20 % - Markeringsfarve3 2 2 5 3 4 2" xfId="9281"/>
    <cellStyle name="20 % - Markeringsfarve3 2 2 5 3 4 2 2" xfId="20088"/>
    <cellStyle name="20 % - Markeringsfarve3 2 2 5 3 4 2 3" xfId="31445"/>
    <cellStyle name="20 % - Markeringsfarve3 2 2 5 3 4 3" xfId="15103"/>
    <cellStyle name="20 % - Markeringsfarve3 2 2 5 3 4 4" xfId="26461"/>
    <cellStyle name="20 % - Markeringsfarve3 2 2 5 3 5" xfId="5958"/>
    <cellStyle name="20 % - Markeringsfarve3 2 2 5 3 5 2" xfId="16766"/>
    <cellStyle name="20 % - Markeringsfarve3 2 2 5 3 5 3" xfId="28123"/>
    <cellStyle name="20 % - Markeringsfarve3 2 2 5 3 6" xfId="10945"/>
    <cellStyle name="20 % - Markeringsfarve3 2 2 5 3 6 2" xfId="21752"/>
    <cellStyle name="20 % - Markeringsfarve3 2 2 5 3 6 3" xfId="33109"/>
    <cellStyle name="20 % - Markeringsfarve3 2 2 5 3 7" xfId="11780"/>
    <cellStyle name="20 % - Markeringsfarve3 2 2 5 3 8" xfId="23139"/>
    <cellStyle name="20 % - Markeringsfarve3 2 2 5 4" xfId="1245"/>
    <cellStyle name="20 % - Markeringsfarve3 2 2 5 4 2" xfId="2910"/>
    <cellStyle name="20 % - Markeringsfarve3 2 2 5 4 2 2" xfId="7898"/>
    <cellStyle name="20 % - Markeringsfarve3 2 2 5 4 2 2 2" xfId="18705"/>
    <cellStyle name="20 % - Markeringsfarve3 2 2 5 4 2 2 3" xfId="30062"/>
    <cellStyle name="20 % - Markeringsfarve3 2 2 5 4 2 3" xfId="13720"/>
    <cellStyle name="20 % - Markeringsfarve3 2 2 5 4 2 4" xfId="25078"/>
    <cellStyle name="20 % - Markeringsfarve3 2 2 5 4 3" xfId="4574"/>
    <cellStyle name="20 % - Markeringsfarve3 2 2 5 4 3 2" xfId="9559"/>
    <cellStyle name="20 % - Markeringsfarve3 2 2 5 4 3 2 2" xfId="20366"/>
    <cellStyle name="20 % - Markeringsfarve3 2 2 5 4 3 2 3" xfId="31723"/>
    <cellStyle name="20 % - Markeringsfarve3 2 2 5 4 3 3" xfId="15381"/>
    <cellStyle name="20 % - Markeringsfarve3 2 2 5 4 3 4" xfId="26739"/>
    <cellStyle name="20 % - Markeringsfarve3 2 2 5 4 4" xfId="6236"/>
    <cellStyle name="20 % - Markeringsfarve3 2 2 5 4 4 2" xfId="17044"/>
    <cellStyle name="20 % - Markeringsfarve3 2 2 5 4 4 3" xfId="28401"/>
    <cellStyle name="20 % - Markeringsfarve3 2 2 5 4 5" xfId="12059"/>
    <cellStyle name="20 % - Markeringsfarve3 2 2 5 4 6" xfId="23417"/>
    <cellStyle name="20 % - Markeringsfarve3 2 2 5 5" xfId="2080"/>
    <cellStyle name="20 % - Markeringsfarve3 2 2 5 5 2" xfId="7068"/>
    <cellStyle name="20 % - Markeringsfarve3 2 2 5 5 2 2" xfId="17876"/>
    <cellStyle name="20 % - Markeringsfarve3 2 2 5 5 2 3" xfId="29233"/>
    <cellStyle name="20 % - Markeringsfarve3 2 2 5 5 3" xfId="12891"/>
    <cellStyle name="20 % - Markeringsfarve3 2 2 5 5 4" xfId="24249"/>
    <cellStyle name="20 % - Markeringsfarve3 2 2 5 6" xfId="3745"/>
    <cellStyle name="20 % - Markeringsfarve3 2 2 5 6 2" xfId="8730"/>
    <cellStyle name="20 % - Markeringsfarve3 2 2 5 6 2 2" xfId="19537"/>
    <cellStyle name="20 % - Markeringsfarve3 2 2 5 6 2 3" xfId="30894"/>
    <cellStyle name="20 % - Markeringsfarve3 2 2 5 6 3" xfId="14552"/>
    <cellStyle name="20 % - Markeringsfarve3 2 2 5 6 4" xfId="25910"/>
    <cellStyle name="20 % - Markeringsfarve3 2 2 5 7" xfId="5406"/>
    <cellStyle name="20 % - Markeringsfarve3 2 2 5 7 2" xfId="16215"/>
    <cellStyle name="20 % - Markeringsfarve3 2 2 5 7 3" xfId="27572"/>
    <cellStyle name="20 % - Markeringsfarve3 2 2 5 8" xfId="10391"/>
    <cellStyle name="20 % - Markeringsfarve3 2 2 5 8 2" xfId="21198"/>
    <cellStyle name="20 % - Markeringsfarve3 2 2 5 8 3" xfId="32555"/>
    <cellStyle name="20 % - Markeringsfarve3 2 2 5 9" xfId="11225"/>
    <cellStyle name="20 % - Markeringsfarve3 2 2 6" xfId="475"/>
    <cellStyle name="20 % - Markeringsfarve3 2 2 6 2" xfId="1305"/>
    <cellStyle name="20 % - Markeringsfarve3 2 2 6 2 2" xfId="2970"/>
    <cellStyle name="20 % - Markeringsfarve3 2 2 6 2 2 2" xfId="7958"/>
    <cellStyle name="20 % - Markeringsfarve3 2 2 6 2 2 2 2" xfId="18765"/>
    <cellStyle name="20 % - Markeringsfarve3 2 2 6 2 2 2 3" xfId="30122"/>
    <cellStyle name="20 % - Markeringsfarve3 2 2 6 2 2 3" xfId="13780"/>
    <cellStyle name="20 % - Markeringsfarve3 2 2 6 2 2 4" xfId="25138"/>
    <cellStyle name="20 % - Markeringsfarve3 2 2 6 2 3" xfId="4634"/>
    <cellStyle name="20 % - Markeringsfarve3 2 2 6 2 3 2" xfId="9619"/>
    <cellStyle name="20 % - Markeringsfarve3 2 2 6 2 3 2 2" xfId="20426"/>
    <cellStyle name="20 % - Markeringsfarve3 2 2 6 2 3 2 3" xfId="31783"/>
    <cellStyle name="20 % - Markeringsfarve3 2 2 6 2 3 3" xfId="15441"/>
    <cellStyle name="20 % - Markeringsfarve3 2 2 6 2 3 4" xfId="26799"/>
    <cellStyle name="20 % - Markeringsfarve3 2 2 6 2 4" xfId="6296"/>
    <cellStyle name="20 % - Markeringsfarve3 2 2 6 2 4 2" xfId="17104"/>
    <cellStyle name="20 % - Markeringsfarve3 2 2 6 2 4 3" xfId="28461"/>
    <cellStyle name="20 % - Markeringsfarve3 2 2 6 2 5" xfId="12119"/>
    <cellStyle name="20 % - Markeringsfarve3 2 2 6 2 6" xfId="23477"/>
    <cellStyle name="20 % - Markeringsfarve3 2 2 6 3" xfId="2141"/>
    <cellStyle name="20 % - Markeringsfarve3 2 2 6 3 2" xfId="7129"/>
    <cellStyle name="20 % - Markeringsfarve3 2 2 6 3 2 2" xfId="17936"/>
    <cellStyle name="20 % - Markeringsfarve3 2 2 6 3 2 3" xfId="29293"/>
    <cellStyle name="20 % - Markeringsfarve3 2 2 6 3 3" xfId="12951"/>
    <cellStyle name="20 % - Markeringsfarve3 2 2 6 3 4" xfId="24309"/>
    <cellStyle name="20 % - Markeringsfarve3 2 2 6 4" xfId="3805"/>
    <cellStyle name="20 % - Markeringsfarve3 2 2 6 4 2" xfId="8790"/>
    <cellStyle name="20 % - Markeringsfarve3 2 2 6 4 2 2" xfId="19597"/>
    <cellStyle name="20 % - Markeringsfarve3 2 2 6 4 2 3" xfId="30954"/>
    <cellStyle name="20 % - Markeringsfarve3 2 2 6 4 3" xfId="14612"/>
    <cellStyle name="20 % - Markeringsfarve3 2 2 6 4 4" xfId="25970"/>
    <cellStyle name="20 % - Markeringsfarve3 2 2 6 5" xfId="5467"/>
    <cellStyle name="20 % - Markeringsfarve3 2 2 6 5 2" xfId="16275"/>
    <cellStyle name="20 % - Markeringsfarve3 2 2 6 5 3" xfId="27632"/>
    <cellStyle name="20 % - Markeringsfarve3 2 2 6 6" xfId="10456"/>
    <cellStyle name="20 % - Markeringsfarve3 2 2 6 6 2" xfId="21263"/>
    <cellStyle name="20 % - Markeringsfarve3 2 2 6 6 3" xfId="32620"/>
    <cellStyle name="20 % - Markeringsfarve3 2 2 6 7" xfId="11286"/>
    <cellStyle name="20 % - Markeringsfarve3 2 2 6 8" xfId="22092"/>
    <cellStyle name="20 % - Markeringsfarve3 2 2 6 9" xfId="22646"/>
    <cellStyle name="20 % - Markeringsfarve3 2 2 7" xfId="747"/>
    <cellStyle name="20 % - Markeringsfarve3 2 2 7 2" xfId="1579"/>
    <cellStyle name="20 % - Markeringsfarve3 2 2 7 2 2" xfId="3244"/>
    <cellStyle name="20 % - Markeringsfarve3 2 2 7 2 2 2" xfId="8232"/>
    <cellStyle name="20 % - Markeringsfarve3 2 2 7 2 2 2 2" xfId="19039"/>
    <cellStyle name="20 % - Markeringsfarve3 2 2 7 2 2 2 3" xfId="30396"/>
    <cellStyle name="20 % - Markeringsfarve3 2 2 7 2 2 3" xfId="14054"/>
    <cellStyle name="20 % - Markeringsfarve3 2 2 7 2 2 4" xfId="25412"/>
    <cellStyle name="20 % - Markeringsfarve3 2 2 7 2 3" xfId="4908"/>
    <cellStyle name="20 % - Markeringsfarve3 2 2 7 2 3 2" xfId="9893"/>
    <cellStyle name="20 % - Markeringsfarve3 2 2 7 2 3 2 2" xfId="20700"/>
    <cellStyle name="20 % - Markeringsfarve3 2 2 7 2 3 2 3" xfId="32057"/>
    <cellStyle name="20 % - Markeringsfarve3 2 2 7 2 3 3" xfId="15715"/>
    <cellStyle name="20 % - Markeringsfarve3 2 2 7 2 3 4" xfId="27073"/>
    <cellStyle name="20 % - Markeringsfarve3 2 2 7 2 4" xfId="6570"/>
    <cellStyle name="20 % - Markeringsfarve3 2 2 7 2 4 2" xfId="17378"/>
    <cellStyle name="20 % - Markeringsfarve3 2 2 7 2 4 3" xfId="28735"/>
    <cellStyle name="20 % - Markeringsfarve3 2 2 7 2 5" xfId="12393"/>
    <cellStyle name="20 % - Markeringsfarve3 2 2 7 2 6" xfId="23751"/>
    <cellStyle name="20 % - Markeringsfarve3 2 2 7 3" xfId="2413"/>
    <cellStyle name="20 % - Markeringsfarve3 2 2 7 3 2" xfId="7401"/>
    <cellStyle name="20 % - Markeringsfarve3 2 2 7 3 2 2" xfId="18208"/>
    <cellStyle name="20 % - Markeringsfarve3 2 2 7 3 2 3" xfId="29565"/>
    <cellStyle name="20 % - Markeringsfarve3 2 2 7 3 3" xfId="13223"/>
    <cellStyle name="20 % - Markeringsfarve3 2 2 7 3 4" xfId="24581"/>
    <cellStyle name="20 % - Markeringsfarve3 2 2 7 4" xfId="4077"/>
    <cellStyle name="20 % - Markeringsfarve3 2 2 7 4 2" xfId="9062"/>
    <cellStyle name="20 % - Markeringsfarve3 2 2 7 4 2 2" xfId="19869"/>
    <cellStyle name="20 % - Markeringsfarve3 2 2 7 4 2 3" xfId="31226"/>
    <cellStyle name="20 % - Markeringsfarve3 2 2 7 4 3" xfId="14884"/>
    <cellStyle name="20 % - Markeringsfarve3 2 2 7 4 4" xfId="26242"/>
    <cellStyle name="20 % - Markeringsfarve3 2 2 7 5" xfId="5739"/>
    <cellStyle name="20 % - Markeringsfarve3 2 2 7 5 2" xfId="16547"/>
    <cellStyle name="20 % - Markeringsfarve3 2 2 7 5 3" xfId="27904"/>
    <cellStyle name="20 % - Markeringsfarve3 2 2 7 6" xfId="10726"/>
    <cellStyle name="20 % - Markeringsfarve3 2 2 7 6 2" xfId="21533"/>
    <cellStyle name="20 % - Markeringsfarve3 2 2 7 6 3" xfId="32890"/>
    <cellStyle name="20 % - Markeringsfarve3 2 2 7 7" xfId="11561"/>
    <cellStyle name="20 % - Markeringsfarve3 2 2 7 8" xfId="22920"/>
    <cellStyle name="20 % - Markeringsfarve3 2 2 8" xfId="1026"/>
    <cellStyle name="20 % - Markeringsfarve3 2 2 8 2" xfId="2691"/>
    <cellStyle name="20 % - Markeringsfarve3 2 2 8 2 2" xfId="7679"/>
    <cellStyle name="20 % - Markeringsfarve3 2 2 8 2 2 2" xfId="18486"/>
    <cellStyle name="20 % - Markeringsfarve3 2 2 8 2 2 3" xfId="29843"/>
    <cellStyle name="20 % - Markeringsfarve3 2 2 8 2 3" xfId="13501"/>
    <cellStyle name="20 % - Markeringsfarve3 2 2 8 2 4" xfId="24859"/>
    <cellStyle name="20 % - Markeringsfarve3 2 2 8 3" xfId="4355"/>
    <cellStyle name="20 % - Markeringsfarve3 2 2 8 3 2" xfId="9340"/>
    <cellStyle name="20 % - Markeringsfarve3 2 2 8 3 2 2" xfId="20147"/>
    <cellStyle name="20 % - Markeringsfarve3 2 2 8 3 2 3" xfId="31504"/>
    <cellStyle name="20 % - Markeringsfarve3 2 2 8 3 3" xfId="15162"/>
    <cellStyle name="20 % - Markeringsfarve3 2 2 8 3 4" xfId="26520"/>
    <cellStyle name="20 % - Markeringsfarve3 2 2 8 4" xfId="6017"/>
    <cellStyle name="20 % - Markeringsfarve3 2 2 8 4 2" xfId="16825"/>
    <cellStyle name="20 % - Markeringsfarve3 2 2 8 4 3" xfId="28182"/>
    <cellStyle name="20 % - Markeringsfarve3 2 2 8 5" xfId="11840"/>
    <cellStyle name="20 % - Markeringsfarve3 2 2 8 6" xfId="23198"/>
    <cellStyle name="20 % - Markeringsfarve3 2 2 9" xfId="1862"/>
    <cellStyle name="20 % - Markeringsfarve3 2 2 9 2" xfId="6850"/>
    <cellStyle name="20 % - Markeringsfarve3 2 2 9 2 2" xfId="17658"/>
    <cellStyle name="20 % - Markeringsfarve3 2 2 9 2 3" xfId="29015"/>
    <cellStyle name="20 % - Markeringsfarve3 2 2 9 3" xfId="12673"/>
    <cellStyle name="20 % - Markeringsfarve3 2 2 9 4" xfId="24031"/>
    <cellStyle name="20 % - Markeringsfarve3 2 3" xfId="192"/>
    <cellStyle name="20 % - Markeringsfarve3 2 3 10" xfId="21850"/>
    <cellStyle name="20 % - Markeringsfarve3 2 3 11" xfId="22403"/>
    <cellStyle name="20 % - Markeringsfarve3 2 3 12" xfId="33206"/>
    <cellStyle name="20 % - Markeringsfarve3 2 3 13" xfId="33479"/>
    <cellStyle name="20 % - Markeringsfarve3 2 3 14" xfId="33750"/>
    <cellStyle name="20 % - Markeringsfarve3 2 3 2" xfId="512"/>
    <cellStyle name="20 % - Markeringsfarve3 2 3 2 2" xfId="1342"/>
    <cellStyle name="20 % - Markeringsfarve3 2 3 2 2 2" xfId="3007"/>
    <cellStyle name="20 % - Markeringsfarve3 2 3 2 2 2 2" xfId="7995"/>
    <cellStyle name="20 % - Markeringsfarve3 2 3 2 2 2 2 2" xfId="18802"/>
    <cellStyle name="20 % - Markeringsfarve3 2 3 2 2 2 2 3" xfId="30159"/>
    <cellStyle name="20 % - Markeringsfarve3 2 3 2 2 2 3" xfId="13817"/>
    <cellStyle name="20 % - Markeringsfarve3 2 3 2 2 2 4" xfId="25175"/>
    <cellStyle name="20 % - Markeringsfarve3 2 3 2 2 3" xfId="4671"/>
    <cellStyle name="20 % - Markeringsfarve3 2 3 2 2 3 2" xfId="9656"/>
    <cellStyle name="20 % - Markeringsfarve3 2 3 2 2 3 2 2" xfId="20463"/>
    <cellStyle name="20 % - Markeringsfarve3 2 3 2 2 3 2 3" xfId="31820"/>
    <cellStyle name="20 % - Markeringsfarve3 2 3 2 2 3 3" xfId="15478"/>
    <cellStyle name="20 % - Markeringsfarve3 2 3 2 2 3 4" xfId="26836"/>
    <cellStyle name="20 % - Markeringsfarve3 2 3 2 2 4" xfId="6333"/>
    <cellStyle name="20 % - Markeringsfarve3 2 3 2 2 4 2" xfId="17141"/>
    <cellStyle name="20 % - Markeringsfarve3 2 3 2 2 4 3" xfId="28498"/>
    <cellStyle name="20 % - Markeringsfarve3 2 3 2 2 5" xfId="12156"/>
    <cellStyle name="20 % - Markeringsfarve3 2 3 2 2 6" xfId="23514"/>
    <cellStyle name="20 % - Markeringsfarve3 2 3 2 3" xfId="2178"/>
    <cellStyle name="20 % - Markeringsfarve3 2 3 2 3 2" xfId="7166"/>
    <cellStyle name="20 % - Markeringsfarve3 2 3 2 3 2 2" xfId="17973"/>
    <cellStyle name="20 % - Markeringsfarve3 2 3 2 3 2 3" xfId="29330"/>
    <cellStyle name="20 % - Markeringsfarve3 2 3 2 3 3" xfId="12988"/>
    <cellStyle name="20 % - Markeringsfarve3 2 3 2 3 4" xfId="24346"/>
    <cellStyle name="20 % - Markeringsfarve3 2 3 2 4" xfId="3842"/>
    <cellStyle name="20 % - Markeringsfarve3 2 3 2 4 2" xfId="8827"/>
    <cellStyle name="20 % - Markeringsfarve3 2 3 2 4 2 2" xfId="19634"/>
    <cellStyle name="20 % - Markeringsfarve3 2 3 2 4 2 3" xfId="30991"/>
    <cellStyle name="20 % - Markeringsfarve3 2 3 2 4 3" xfId="14649"/>
    <cellStyle name="20 % - Markeringsfarve3 2 3 2 4 4" xfId="26007"/>
    <cellStyle name="20 % - Markeringsfarve3 2 3 2 5" xfId="5504"/>
    <cellStyle name="20 % - Markeringsfarve3 2 3 2 5 2" xfId="16312"/>
    <cellStyle name="20 % - Markeringsfarve3 2 3 2 5 3" xfId="27669"/>
    <cellStyle name="20 % - Markeringsfarve3 2 3 2 6" xfId="10489"/>
    <cellStyle name="20 % - Markeringsfarve3 2 3 2 6 2" xfId="21296"/>
    <cellStyle name="20 % - Markeringsfarve3 2 3 2 6 3" xfId="32653"/>
    <cellStyle name="20 % - Markeringsfarve3 2 3 2 7" xfId="11323"/>
    <cellStyle name="20 % - Markeringsfarve3 2 3 2 8" xfId="22129"/>
    <cellStyle name="20 % - Markeringsfarve3 2 3 2 9" xfId="22683"/>
    <cellStyle name="20 % - Markeringsfarve3 2 3 3" xfId="784"/>
    <cellStyle name="20 % - Markeringsfarve3 2 3 3 2" xfId="1616"/>
    <cellStyle name="20 % - Markeringsfarve3 2 3 3 2 2" xfId="3281"/>
    <cellStyle name="20 % - Markeringsfarve3 2 3 3 2 2 2" xfId="8269"/>
    <cellStyle name="20 % - Markeringsfarve3 2 3 3 2 2 2 2" xfId="19076"/>
    <cellStyle name="20 % - Markeringsfarve3 2 3 3 2 2 2 3" xfId="30433"/>
    <cellStyle name="20 % - Markeringsfarve3 2 3 3 2 2 3" xfId="14091"/>
    <cellStyle name="20 % - Markeringsfarve3 2 3 3 2 2 4" xfId="25449"/>
    <cellStyle name="20 % - Markeringsfarve3 2 3 3 2 3" xfId="4945"/>
    <cellStyle name="20 % - Markeringsfarve3 2 3 3 2 3 2" xfId="9930"/>
    <cellStyle name="20 % - Markeringsfarve3 2 3 3 2 3 2 2" xfId="20737"/>
    <cellStyle name="20 % - Markeringsfarve3 2 3 3 2 3 2 3" xfId="32094"/>
    <cellStyle name="20 % - Markeringsfarve3 2 3 3 2 3 3" xfId="15752"/>
    <cellStyle name="20 % - Markeringsfarve3 2 3 3 2 3 4" xfId="27110"/>
    <cellStyle name="20 % - Markeringsfarve3 2 3 3 2 4" xfId="6607"/>
    <cellStyle name="20 % - Markeringsfarve3 2 3 3 2 4 2" xfId="17415"/>
    <cellStyle name="20 % - Markeringsfarve3 2 3 3 2 4 3" xfId="28772"/>
    <cellStyle name="20 % - Markeringsfarve3 2 3 3 2 5" xfId="12430"/>
    <cellStyle name="20 % - Markeringsfarve3 2 3 3 2 6" xfId="23788"/>
    <cellStyle name="20 % - Markeringsfarve3 2 3 3 3" xfId="2450"/>
    <cellStyle name="20 % - Markeringsfarve3 2 3 3 3 2" xfId="7438"/>
    <cellStyle name="20 % - Markeringsfarve3 2 3 3 3 2 2" xfId="18245"/>
    <cellStyle name="20 % - Markeringsfarve3 2 3 3 3 2 3" xfId="29602"/>
    <cellStyle name="20 % - Markeringsfarve3 2 3 3 3 3" xfId="13260"/>
    <cellStyle name="20 % - Markeringsfarve3 2 3 3 3 4" xfId="24618"/>
    <cellStyle name="20 % - Markeringsfarve3 2 3 3 4" xfId="4114"/>
    <cellStyle name="20 % - Markeringsfarve3 2 3 3 4 2" xfId="9099"/>
    <cellStyle name="20 % - Markeringsfarve3 2 3 3 4 2 2" xfId="19906"/>
    <cellStyle name="20 % - Markeringsfarve3 2 3 3 4 2 3" xfId="31263"/>
    <cellStyle name="20 % - Markeringsfarve3 2 3 3 4 3" xfId="14921"/>
    <cellStyle name="20 % - Markeringsfarve3 2 3 3 4 4" xfId="26279"/>
    <cellStyle name="20 % - Markeringsfarve3 2 3 3 5" xfId="5776"/>
    <cellStyle name="20 % - Markeringsfarve3 2 3 3 5 2" xfId="16584"/>
    <cellStyle name="20 % - Markeringsfarve3 2 3 3 5 3" xfId="27941"/>
    <cellStyle name="20 % - Markeringsfarve3 2 3 3 6" xfId="10763"/>
    <cellStyle name="20 % - Markeringsfarve3 2 3 3 6 2" xfId="21570"/>
    <cellStyle name="20 % - Markeringsfarve3 2 3 3 6 3" xfId="32927"/>
    <cellStyle name="20 % - Markeringsfarve3 2 3 3 7" xfId="11598"/>
    <cellStyle name="20 % - Markeringsfarve3 2 3 3 8" xfId="22957"/>
    <cellStyle name="20 % - Markeringsfarve3 2 3 4" xfId="1063"/>
    <cellStyle name="20 % - Markeringsfarve3 2 3 4 2" xfId="2728"/>
    <cellStyle name="20 % - Markeringsfarve3 2 3 4 2 2" xfId="7716"/>
    <cellStyle name="20 % - Markeringsfarve3 2 3 4 2 2 2" xfId="18523"/>
    <cellStyle name="20 % - Markeringsfarve3 2 3 4 2 2 3" xfId="29880"/>
    <cellStyle name="20 % - Markeringsfarve3 2 3 4 2 3" xfId="13538"/>
    <cellStyle name="20 % - Markeringsfarve3 2 3 4 2 4" xfId="24896"/>
    <cellStyle name="20 % - Markeringsfarve3 2 3 4 3" xfId="4392"/>
    <cellStyle name="20 % - Markeringsfarve3 2 3 4 3 2" xfId="9377"/>
    <cellStyle name="20 % - Markeringsfarve3 2 3 4 3 2 2" xfId="20184"/>
    <cellStyle name="20 % - Markeringsfarve3 2 3 4 3 2 3" xfId="31541"/>
    <cellStyle name="20 % - Markeringsfarve3 2 3 4 3 3" xfId="15199"/>
    <cellStyle name="20 % - Markeringsfarve3 2 3 4 3 4" xfId="26557"/>
    <cellStyle name="20 % - Markeringsfarve3 2 3 4 4" xfId="6054"/>
    <cellStyle name="20 % - Markeringsfarve3 2 3 4 4 2" xfId="16862"/>
    <cellStyle name="20 % - Markeringsfarve3 2 3 4 4 3" xfId="28219"/>
    <cellStyle name="20 % - Markeringsfarve3 2 3 4 5" xfId="11877"/>
    <cellStyle name="20 % - Markeringsfarve3 2 3 4 6" xfId="23235"/>
    <cellStyle name="20 % - Markeringsfarve3 2 3 5" xfId="1898"/>
    <cellStyle name="20 % - Markeringsfarve3 2 3 5 2" xfId="6886"/>
    <cellStyle name="20 % - Markeringsfarve3 2 3 5 2 2" xfId="17694"/>
    <cellStyle name="20 % - Markeringsfarve3 2 3 5 2 3" xfId="29051"/>
    <cellStyle name="20 % - Markeringsfarve3 2 3 5 3" xfId="12709"/>
    <cellStyle name="20 % - Markeringsfarve3 2 3 5 4" xfId="24067"/>
    <cellStyle name="20 % - Markeringsfarve3 2 3 6" xfId="3563"/>
    <cellStyle name="20 % - Markeringsfarve3 2 3 6 2" xfId="8548"/>
    <cellStyle name="20 % - Markeringsfarve3 2 3 6 2 2" xfId="19355"/>
    <cellStyle name="20 % - Markeringsfarve3 2 3 6 2 3" xfId="30712"/>
    <cellStyle name="20 % - Markeringsfarve3 2 3 6 3" xfId="14370"/>
    <cellStyle name="20 % - Markeringsfarve3 2 3 6 4" xfId="25728"/>
    <cellStyle name="20 % - Markeringsfarve3 2 3 7" xfId="5224"/>
    <cellStyle name="20 % - Markeringsfarve3 2 3 7 2" xfId="16033"/>
    <cellStyle name="20 % - Markeringsfarve3 2 3 7 3" xfId="27390"/>
    <cellStyle name="20 % - Markeringsfarve3 2 3 8" xfId="10209"/>
    <cellStyle name="20 % - Markeringsfarve3 2 3 8 2" xfId="21016"/>
    <cellStyle name="20 % - Markeringsfarve3 2 3 8 3" xfId="32373"/>
    <cellStyle name="20 % - Markeringsfarve3 2 3 9" xfId="11043"/>
    <cellStyle name="20 % - Markeringsfarve3 2 4" xfId="246"/>
    <cellStyle name="20 % - Markeringsfarve3 2 4 10" xfId="21903"/>
    <cellStyle name="20 % - Markeringsfarve3 2 4 11" xfId="22456"/>
    <cellStyle name="20 % - Markeringsfarve3 2 4 12" xfId="33259"/>
    <cellStyle name="20 % - Markeringsfarve3 2 4 13" xfId="33534"/>
    <cellStyle name="20 % - Markeringsfarve3 2 4 14" xfId="33805"/>
    <cellStyle name="20 % - Markeringsfarve3 2 4 2" xfId="563"/>
    <cellStyle name="20 % - Markeringsfarve3 2 4 2 2" xfId="1395"/>
    <cellStyle name="20 % - Markeringsfarve3 2 4 2 2 2" xfId="3060"/>
    <cellStyle name="20 % - Markeringsfarve3 2 4 2 2 2 2" xfId="8048"/>
    <cellStyle name="20 % - Markeringsfarve3 2 4 2 2 2 2 2" xfId="18855"/>
    <cellStyle name="20 % - Markeringsfarve3 2 4 2 2 2 2 3" xfId="30212"/>
    <cellStyle name="20 % - Markeringsfarve3 2 4 2 2 2 3" xfId="13870"/>
    <cellStyle name="20 % - Markeringsfarve3 2 4 2 2 2 4" xfId="25228"/>
    <cellStyle name="20 % - Markeringsfarve3 2 4 2 2 3" xfId="4724"/>
    <cellStyle name="20 % - Markeringsfarve3 2 4 2 2 3 2" xfId="9709"/>
    <cellStyle name="20 % - Markeringsfarve3 2 4 2 2 3 2 2" xfId="20516"/>
    <cellStyle name="20 % - Markeringsfarve3 2 4 2 2 3 2 3" xfId="31873"/>
    <cellStyle name="20 % - Markeringsfarve3 2 4 2 2 3 3" xfId="15531"/>
    <cellStyle name="20 % - Markeringsfarve3 2 4 2 2 3 4" xfId="26889"/>
    <cellStyle name="20 % - Markeringsfarve3 2 4 2 2 4" xfId="6386"/>
    <cellStyle name="20 % - Markeringsfarve3 2 4 2 2 4 2" xfId="17194"/>
    <cellStyle name="20 % - Markeringsfarve3 2 4 2 2 4 3" xfId="28551"/>
    <cellStyle name="20 % - Markeringsfarve3 2 4 2 2 5" xfId="12209"/>
    <cellStyle name="20 % - Markeringsfarve3 2 4 2 2 6" xfId="23567"/>
    <cellStyle name="20 % - Markeringsfarve3 2 4 2 3" xfId="2229"/>
    <cellStyle name="20 % - Markeringsfarve3 2 4 2 3 2" xfId="7217"/>
    <cellStyle name="20 % - Markeringsfarve3 2 4 2 3 2 2" xfId="18024"/>
    <cellStyle name="20 % - Markeringsfarve3 2 4 2 3 2 3" xfId="29381"/>
    <cellStyle name="20 % - Markeringsfarve3 2 4 2 3 3" xfId="13039"/>
    <cellStyle name="20 % - Markeringsfarve3 2 4 2 3 4" xfId="24397"/>
    <cellStyle name="20 % - Markeringsfarve3 2 4 2 4" xfId="3893"/>
    <cellStyle name="20 % - Markeringsfarve3 2 4 2 4 2" xfId="8878"/>
    <cellStyle name="20 % - Markeringsfarve3 2 4 2 4 2 2" xfId="19685"/>
    <cellStyle name="20 % - Markeringsfarve3 2 4 2 4 2 3" xfId="31042"/>
    <cellStyle name="20 % - Markeringsfarve3 2 4 2 4 3" xfId="14700"/>
    <cellStyle name="20 % - Markeringsfarve3 2 4 2 4 4" xfId="26058"/>
    <cellStyle name="20 % - Markeringsfarve3 2 4 2 5" xfId="5555"/>
    <cellStyle name="20 % - Markeringsfarve3 2 4 2 5 2" xfId="16363"/>
    <cellStyle name="20 % - Markeringsfarve3 2 4 2 5 3" xfId="27720"/>
    <cellStyle name="20 % - Markeringsfarve3 2 4 2 6" xfId="10542"/>
    <cellStyle name="20 % - Markeringsfarve3 2 4 2 6 2" xfId="21349"/>
    <cellStyle name="20 % - Markeringsfarve3 2 4 2 6 3" xfId="32706"/>
    <cellStyle name="20 % - Markeringsfarve3 2 4 2 7" xfId="11376"/>
    <cellStyle name="20 % - Markeringsfarve3 2 4 2 8" xfId="22182"/>
    <cellStyle name="20 % - Markeringsfarve3 2 4 2 9" xfId="22736"/>
    <cellStyle name="20 % - Markeringsfarve3 2 4 3" xfId="837"/>
    <cellStyle name="20 % - Markeringsfarve3 2 4 3 2" xfId="1669"/>
    <cellStyle name="20 % - Markeringsfarve3 2 4 3 2 2" xfId="3334"/>
    <cellStyle name="20 % - Markeringsfarve3 2 4 3 2 2 2" xfId="8322"/>
    <cellStyle name="20 % - Markeringsfarve3 2 4 3 2 2 2 2" xfId="19129"/>
    <cellStyle name="20 % - Markeringsfarve3 2 4 3 2 2 2 3" xfId="30486"/>
    <cellStyle name="20 % - Markeringsfarve3 2 4 3 2 2 3" xfId="14144"/>
    <cellStyle name="20 % - Markeringsfarve3 2 4 3 2 2 4" xfId="25502"/>
    <cellStyle name="20 % - Markeringsfarve3 2 4 3 2 3" xfId="4998"/>
    <cellStyle name="20 % - Markeringsfarve3 2 4 3 2 3 2" xfId="9983"/>
    <cellStyle name="20 % - Markeringsfarve3 2 4 3 2 3 2 2" xfId="20790"/>
    <cellStyle name="20 % - Markeringsfarve3 2 4 3 2 3 2 3" xfId="32147"/>
    <cellStyle name="20 % - Markeringsfarve3 2 4 3 2 3 3" xfId="15805"/>
    <cellStyle name="20 % - Markeringsfarve3 2 4 3 2 3 4" xfId="27163"/>
    <cellStyle name="20 % - Markeringsfarve3 2 4 3 2 4" xfId="6660"/>
    <cellStyle name="20 % - Markeringsfarve3 2 4 3 2 4 2" xfId="17468"/>
    <cellStyle name="20 % - Markeringsfarve3 2 4 3 2 4 3" xfId="28825"/>
    <cellStyle name="20 % - Markeringsfarve3 2 4 3 2 5" xfId="12483"/>
    <cellStyle name="20 % - Markeringsfarve3 2 4 3 2 6" xfId="23841"/>
    <cellStyle name="20 % - Markeringsfarve3 2 4 3 3" xfId="2503"/>
    <cellStyle name="20 % - Markeringsfarve3 2 4 3 3 2" xfId="7491"/>
    <cellStyle name="20 % - Markeringsfarve3 2 4 3 3 2 2" xfId="18298"/>
    <cellStyle name="20 % - Markeringsfarve3 2 4 3 3 2 3" xfId="29655"/>
    <cellStyle name="20 % - Markeringsfarve3 2 4 3 3 3" xfId="13313"/>
    <cellStyle name="20 % - Markeringsfarve3 2 4 3 3 4" xfId="24671"/>
    <cellStyle name="20 % - Markeringsfarve3 2 4 3 4" xfId="4167"/>
    <cellStyle name="20 % - Markeringsfarve3 2 4 3 4 2" xfId="9152"/>
    <cellStyle name="20 % - Markeringsfarve3 2 4 3 4 2 2" xfId="19959"/>
    <cellStyle name="20 % - Markeringsfarve3 2 4 3 4 2 3" xfId="31316"/>
    <cellStyle name="20 % - Markeringsfarve3 2 4 3 4 3" xfId="14974"/>
    <cellStyle name="20 % - Markeringsfarve3 2 4 3 4 4" xfId="26332"/>
    <cellStyle name="20 % - Markeringsfarve3 2 4 3 5" xfId="5829"/>
    <cellStyle name="20 % - Markeringsfarve3 2 4 3 5 2" xfId="16637"/>
    <cellStyle name="20 % - Markeringsfarve3 2 4 3 5 3" xfId="27994"/>
    <cellStyle name="20 % - Markeringsfarve3 2 4 3 6" xfId="10816"/>
    <cellStyle name="20 % - Markeringsfarve3 2 4 3 6 2" xfId="21623"/>
    <cellStyle name="20 % - Markeringsfarve3 2 4 3 6 3" xfId="32980"/>
    <cellStyle name="20 % - Markeringsfarve3 2 4 3 7" xfId="11651"/>
    <cellStyle name="20 % - Markeringsfarve3 2 4 3 8" xfId="23010"/>
    <cellStyle name="20 % - Markeringsfarve3 2 4 4" xfId="1116"/>
    <cellStyle name="20 % - Markeringsfarve3 2 4 4 2" xfId="2781"/>
    <cellStyle name="20 % - Markeringsfarve3 2 4 4 2 2" xfId="7769"/>
    <cellStyle name="20 % - Markeringsfarve3 2 4 4 2 2 2" xfId="18576"/>
    <cellStyle name="20 % - Markeringsfarve3 2 4 4 2 2 3" xfId="29933"/>
    <cellStyle name="20 % - Markeringsfarve3 2 4 4 2 3" xfId="13591"/>
    <cellStyle name="20 % - Markeringsfarve3 2 4 4 2 4" xfId="24949"/>
    <cellStyle name="20 % - Markeringsfarve3 2 4 4 3" xfId="4445"/>
    <cellStyle name="20 % - Markeringsfarve3 2 4 4 3 2" xfId="9430"/>
    <cellStyle name="20 % - Markeringsfarve3 2 4 4 3 2 2" xfId="20237"/>
    <cellStyle name="20 % - Markeringsfarve3 2 4 4 3 2 3" xfId="31594"/>
    <cellStyle name="20 % - Markeringsfarve3 2 4 4 3 3" xfId="15252"/>
    <cellStyle name="20 % - Markeringsfarve3 2 4 4 3 4" xfId="26610"/>
    <cellStyle name="20 % - Markeringsfarve3 2 4 4 4" xfId="6107"/>
    <cellStyle name="20 % - Markeringsfarve3 2 4 4 4 2" xfId="16915"/>
    <cellStyle name="20 % - Markeringsfarve3 2 4 4 4 3" xfId="28272"/>
    <cellStyle name="20 % - Markeringsfarve3 2 4 4 5" xfId="11930"/>
    <cellStyle name="20 % - Markeringsfarve3 2 4 4 6" xfId="23288"/>
    <cellStyle name="20 % - Markeringsfarve3 2 4 5" xfId="1951"/>
    <cellStyle name="20 % - Markeringsfarve3 2 4 5 2" xfId="6939"/>
    <cellStyle name="20 % - Markeringsfarve3 2 4 5 2 2" xfId="17747"/>
    <cellStyle name="20 % - Markeringsfarve3 2 4 5 2 3" xfId="29104"/>
    <cellStyle name="20 % - Markeringsfarve3 2 4 5 3" xfId="12762"/>
    <cellStyle name="20 % - Markeringsfarve3 2 4 5 4" xfId="24120"/>
    <cellStyle name="20 % - Markeringsfarve3 2 4 6" xfId="3616"/>
    <cellStyle name="20 % - Markeringsfarve3 2 4 6 2" xfId="8601"/>
    <cellStyle name="20 % - Markeringsfarve3 2 4 6 2 2" xfId="19408"/>
    <cellStyle name="20 % - Markeringsfarve3 2 4 6 2 3" xfId="30765"/>
    <cellStyle name="20 % - Markeringsfarve3 2 4 6 3" xfId="14423"/>
    <cellStyle name="20 % - Markeringsfarve3 2 4 6 4" xfId="25781"/>
    <cellStyle name="20 % - Markeringsfarve3 2 4 7" xfId="5277"/>
    <cellStyle name="20 % - Markeringsfarve3 2 4 7 2" xfId="16086"/>
    <cellStyle name="20 % - Markeringsfarve3 2 4 7 3" xfId="27443"/>
    <cellStyle name="20 % - Markeringsfarve3 2 4 8" xfId="10262"/>
    <cellStyle name="20 % - Markeringsfarve3 2 4 8 2" xfId="21069"/>
    <cellStyle name="20 % - Markeringsfarve3 2 4 8 3" xfId="32426"/>
    <cellStyle name="20 % - Markeringsfarve3 2 4 9" xfId="11096"/>
    <cellStyle name="20 % - Markeringsfarve3 2 5" xfId="300"/>
    <cellStyle name="20 % - Markeringsfarve3 2 5 10" xfId="21957"/>
    <cellStyle name="20 % - Markeringsfarve3 2 5 11" xfId="22510"/>
    <cellStyle name="20 % - Markeringsfarve3 2 5 12" xfId="33313"/>
    <cellStyle name="20 % - Markeringsfarve3 2 5 13" xfId="33588"/>
    <cellStyle name="20 % - Markeringsfarve3 2 5 14" xfId="33859"/>
    <cellStyle name="20 % - Markeringsfarve3 2 5 2" xfId="617"/>
    <cellStyle name="20 % - Markeringsfarve3 2 5 2 2" xfId="1449"/>
    <cellStyle name="20 % - Markeringsfarve3 2 5 2 2 2" xfId="3114"/>
    <cellStyle name="20 % - Markeringsfarve3 2 5 2 2 2 2" xfId="8102"/>
    <cellStyle name="20 % - Markeringsfarve3 2 5 2 2 2 2 2" xfId="18909"/>
    <cellStyle name="20 % - Markeringsfarve3 2 5 2 2 2 2 3" xfId="30266"/>
    <cellStyle name="20 % - Markeringsfarve3 2 5 2 2 2 3" xfId="13924"/>
    <cellStyle name="20 % - Markeringsfarve3 2 5 2 2 2 4" xfId="25282"/>
    <cellStyle name="20 % - Markeringsfarve3 2 5 2 2 3" xfId="4778"/>
    <cellStyle name="20 % - Markeringsfarve3 2 5 2 2 3 2" xfId="9763"/>
    <cellStyle name="20 % - Markeringsfarve3 2 5 2 2 3 2 2" xfId="20570"/>
    <cellStyle name="20 % - Markeringsfarve3 2 5 2 2 3 2 3" xfId="31927"/>
    <cellStyle name="20 % - Markeringsfarve3 2 5 2 2 3 3" xfId="15585"/>
    <cellStyle name="20 % - Markeringsfarve3 2 5 2 2 3 4" xfId="26943"/>
    <cellStyle name="20 % - Markeringsfarve3 2 5 2 2 4" xfId="6440"/>
    <cellStyle name="20 % - Markeringsfarve3 2 5 2 2 4 2" xfId="17248"/>
    <cellStyle name="20 % - Markeringsfarve3 2 5 2 2 4 3" xfId="28605"/>
    <cellStyle name="20 % - Markeringsfarve3 2 5 2 2 5" xfId="12263"/>
    <cellStyle name="20 % - Markeringsfarve3 2 5 2 2 6" xfId="23621"/>
    <cellStyle name="20 % - Markeringsfarve3 2 5 2 3" xfId="2283"/>
    <cellStyle name="20 % - Markeringsfarve3 2 5 2 3 2" xfId="7271"/>
    <cellStyle name="20 % - Markeringsfarve3 2 5 2 3 2 2" xfId="18078"/>
    <cellStyle name="20 % - Markeringsfarve3 2 5 2 3 2 3" xfId="29435"/>
    <cellStyle name="20 % - Markeringsfarve3 2 5 2 3 3" xfId="13093"/>
    <cellStyle name="20 % - Markeringsfarve3 2 5 2 3 4" xfId="24451"/>
    <cellStyle name="20 % - Markeringsfarve3 2 5 2 4" xfId="3947"/>
    <cellStyle name="20 % - Markeringsfarve3 2 5 2 4 2" xfId="8932"/>
    <cellStyle name="20 % - Markeringsfarve3 2 5 2 4 2 2" xfId="19739"/>
    <cellStyle name="20 % - Markeringsfarve3 2 5 2 4 2 3" xfId="31096"/>
    <cellStyle name="20 % - Markeringsfarve3 2 5 2 4 3" xfId="14754"/>
    <cellStyle name="20 % - Markeringsfarve3 2 5 2 4 4" xfId="26112"/>
    <cellStyle name="20 % - Markeringsfarve3 2 5 2 5" xfId="5609"/>
    <cellStyle name="20 % - Markeringsfarve3 2 5 2 5 2" xfId="16417"/>
    <cellStyle name="20 % - Markeringsfarve3 2 5 2 5 3" xfId="27774"/>
    <cellStyle name="20 % - Markeringsfarve3 2 5 2 6" xfId="10596"/>
    <cellStyle name="20 % - Markeringsfarve3 2 5 2 6 2" xfId="21403"/>
    <cellStyle name="20 % - Markeringsfarve3 2 5 2 6 3" xfId="32760"/>
    <cellStyle name="20 % - Markeringsfarve3 2 5 2 7" xfId="11430"/>
    <cellStyle name="20 % - Markeringsfarve3 2 5 2 8" xfId="22236"/>
    <cellStyle name="20 % - Markeringsfarve3 2 5 2 9" xfId="22790"/>
    <cellStyle name="20 % - Markeringsfarve3 2 5 3" xfId="891"/>
    <cellStyle name="20 % - Markeringsfarve3 2 5 3 2" xfId="1723"/>
    <cellStyle name="20 % - Markeringsfarve3 2 5 3 2 2" xfId="3388"/>
    <cellStyle name="20 % - Markeringsfarve3 2 5 3 2 2 2" xfId="8376"/>
    <cellStyle name="20 % - Markeringsfarve3 2 5 3 2 2 2 2" xfId="19183"/>
    <cellStyle name="20 % - Markeringsfarve3 2 5 3 2 2 2 3" xfId="30540"/>
    <cellStyle name="20 % - Markeringsfarve3 2 5 3 2 2 3" xfId="14198"/>
    <cellStyle name="20 % - Markeringsfarve3 2 5 3 2 2 4" xfId="25556"/>
    <cellStyle name="20 % - Markeringsfarve3 2 5 3 2 3" xfId="5052"/>
    <cellStyle name="20 % - Markeringsfarve3 2 5 3 2 3 2" xfId="10037"/>
    <cellStyle name="20 % - Markeringsfarve3 2 5 3 2 3 2 2" xfId="20844"/>
    <cellStyle name="20 % - Markeringsfarve3 2 5 3 2 3 2 3" xfId="32201"/>
    <cellStyle name="20 % - Markeringsfarve3 2 5 3 2 3 3" xfId="15859"/>
    <cellStyle name="20 % - Markeringsfarve3 2 5 3 2 3 4" xfId="27217"/>
    <cellStyle name="20 % - Markeringsfarve3 2 5 3 2 4" xfId="6714"/>
    <cellStyle name="20 % - Markeringsfarve3 2 5 3 2 4 2" xfId="17522"/>
    <cellStyle name="20 % - Markeringsfarve3 2 5 3 2 4 3" xfId="28879"/>
    <cellStyle name="20 % - Markeringsfarve3 2 5 3 2 5" xfId="12537"/>
    <cellStyle name="20 % - Markeringsfarve3 2 5 3 2 6" xfId="23895"/>
    <cellStyle name="20 % - Markeringsfarve3 2 5 3 3" xfId="2557"/>
    <cellStyle name="20 % - Markeringsfarve3 2 5 3 3 2" xfId="7545"/>
    <cellStyle name="20 % - Markeringsfarve3 2 5 3 3 2 2" xfId="18352"/>
    <cellStyle name="20 % - Markeringsfarve3 2 5 3 3 2 3" xfId="29709"/>
    <cellStyle name="20 % - Markeringsfarve3 2 5 3 3 3" xfId="13367"/>
    <cellStyle name="20 % - Markeringsfarve3 2 5 3 3 4" xfId="24725"/>
    <cellStyle name="20 % - Markeringsfarve3 2 5 3 4" xfId="4221"/>
    <cellStyle name="20 % - Markeringsfarve3 2 5 3 4 2" xfId="9206"/>
    <cellStyle name="20 % - Markeringsfarve3 2 5 3 4 2 2" xfId="20013"/>
    <cellStyle name="20 % - Markeringsfarve3 2 5 3 4 2 3" xfId="31370"/>
    <cellStyle name="20 % - Markeringsfarve3 2 5 3 4 3" xfId="15028"/>
    <cellStyle name="20 % - Markeringsfarve3 2 5 3 4 4" xfId="26386"/>
    <cellStyle name="20 % - Markeringsfarve3 2 5 3 5" xfId="5883"/>
    <cellStyle name="20 % - Markeringsfarve3 2 5 3 5 2" xfId="16691"/>
    <cellStyle name="20 % - Markeringsfarve3 2 5 3 5 3" xfId="28048"/>
    <cellStyle name="20 % - Markeringsfarve3 2 5 3 6" xfId="10870"/>
    <cellStyle name="20 % - Markeringsfarve3 2 5 3 6 2" xfId="21677"/>
    <cellStyle name="20 % - Markeringsfarve3 2 5 3 6 3" xfId="33034"/>
    <cellStyle name="20 % - Markeringsfarve3 2 5 3 7" xfId="11705"/>
    <cellStyle name="20 % - Markeringsfarve3 2 5 3 8" xfId="23064"/>
    <cellStyle name="20 % - Markeringsfarve3 2 5 4" xfId="1170"/>
    <cellStyle name="20 % - Markeringsfarve3 2 5 4 2" xfId="2835"/>
    <cellStyle name="20 % - Markeringsfarve3 2 5 4 2 2" xfId="7823"/>
    <cellStyle name="20 % - Markeringsfarve3 2 5 4 2 2 2" xfId="18630"/>
    <cellStyle name="20 % - Markeringsfarve3 2 5 4 2 2 3" xfId="29987"/>
    <cellStyle name="20 % - Markeringsfarve3 2 5 4 2 3" xfId="13645"/>
    <cellStyle name="20 % - Markeringsfarve3 2 5 4 2 4" xfId="25003"/>
    <cellStyle name="20 % - Markeringsfarve3 2 5 4 3" xfId="4499"/>
    <cellStyle name="20 % - Markeringsfarve3 2 5 4 3 2" xfId="9484"/>
    <cellStyle name="20 % - Markeringsfarve3 2 5 4 3 2 2" xfId="20291"/>
    <cellStyle name="20 % - Markeringsfarve3 2 5 4 3 2 3" xfId="31648"/>
    <cellStyle name="20 % - Markeringsfarve3 2 5 4 3 3" xfId="15306"/>
    <cellStyle name="20 % - Markeringsfarve3 2 5 4 3 4" xfId="26664"/>
    <cellStyle name="20 % - Markeringsfarve3 2 5 4 4" xfId="6161"/>
    <cellStyle name="20 % - Markeringsfarve3 2 5 4 4 2" xfId="16969"/>
    <cellStyle name="20 % - Markeringsfarve3 2 5 4 4 3" xfId="28326"/>
    <cellStyle name="20 % - Markeringsfarve3 2 5 4 5" xfId="11984"/>
    <cellStyle name="20 % - Markeringsfarve3 2 5 4 6" xfId="23342"/>
    <cellStyle name="20 % - Markeringsfarve3 2 5 5" xfId="2005"/>
    <cellStyle name="20 % - Markeringsfarve3 2 5 5 2" xfId="6993"/>
    <cellStyle name="20 % - Markeringsfarve3 2 5 5 2 2" xfId="17801"/>
    <cellStyle name="20 % - Markeringsfarve3 2 5 5 2 3" xfId="29158"/>
    <cellStyle name="20 % - Markeringsfarve3 2 5 5 3" xfId="12816"/>
    <cellStyle name="20 % - Markeringsfarve3 2 5 5 4" xfId="24174"/>
    <cellStyle name="20 % - Markeringsfarve3 2 5 6" xfId="3670"/>
    <cellStyle name="20 % - Markeringsfarve3 2 5 6 2" xfId="8655"/>
    <cellStyle name="20 % - Markeringsfarve3 2 5 6 2 2" xfId="19462"/>
    <cellStyle name="20 % - Markeringsfarve3 2 5 6 2 3" xfId="30819"/>
    <cellStyle name="20 % - Markeringsfarve3 2 5 6 3" xfId="14477"/>
    <cellStyle name="20 % - Markeringsfarve3 2 5 6 4" xfId="25835"/>
    <cellStyle name="20 % - Markeringsfarve3 2 5 7" xfId="5331"/>
    <cellStyle name="20 % - Markeringsfarve3 2 5 7 2" xfId="16140"/>
    <cellStyle name="20 % - Markeringsfarve3 2 5 7 3" xfId="27497"/>
    <cellStyle name="20 % - Markeringsfarve3 2 5 8" xfId="10316"/>
    <cellStyle name="20 % - Markeringsfarve3 2 5 8 2" xfId="21123"/>
    <cellStyle name="20 % - Markeringsfarve3 2 5 8 3" xfId="32480"/>
    <cellStyle name="20 % - Markeringsfarve3 2 5 9" xfId="11150"/>
    <cellStyle name="20 % - Markeringsfarve3 2 6" xfId="356"/>
    <cellStyle name="20 % - Markeringsfarve3 2 6 10" xfId="22013"/>
    <cellStyle name="20 % - Markeringsfarve3 2 6 11" xfId="22566"/>
    <cellStyle name="20 % - Markeringsfarve3 2 6 12" xfId="33369"/>
    <cellStyle name="20 % - Markeringsfarve3 2 6 13" xfId="33644"/>
    <cellStyle name="20 % - Markeringsfarve3 2 6 14" xfId="33915"/>
    <cellStyle name="20 % - Markeringsfarve3 2 6 2" xfId="673"/>
    <cellStyle name="20 % - Markeringsfarve3 2 6 2 2" xfId="1505"/>
    <cellStyle name="20 % - Markeringsfarve3 2 6 2 2 2" xfId="3170"/>
    <cellStyle name="20 % - Markeringsfarve3 2 6 2 2 2 2" xfId="8158"/>
    <cellStyle name="20 % - Markeringsfarve3 2 6 2 2 2 2 2" xfId="18965"/>
    <cellStyle name="20 % - Markeringsfarve3 2 6 2 2 2 2 3" xfId="30322"/>
    <cellStyle name="20 % - Markeringsfarve3 2 6 2 2 2 3" xfId="13980"/>
    <cellStyle name="20 % - Markeringsfarve3 2 6 2 2 2 4" xfId="25338"/>
    <cellStyle name="20 % - Markeringsfarve3 2 6 2 2 3" xfId="4834"/>
    <cellStyle name="20 % - Markeringsfarve3 2 6 2 2 3 2" xfId="9819"/>
    <cellStyle name="20 % - Markeringsfarve3 2 6 2 2 3 2 2" xfId="20626"/>
    <cellStyle name="20 % - Markeringsfarve3 2 6 2 2 3 2 3" xfId="31983"/>
    <cellStyle name="20 % - Markeringsfarve3 2 6 2 2 3 3" xfId="15641"/>
    <cellStyle name="20 % - Markeringsfarve3 2 6 2 2 3 4" xfId="26999"/>
    <cellStyle name="20 % - Markeringsfarve3 2 6 2 2 4" xfId="6496"/>
    <cellStyle name="20 % - Markeringsfarve3 2 6 2 2 4 2" xfId="17304"/>
    <cellStyle name="20 % - Markeringsfarve3 2 6 2 2 4 3" xfId="28661"/>
    <cellStyle name="20 % - Markeringsfarve3 2 6 2 2 5" xfId="12319"/>
    <cellStyle name="20 % - Markeringsfarve3 2 6 2 2 6" xfId="23677"/>
    <cellStyle name="20 % - Markeringsfarve3 2 6 2 3" xfId="2339"/>
    <cellStyle name="20 % - Markeringsfarve3 2 6 2 3 2" xfId="7327"/>
    <cellStyle name="20 % - Markeringsfarve3 2 6 2 3 2 2" xfId="18134"/>
    <cellStyle name="20 % - Markeringsfarve3 2 6 2 3 2 3" xfId="29491"/>
    <cellStyle name="20 % - Markeringsfarve3 2 6 2 3 3" xfId="13149"/>
    <cellStyle name="20 % - Markeringsfarve3 2 6 2 3 4" xfId="24507"/>
    <cellStyle name="20 % - Markeringsfarve3 2 6 2 4" xfId="4003"/>
    <cellStyle name="20 % - Markeringsfarve3 2 6 2 4 2" xfId="8988"/>
    <cellStyle name="20 % - Markeringsfarve3 2 6 2 4 2 2" xfId="19795"/>
    <cellStyle name="20 % - Markeringsfarve3 2 6 2 4 2 3" xfId="31152"/>
    <cellStyle name="20 % - Markeringsfarve3 2 6 2 4 3" xfId="14810"/>
    <cellStyle name="20 % - Markeringsfarve3 2 6 2 4 4" xfId="26168"/>
    <cellStyle name="20 % - Markeringsfarve3 2 6 2 5" xfId="5665"/>
    <cellStyle name="20 % - Markeringsfarve3 2 6 2 5 2" xfId="16473"/>
    <cellStyle name="20 % - Markeringsfarve3 2 6 2 5 3" xfId="27830"/>
    <cellStyle name="20 % - Markeringsfarve3 2 6 2 6" xfId="10652"/>
    <cellStyle name="20 % - Markeringsfarve3 2 6 2 6 2" xfId="21459"/>
    <cellStyle name="20 % - Markeringsfarve3 2 6 2 6 3" xfId="32816"/>
    <cellStyle name="20 % - Markeringsfarve3 2 6 2 7" xfId="11486"/>
    <cellStyle name="20 % - Markeringsfarve3 2 6 2 8" xfId="22292"/>
    <cellStyle name="20 % - Markeringsfarve3 2 6 2 9" xfId="22846"/>
    <cellStyle name="20 % - Markeringsfarve3 2 6 3" xfId="947"/>
    <cellStyle name="20 % - Markeringsfarve3 2 6 3 2" xfId="1779"/>
    <cellStyle name="20 % - Markeringsfarve3 2 6 3 2 2" xfId="3444"/>
    <cellStyle name="20 % - Markeringsfarve3 2 6 3 2 2 2" xfId="8432"/>
    <cellStyle name="20 % - Markeringsfarve3 2 6 3 2 2 2 2" xfId="19239"/>
    <cellStyle name="20 % - Markeringsfarve3 2 6 3 2 2 2 3" xfId="30596"/>
    <cellStyle name="20 % - Markeringsfarve3 2 6 3 2 2 3" xfId="14254"/>
    <cellStyle name="20 % - Markeringsfarve3 2 6 3 2 2 4" xfId="25612"/>
    <cellStyle name="20 % - Markeringsfarve3 2 6 3 2 3" xfId="5108"/>
    <cellStyle name="20 % - Markeringsfarve3 2 6 3 2 3 2" xfId="10093"/>
    <cellStyle name="20 % - Markeringsfarve3 2 6 3 2 3 2 2" xfId="20900"/>
    <cellStyle name="20 % - Markeringsfarve3 2 6 3 2 3 2 3" xfId="32257"/>
    <cellStyle name="20 % - Markeringsfarve3 2 6 3 2 3 3" xfId="15915"/>
    <cellStyle name="20 % - Markeringsfarve3 2 6 3 2 3 4" xfId="27273"/>
    <cellStyle name="20 % - Markeringsfarve3 2 6 3 2 4" xfId="6770"/>
    <cellStyle name="20 % - Markeringsfarve3 2 6 3 2 4 2" xfId="17578"/>
    <cellStyle name="20 % - Markeringsfarve3 2 6 3 2 4 3" xfId="28935"/>
    <cellStyle name="20 % - Markeringsfarve3 2 6 3 2 5" xfId="12593"/>
    <cellStyle name="20 % - Markeringsfarve3 2 6 3 2 6" xfId="23951"/>
    <cellStyle name="20 % - Markeringsfarve3 2 6 3 3" xfId="2613"/>
    <cellStyle name="20 % - Markeringsfarve3 2 6 3 3 2" xfId="7601"/>
    <cellStyle name="20 % - Markeringsfarve3 2 6 3 3 2 2" xfId="18408"/>
    <cellStyle name="20 % - Markeringsfarve3 2 6 3 3 2 3" xfId="29765"/>
    <cellStyle name="20 % - Markeringsfarve3 2 6 3 3 3" xfId="13423"/>
    <cellStyle name="20 % - Markeringsfarve3 2 6 3 3 4" xfId="24781"/>
    <cellStyle name="20 % - Markeringsfarve3 2 6 3 4" xfId="4277"/>
    <cellStyle name="20 % - Markeringsfarve3 2 6 3 4 2" xfId="9262"/>
    <cellStyle name="20 % - Markeringsfarve3 2 6 3 4 2 2" xfId="20069"/>
    <cellStyle name="20 % - Markeringsfarve3 2 6 3 4 2 3" xfId="31426"/>
    <cellStyle name="20 % - Markeringsfarve3 2 6 3 4 3" xfId="15084"/>
    <cellStyle name="20 % - Markeringsfarve3 2 6 3 4 4" xfId="26442"/>
    <cellStyle name="20 % - Markeringsfarve3 2 6 3 5" xfId="5939"/>
    <cellStyle name="20 % - Markeringsfarve3 2 6 3 5 2" xfId="16747"/>
    <cellStyle name="20 % - Markeringsfarve3 2 6 3 5 3" xfId="28104"/>
    <cellStyle name="20 % - Markeringsfarve3 2 6 3 6" xfId="10926"/>
    <cellStyle name="20 % - Markeringsfarve3 2 6 3 6 2" xfId="21733"/>
    <cellStyle name="20 % - Markeringsfarve3 2 6 3 6 3" xfId="33090"/>
    <cellStyle name="20 % - Markeringsfarve3 2 6 3 7" xfId="11761"/>
    <cellStyle name="20 % - Markeringsfarve3 2 6 3 8" xfId="23120"/>
    <cellStyle name="20 % - Markeringsfarve3 2 6 4" xfId="1226"/>
    <cellStyle name="20 % - Markeringsfarve3 2 6 4 2" xfId="2891"/>
    <cellStyle name="20 % - Markeringsfarve3 2 6 4 2 2" xfId="7879"/>
    <cellStyle name="20 % - Markeringsfarve3 2 6 4 2 2 2" xfId="18686"/>
    <cellStyle name="20 % - Markeringsfarve3 2 6 4 2 2 3" xfId="30043"/>
    <cellStyle name="20 % - Markeringsfarve3 2 6 4 2 3" xfId="13701"/>
    <cellStyle name="20 % - Markeringsfarve3 2 6 4 2 4" xfId="25059"/>
    <cellStyle name="20 % - Markeringsfarve3 2 6 4 3" xfId="4555"/>
    <cellStyle name="20 % - Markeringsfarve3 2 6 4 3 2" xfId="9540"/>
    <cellStyle name="20 % - Markeringsfarve3 2 6 4 3 2 2" xfId="20347"/>
    <cellStyle name="20 % - Markeringsfarve3 2 6 4 3 2 3" xfId="31704"/>
    <cellStyle name="20 % - Markeringsfarve3 2 6 4 3 3" xfId="15362"/>
    <cellStyle name="20 % - Markeringsfarve3 2 6 4 3 4" xfId="26720"/>
    <cellStyle name="20 % - Markeringsfarve3 2 6 4 4" xfId="6217"/>
    <cellStyle name="20 % - Markeringsfarve3 2 6 4 4 2" xfId="17025"/>
    <cellStyle name="20 % - Markeringsfarve3 2 6 4 4 3" xfId="28382"/>
    <cellStyle name="20 % - Markeringsfarve3 2 6 4 5" xfId="12040"/>
    <cellStyle name="20 % - Markeringsfarve3 2 6 4 6" xfId="23398"/>
    <cellStyle name="20 % - Markeringsfarve3 2 6 5" xfId="2061"/>
    <cellStyle name="20 % - Markeringsfarve3 2 6 5 2" xfId="7049"/>
    <cellStyle name="20 % - Markeringsfarve3 2 6 5 2 2" xfId="17857"/>
    <cellStyle name="20 % - Markeringsfarve3 2 6 5 2 3" xfId="29214"/>
    <cellStyle name="20 % - Markeringsfarve3 2 6 5 3" xfId="12872"/>
    <cellStyle name="20 % - Markeringsfarve3 2 6 5 4" xfId="24230"/>
    <cellStyle name="20 % - Markeringsfarve3 2 6 6" xfId="3726"/>
    <cellStyle name="20 % - Markeringsfarve3 2 6 6 2" xfId="8711"/>
    <cellStyle name="20 % - Markeringsfarve3 2 6 6 2 2" xfId="19518"/>
    <cellStyle name="20 % - Markeringsfarve3 2 6 6 2 3" xfId="30875"/>
    <cellStyle name="20 % - Markeringsfarve3 2 6 6 3" xfId="14533"/>
    <cellStyle name="20 % - Markeringsfarve3 2 6 6 4" xfId="25891"/>
    <cellStyle name="20 % - Markeringsfarve3 2 6 7" xfId="5387"/>
    <cellStyle name="20 % - Markeringsfarve3 2 6 7 2" xfId="16196"/>
    <cellStyle name="20 % - Markeringsfarve3 2 6 7 3" xfId="27553"/>
    <cellStyle name="20 % - Markeringsfarve3 2 6 8" xfId="10372"/>
    <cellStyle name="20 % - Markeringsfarve3 2 6 8 2" xfId="21179"/>
    <cellStyle name="20 % - Markeringsfarve3 2 6 8 3" xfId="32536"/>
    <cellStyle name="20 % - Markeringsfarve3 2 6 9" xfId="11206"/>
    <cellStyle name="20 % - Markeringsfarve3 2 7" xfId="457"/>
    <cellStyle name="20 % - Markeringsfarve3 2 7 2" xfId="1287"/>
    <cellStyle name="20 % - Markeringsfarve3 2 7 2 2" xfId="2952"/>
    <cellStyle name="20 % - Markeringsfarve3 2 7 2 2 2" xfId="7940"/>
    <cellStyle name="20 % - Markeringsfarve3 2 7 2 2 2 2" xfId="18747"/>
    <cellStyle name="20 % - Markeringsfarve3 2 7 2 2 2 3" xfId="30104"/>
    <cellStyle name="20 % - Markeringsfarve3 2 7 2 2 3" xfId="13762"/>
    <cellStyle name="20 % - Markeringsfarve3 2 7 2 2 4" xfId="25120"/>
    <cellStyle name="20 % - Markeringsfarve3 2 7 2 3" xfId="4616"/>
    <cellStyle name="20 % - Markeringsfarve3 2 7 2 3 2" xfId="9601"/>
    <cellStyle name="20 % - Markeringsfarve3 2 7 2 3 2 2" xfId="20408"/>
    <cellStyle name="20 % - Markeringsfarve3 2 7 2 3 2 3" xfId="31765"/>
    <cellStyle name="20 % - Markeringsfarve3 2 7 2 3 3" xfId="15423"/>
    <cellStyle name="20 % - Markeringsfarve3 2 7 2 3 4" xfId="26781"/>
    <cellStyle name="20 % - Markeringsfarve3 2 7 2 4" xfId="6278"/>
    <cellStyle name="20 % - Markeringsfarve3 2 7 2 4 2" xfId="17086"/>
    <cellStyle name="20 % - Markeringsfarve3 2 7 2 4 3" xfId="28443"/>
    <cellStyle name="20 % - Markeringsfarve3 2 7 2 5" xfId="12101"/>
    <cellStyle name="20 % - Markeringsfarve3 2 7 2 6" xfId="23459"/>
    <cellStyle name="20 % - Markeringsfarve3 2 7 3" xfId="2123"/>
    <cellStyle name="20 % - Markeringsfarve3 2 7 3 2" xfId="7111"/>
    <cellStyle name="20 % - Markeringsfarve3 2 7 3 2 2" xfId="17918"/>
    <cellStyle name="20 % - Markeringsfarve3 2 7 3 2 3" xfId="29275"/>
    <cellStyle name="20 % - Markeringsfarve3 2 7 3 3" xfId="12933"/>
    <cellStyle name="20 % - Markeringsfarve3 2 7 3 4" xfId="24291"/>
    <cellStyle name="20 % - Markeringsfarve3 2 7 4" xfId="3787"/>
    <cellStyle name="20 % - Markeringsfarve3 2 7 4 2" xfId="8772"/>
    <cellStyle name="20 % - Markeringsfarve3 2 7 4 2 2" xfId="19579"/>
    <cellStyle name="20 % - Markeringsfarve3 2 7 4 2 3" xfId="30936"/>
    <cellStyle name="20 % - Markeringsfarve3 2 7 4 3" xfId="14594"/>
    <cellStyle name="20 % - Markeringsfarve3 2 7 4 4" xfId="25952"/>
    <cellStyle name="20 % - Markeringsfarve3 2 7 5" xfId="5449"/>
    <cellStyle name="20 % - Markeringsfarve3 2 7 5 2" xfId="16257"/>
    <cellStyle name="20 % - Markeringsfarve3 2 7 5 3" xfId="27614"/>
    <cellStyle name="20 % - Markeringsfarve3 2 7 6" xfId="10446"/>
    <cellStyle name="20 % - Markeringsfarve3 2 7 6 2" xfId="21253"/>
    <cellStyle name="20 % - Markeringsfarve3 2 7 6 3" xfId="32610"/>
    <cellStyle name="20 % - Markeringsfarve3 2 7 7" xfId="11268"/>
    <cellStyle name="20 % - Markeringsfarve3 2 7 8" xfId="22074"/>
    <cellStyle name="20 % - Markeringsfarve3 2 7 9" xfId="22628"/>
    <cellStyle name="20 % - Markeringsfarve3 2 8" xfId="729"/>
    <cellStyle name="20 % - Markeringsfarve3 2 8 2" xfId="1561"/>
    <cellStyle name="20 % - Markeringsfarve3 2 8 2 2" xfId="3226"/>
    <cellStyle name="20 % - Markeringsfarve3 2 8 2 2 2" xfId="8214"/>
    <cellStyle name="20 % - Markeringsfarve3 2 8 2 2 2 2" xfId="19021"/>
    <cellStyle name="20 % - Markeringsfarve3 2 8 2 2 2 3" xfId="30378"/>
    <cellStyle name="20 % - Markeringsfarve3 2 8 2 2 3" xfId="14036"/>
    <cellStyle name="20 % - Markeringsfarve3 2 8 2 2 4" xfId="25394"/>
    <cellStyle name="20 % - Markeringsfarve3 2 8 2 3" xfId="4890"/>
    <cellStyle name="20 % - Markeringsfarve3 2 8 2 3 2" xfId="9875"/>
    <cellStyle name="20 % - Markeringsfarve3 2 8 2 3 2 2" xfId="20682"/>
    <cellStyle name="20 % - Markeringsfarve3 2 8 2 3 2 3" xfId="32039"/>
    <cellStyle name="20 % - Markeringsfarve3 2 8 2 3 3" xfId="15697"/>
    <cellStyle name="20 % - Markeringsfarve3 2 8 2 3 4" xfId="27055"/>
    <cellStyle name="20 % - Markeringsfarve3 2 8 2 4" xfId="6552"/>
    <cellStyle name="20 % - Markeringsfarve3 2 8 2 4 2" xfId="17360"/>
    <cellStyle name="20 % - Markeringsfarve3 2 8 2 4 3" xfId="28717"/>
    <cellStyle name="20 % - Markeringsfarve3 2 8 2 5" xfId="12375"/>
    <cellStyle name="20 % - Markeringsfarve3 2 8 2 6" xfId="23733"/>
    <cellStyle name="20 % - Markeringsfarve3 2 8 3" xfId="2395"/>
    <cellStyle name="20 % - Markeringsfarve3 2 8 3 2" xfId="7383"/>
    <cellStyle name="20 % - Markeringsfarve3 2 8 3 2 2" xfId="18190"/>
    <cellStyle name="20 % - Markeringsfarve3 2 8 3 2 3" xfId="29547"/>
    <cellStyle name="20 % - Markeringsfarve3 2 8 3 3" xfId="13205"/>
    <cellStyle name="20 % - Markeringsfarve3 2 8 3 4" xfId="24563"/>
    <cellStyle name="20 % - Markeringsfarve3 2 8 4" xfId="4059"/>
    <cellStyle name="20 % - Markeringsfarve3 2 8 4 2" xfId="9044"/>
    <cellStyle name="20 % - Markeringsfarve3 2 8 4 2 2" xfId="19851"/>
    <cellStyle name="20 % - Markeringsfarve3 2 8 4 2 3" xfId="31208"/>
    <cellStyle name="20 % - Markeringsfarve3 2 8 4 3" xfId="14866"/>
    <cellStyle name="20 % - Markeringsfarve3 2 8 4 4" xfId="26224"/>
    <cellStyle name="20 % - Markeringsfarve3 2 8 5" xfId="5721"/>
    <cellStyle name="20 % - Markeringsfarve3 2 8 5 2" xfId="16529"/>
    <cellStyle name="20 % - Markeringsfarve3 2 8 5 3" xfId="27886"/>
    <cellStyle name="20 % - Markeringsfarve3 2 8 6" xfId="10708"/>
    <cellStyle name="20 % - Markeringsfarve3 2 8 6 2" xfId="21515"/>
    <cellStyle name="20 % - Markeringsfarve3 2 8 6 3" xfId="32872"/>
    <cellStyle name="20 % - Markeringsfarve3 2 8 7" xfId="11543"/>
    <cellStyle name="20 % - Markeringsfarve3 2 8 8" xfId="22902"/>
    <cellStyle name="20 % - Markeringsfarve3 2 9" xfId="1008"/>
    <cellStyle name="20 % - Markeringsfarve3 2 9 2" xfId="2673"/>
    <cellStyle name="20 % - Markeringsfarve3 2 9 2 2" xfId="7661"/>
    <cellStyle name="20 % - Markeringsfarve3 2 9 2 2 2" xfId="18468"/>
    <cellStyle name="20 % - Markeringsfarve3 2 9 2 2 3" xfId="29825"/>
    <cellStyle name="20 % - Markeringsfarve3 2 9 2 3" xfId="13483"/>
    <cellStyle name="20 % - Markeringsfarve3 2 9 2 4" xfId="24841"/>
    <cellStyle name="20 % - Markeringsfarve3 2 9 3" xfId="4337"/>
    <cellStyle name="20 % - Markeringsfarve3 2 9 3 2" xfId="9322"/>
    <cellStyle name="20 % - Markeringsfarve3 2 9 3 2 2" xfId="20129"/>
    <cellStyle name="20 % - Markeringsfarve3 2 9 3 2 3" xfId="31486"/>
    <cellStyle name="20 % - Markeringsfarve3 2 9 3 3" xfId="15144"/>
    <cellStyle name="20 % - Markeringsfarve3 2 9 3 4" xfId="26502"/>
    <cellStyle name="20 % - Markeringsfarve3 2 9 4" xfId="5999"/>
    <cellStyle name="20 % - Markeringsfarve3 2 9 4 2" xfId="16807"/>
    <cellStyle name="20 % - Markeringsfarve3 2 9 4 3" xfId="28164"/>
    <cellStyle name="20 % - Markeringsfarve3 2 9 5" xfId="11822"/>
    <cellStyle name="20 % - Markeringsfarve3 2 9 6" xfId="23180"/>
    <cellStyle name="20 % - Markeringsfarve3 3" xfId="181"/>
    <cellStyle name="20 % - Markeringsfarve3 3 10" xfId="21839"/>
    <cellStyle name="20 % - Markeringsfarve3 3 11" xfId="22392"/>
    <cellStyle name="20 % - Markeringsfarve3 3 12" xfId="33195"/>
    <cellStyle name="20 % - Markeringsfarve3 3 13" xfId="33468"/>
    <cellStyle name="20 % - Markeringsfarve3 3 14" xfId="33739"/>
    <cellStyle name="20 % - Markeringsfarve3 3 2" xfId="501"/>
    <cellStyle name="20 % - Markeringsfarve3 3 2 2" xfId="1331"/>
    <cellStyle name="20 % - Markeringsfarve3 3 2 2 2" xfId="2996"/>
    <cellStyle name="20 % - Markeringsfarve3 3 2 2 2 2" xfId="7984"/>
    <cellStyle name="20 % - Markeringsfarve3 3 2 2 2 2 2" xfId="18791"/>
    <cellStyle name="20 % - Markeringsfarve3 3 2 2 2 2 3" xfId="30148"/>
    <cellStyle name="20 % - Markeringsfarve3 3 2 2 2 3" xfId="13806"/>
    <cellStyle name="20 % - Markeringsfarve3 3 2 2 2 4" xfId="25164"/>
    <cellStyle name="20 % - Markeringsfarve3 3 2 2 3" xfId="4660"/>
    <cellStyle name="20 % - Markeringsfarve3 3 2 2 3 2" xfId="9645"/>
    <cellStyle name="20 % - Markeringsfarve3 3 2 2 3 2 2" xfId="20452"/>
    <cellStyle name="20 % - Markeringsfarve3 3 2 2 3 2 3" xfId="31809"/>
    <cellStyle name="20 % - Markeringsfarve3 3 2 2 3 3" xfId="15467"/>
    <cellStyle name="20 % - Markeringsfarve3 3 2 2 3 4" xfId="26825"/>
    <cellStyle name="20 % - Markeringsfarve3 3 2 2 4" xfId="6322"/>
    <cellStyle name="20 % - Markeringsfarve3 3 2 2 4 2" xfId="17130"/>
    <cellStyle name="20 % - Markeringsfarve3 3 2 2 4 3" xfId="28487"/>
    <cellStyle name="20 % - Markeringsfarve3 3 2 2 5" xfId="12145"/>
    <cellStyle name="20 % - Markeringsfarve3 3 2 2 6" xfId="23503"/>
    <cellStyle name="20 % - Markeringsfarve3 3 2 3" xfId="2167"/>
    <cellStyle name="20 % - Markeringsfarve3 3 2 3 2" xfId="7155"/>
    <cellStyle name="20 % - Markeringsfarve3 3 2 3 2 2" xfId="17962"/>
    <cellStyle name="20 % - Markeringsfarve3 3 2 3 2 3" xfId="29319"/>
    <cellStyle name="20 % - Markeringsfarve3 3 2 3 3" xfId="12977"/>
    <cellStyle name="20 % - Markeringsfarve3 3 2 3 4" xfId="24335"/>
    <cellStyle name="20 % - Markeringsfarve3 3 2 4" xfId="3831"/>
    <cellStyle name="20 % - Markeringsfarve3 3 2 4 2" xfId="8816"/>
    <cellStyle name="20 % - Markeringsfarve3 3 2 4 2 2" xfId="19623"/>
    <cellStyle name="20 % - Markeringsfarve3 3 2 4 2 3" xfId="30980"/>
    <cellStyle name="20 % - Markeringsfarve3 3 2 4 3" xfId="14638"/>
    <cellStyle name="20 % - Markeringsfarve3 3 2 4 4" xfId="25996"/>
    <cellStyle name="20 % - Markeringsfarve3 3 2 5" xfId="5493"/>
    <cellStyle name="20 % - Markeringsfarve3 3 2 5 2" xfId="16301"/>
    <cellStyle name="20 % - Markeringsfarve3 3 2 5 3" xfId="27658"/>
    <cellStyle name="20 % - Markeringsfarve3 3 2 6" xfId="10478"/>
    <cellStyle name="20 % - Markeringsfarve3 3 2 6 2" xfId="21285"/>
    <cellStyle name="20 % - Markeringsfarve3 3 2 6 3" xfId="32642"/>
    <cellStyle name="20 % - Markeringsfarve3 3 2 7" xfId="11312"/>
    <cellStyle name="20 % - Markeringsfarve3 3 2 8" xfId="22118"/>
    <cellStyle name="20 % - Markeringsfarve3 3 2 9" xfId="22672"/>
    <cellStyle name="20 % - Markeringsfarve3 3 3" xfId="773"/>
    <cellStyle name="20 % - Markeringsfarve3 3 3 2" xfId="1605"/>
    <cellStyle name="20 % - Markeringsfarve3 3 3 2 2" xfId="3270"/>
    <cellStyle name="20 % - Markeringsfarve3 3 3 2 2 2" xfId="8258"/>
    <cellStyle name="20 % - Markeringsfarve3 3 3 2 2 2 2" xfId="19065"/>
    <cellStyle name="20 % - Markeringsfarve3 3 3 2 2 2 3" xfId="30422"/>
    <cellStyle name="20 % - Markeringsfarve3 3 3 2 2 3" xfId="14080"/>
    <cellStyle name="20 % - Markeringsfarve3 3 3 2 2 4" xfId="25438"/>
    <cellStyle name="20 % - Markeringsfarve3 3 3 2 3" xfId="4934"/>
    <cellStyle name="20 % - Markeringsfarve3 3 3 2 3 2" xfId="9919"/>
    <cellStyle name="20 % - Markeringsfarve3 3 3 2 3 2 2" xfId="20726"/>
    <cellStyle name="20 % - Markeringsfarve3 3 3 2 3 2 3" xfId="32083"/>
    <cellStyle name="20 % - Markeringsfarve3 3 3 2 3 3" xfId="15741"/>
    <cellStyle name="20 % - Markeringsfarve3 3 3 2 3 4" xfId="27099"/>
    <cellStyle name="20 % - Markeringsfarve3 3 3 2 4" xfId="6596"/>
    <cellStyle name="20 % - Markeringsfarve3 3 3 2 4 2" xfId="17404"/>
    <cellStyle name="20 % - Markeringsfarve3 3 3 2 4 3" xfId="28761"/>
    <cellStyle name="20 % - Markeringsfarve3 3 3 2 5" xfId="12419"/>
    <cellStyle name="20 % - Markeringsfarve3 3 3 2 6" xfId="23777"/>
    <cellStyle name="20 % - Markeringsfarve3 3 3 3" xfId="2439"/>
    <cellStyle name="20 % - Markeringsfarve3 3 3 3 2" xfId="7427"/>
    <cellStyle name="20 % - Markeringsfarve3 3 3 3 2 2" xfId="18234"/>
    <cellStyle name="20 % - Markeringsfarve3 3 3 3 2 3" xfId="29591"/>
    <cellStyle name="20 % - Markeringsfarve3 3 3 3 3" xfId="13249"/>
    <cellStyle name="20 % - Markeringsfarve3 3 3 3 4" xfId="24607"/>
    <cellStyle name="20 % - Markeringsfarve3 3 3 4" xfId="4103"/>
    <cellStyle name="20 % - Markeringsfarve3 3 3 4 2" xfId="9088"/>
    <cellStyle name="20 % - Markeringsfarve3 3 3 4 2 2" xfId="19895"/>
    <cellStyle name="20 % - Markeringsfarve3 3 3 4 2 3" xfId="31252"/>
    <cellStyle name="20 % - Markeringsfarve3 3 3 4 3" xfId="14910"/>
    <cellStyle name="20 % - Markeringsfarve3 3 3 4 4" xfId="26268"/>
    <cellStyle name="20 % - Markeringsfarve3 3 3 5" xfId="5765"/>
    <cellStyle name="20 % - Markeringsfarve3 3 3 5 2" xfId="16573"/>
    <cellStyle name="20 % - Markeringsfarve3 3 3 5 3" xfId="27930"/>
    <cellStyle name="20 % - Markeringsfarve3 3 3 6" xfId="10752"/>
    <cellStyle name="20 % - Markeringsfarve3 3 3 6 2" xfId="21559"/>
    <cellStyle name="20 % - Markeringsfarve3 3 3 6 3" xfId="32916"/>
    <cellStyle name="20 % - Markeringsfarve3 3 3 7" xfId="11587"/>
    <cellStyle name="20 % - Markeringsfarve3 3 3 8" xfId="22946"/>
    <cellStyle name="20 % - Markeringsfarve3 3 4" xfId="1052"/>
    <cellStyle name="20 % - Markeringsfarve3 3 4 2" xfId="2717"/>
    <cellStyle name="20 % - Markeringsfarve3 3 4 2 2" xfId="7705"/>
    <cellStyle name="20 % - Markeringsfarve3 3 4 2 2 2" xfId="18512"/>
    <cellStyle name="20 % - Markeringsfarve3 3 4 2 2 3" xfId="29869"/>
    <cellStyle name="20 % - Markeringsfarve3 3 4 2 3" xfId="13527"/>
    <cellStyle name="20 % - Markeringsfarve3 3 4 2 4" xfId="24885"/>
    <cellStyle name="20 % - Markeringsfarve3 3 4 3" xfId="4381"/>
    <cellStyle name="20 % - Markeringsfarve3 3 4 3 2" xfId="9366"/>
    <cellStyle name="20 % - Markeringsfarve3 3 4 3 2 2" xfId="20173"/>
    <cellStyle name="20 % - Markeringsfarve3 3 4 3 2 3" xfId="31530"/>
    <cellStyle name="20 % - Markeringsfarve3 3 4 3 3" xfId="15188"/>
    <cellStyle name="20 % - Markeringsfarve3 3 4 3 4" xfId="26546"/>
    <cellStyle name="20 % - Markeringsfarve3 3 4 4" xfId="6043"/>
    <cellStyle name="20 % - Markeringsfarve3 3 4 4 2" xfId="16851"/>
    <cellStyle name="20 % - Markeringsfarve3 3 4 4 3" xfId="28208"/>
    <cellStyle name="20 % - Markeringsfarve3 3 4 5" xfId="11866"/>
    <cellStyle name="20 % - Markeringsfarve3 3 4 6" xfId="23224"/>
    <cellStyle name="20 % - Markeringsfarve3 3 5" xfId="1887"/>
    <cellStyle name="20 % - Markeringsfarve3 3 5 2" xfId="6875"/>
    <cellStyle name="20 % - Markeringsfarve3 3 5 2 2" xfId="17683"/>
    <cellStyle name="20 % - Markeringsfarve3 3 5 2 3" xfId="29040"/>
    <cellStyle name="20 % - Markeringsfarve3 3 5 3" xfId="12698"/>
    <cellStyle name="20 % - Markeringsfarve3 3 5 4" xfId="24056"/>
    <cellStyle name="20 % - Markeringsfarve3 3 6" xfId="3552"/>
    <cellStyle name="20 % - Markeringsfarve3 3 6 2" xfId="8537"/>
    <cellStyle name="20 % - Markeringsfarve3 3 6 2 2" xfId="19344"/>
    <cellStyle name="20 % - Markeringsfarve3 3 6 2 3" xfId="30701"/>
    <cellStyle name="20 % - Markeringsfarve3 3 6 3" xfId="14359"/>
    <cellStyle name="20 % - Markeringsfarve3 3 6 4" xfId="25717"/>
    <cellStyle name="20 % - Markeringsfarve3 3 7" xfId="5213"/>
    <cellStyle name="20 % - Markeringsfarve3 3 7 2" xfId="16022"/>
    <cellStyle name="20 % - Markeringsfarve3 3 7 3" xfId="27379"/>
    <cellStyle name="20 % - Markeringsfarve3 3 8" xfId="10198"/>
    <cellStyle name="20 % - Markeringsfarve3 3 8 2" xfId="21005"/>
    <cellStyle name="20 % - Markeringsfarve3 3 8 3" xfId="32362"/>
    <cellStyle name="20 % - Markeringsfarve3 3 9" xfId="11032"/>
    <cellStyle name="20 % - Markeringsfarve3 4" xfId="234"/>
    <cellStyle name="20 % - Markeringsfarve3 4 10" xfId="21892"/>
    <cellStyle name="20 % - Markeringsfarve3 4 11" xfId="22445"/>
    <cellStyle name="20 % - Markeringsfarve3 4 12" xfId="33248"/>
    <cellStyle name="20 % - Markeringsfarve3 4 13" xfId="33523"/>
    <cellStyle name="20 % - Markeringsfarve3 4 14" xfId="33794"/>
    <cellStyle name="20 % - Markeringsfarve3 4 2" xfId="552"/>
    <cellStyle name="20 % - Markeringsfarve3 4 2 2" xfId="1384"/>
    <cellStyle name="20 % - Markeringsfarve3 4 2 2 2" xfId="3049"/>
    <cellStyle name="20 % - Markeringsfarve3 4 2 2 2 2" xfId="8037"/>
    <cellStyle name="20 % - Markeringsfarve3 4 2 2 2 2 2" xfId="18844"/>
    <cellStyle name="20 % - Markeringsfarve3 4 2 2 2 2 3" xfId="30201"/>
    <cellStyle name="20 % - Markeringsfarve3 4 2 2 2 3" xfId="13859"/>
    <cellStyle name="20 % - Markeringsfarve3 4 2 2 2 4" xfId="25217"/>
    <cellStyle name="20 % - Markeringsfarve3 4 2 2 3" xfId="4713"/>
    <cellStyle name="20 % - Markeringsfarve3 4 2 2 3 2" xfId="9698"/>
    <cellStyle name="20 % - Markeringsfarve3 4 2 2 3 2 2" xfId="20505"/>
    <cellStyle name="20 % - Markeringsfarve3 4 2 2 3 2 3" xfId="31862"/>
    <cellStyle name="20 % - Markeringsfarve3 4 2 2 3 3" xfId="15520"/>
    <cellStyle name="20 % - Markeringsfarve3 4 2 2 3 4" xfId="26878"/>
    <cellStyle name="20 % - Markeringsfarve3 4 2 2 4" xfId="6375"/>
    <cellStyle name="20 % - Markeringsfarve3 4 2 2 4 2" xfId="17183"/>
    <cellStyle name="20 % - Markeringsfarve3 4 2 2 4 3" xfId="28540"/>
    <cellStyle name="20 % - Markeringsfarve3 4 2 2 5" xfId="12198"/>
    <cellStyle name="20 % - Markeringsfarve3 4 2 2 6" xfId="23556"/>
    <cellStyle name="20 % - Markeringsfarve3 4 2 3" xfId="2218"/>
    <cellStyle name="20 % - Markeringsfarve3 4 2 3 2" xfId="7206"/>
    <cellStyle name="20 % - Markeringsfarve3 4 2 3 2 2" xfId="18013"/>
    <cellStyle name="20 % - Markeringsfarve3 4 2 3 2 3" xfId="29370"/>
    <cellStyle name="20 % - Markeringsfarve3 4 2 3 3" xfId="13028"/>
    <cellStyle name="20 % - Markeringsfarve3 4 2 3 4" xfId="24386"/>
    <cellStyle name="20 % - Markeringsfarve3 4 2 4" xfId="3882"/>
    <cellStyle name="20 % - Markeringsfarve3 4 2 4 2" xfId="8867"/>
    <cellStyle name="20 % - Markeringsfarve3 4 2 4 2 2" xfId="19674"/>
    <cellStyle name="20 % - Markeringsfarve3 4 2 4 2 3" xfId="31031"/>
    <cellStyle name="20 % - Markeringsfarve3 4 2 4 3" xfId="14689"/>
    <cellStyle name="20 % - Markeringsfarve3 4 2 4 4" xfId="26047"/>
    <cellStyle name="20 % - Markeringsfarve3 4 2 5" xfId="5544"/>
    <cellStyle name="20 % - Markeringsfarve3 4 2 5 2" xfId="16352"/>
    <cellStyle name="20 % - Markeringsfarve3 4 2 5 3" xfId="27709"/>
    <cellStyle name="20 % - Markeringsfarve3 4 2 6" xfId="10531"/>
    <cellStyle name="20 % - Markeringsfarve3 4 2 6 2" xfId="21338"/>
    <cellStyle name="20 % - Markeringsfarve3 4 2 6 3" xfId="32695"/>
    <cellStyle name="20 % - Markeringsfarve3 4 2 7" xfId="11365"/>
    <cellStyle name="20 % - Markeringsfarve3 4 2 8" xfId="22171"/>
    <cellStyle name="20 % - Markeringsfarve3 4 2 9" xfId="22725"/>
    <cellStyle name="20 % - Markeringsfarve3 4 3" xfId="826"/>
    <cellStyle name="20 % - Markeringsfarve3 4 3 2" xfId="1658"/>
    <cellStyle name="20 % - Markeringsfarve3 4 3 2 2" xfId="3323"/>
    <cellStyle name="20 % - Markeringsfarve3 4 3 2 2 2" xfId="8311"/>
    <cellStyle name="20 % - Markeringsfarve3 4 3 2 2 2 2" xfId="19118"/>
    <cellStyle name="20 % - Markeringsfarve3 4 3 2 2 2 3" xfId="30475"/>
    <cellStyle name="20 % - Markeringsfarve3 4 3 2 2 3" xfId="14133"/>
    <cellStyle name="20 % - Markeringsfarve3 4 3 2 2 4" xfId="25491"/>
    <cellStyle name="20 % - Markeringsfarve3 4 3 2 3" xfId="4987"/>
    <cellStyle name="20 % - Markeringsfarve3 4 3 2 3 2" xfId="9972"/>
    <cellStyle name="20 % - Markeringsfarve3 4 3 2 3 2 2" xfId="20779"/>
    <cellStyle name="20 % - Markeringsfarve3 4 3 2 3 2 3" xfId="32136"/>
    <cellStyle name="20 % - Markeringsfarve3 4 3 2 3 3" xfId="15794"/>
    <cellStyle name="20 % - Markeringsfarve3 4 3 2 3 4" xfId="27152"/>
    <cellStyle name="20 % - Markeringsfarve3 4 3 2 4" xfId="6649"/>
    <cellStyle name="20 % - Markeringsfarve3 4 3 2 4 2" xfId="17457"/>
    <cellStyle name="20 % - Markeringsfarve3 4 3 2 4 3" xfId="28814"/>
    <cellStyle name="20 % - Markeringsfarve3 4 3 2 5" xfId="12472"/>
    <cellStyle name="20 % - Markeringsfarve3 4 3 2 6" xfId="23830"/>
    <cellStyle name="20 % - Markeringsfarve3 4 3 3" xfId="2492"/>
    <cellStyle name="20 % - Markeringsfarve3 4 3 3 2" xfId="7480"/>
    <cellStyle name="20 % - Markeringsfarve3 4 3 3 2 2" xfId="18287"/>
    <cellStyle name="20 % - Markeringsfarve3 4 3 3 2 3" xfId="29644"/>
    <cellStyle name="20 % - Markeringsfarve3 4 3 3 3" xfId="13302"/>
    <cellStyle name="20 % - Markeringsfarve3 4 3 3 4" xfId="24660"/>
    <cellStyle name="20 % - Markeringsfarve3 4 3 4" xfId="4156"/>
    <cellStyle name="20 % - Markeringsfarve3 4 3 4 2" xfId="9141"/>
    <cellStyle name="20 % - Markeringsfarve3 4 3 4 2 2" xfId="19948"/>
    <cellStyle name="20 % - Markeringsfarve3 4 3 4 2 3" xfId="31305"/>
    <cellStyle name="20 % - Markeringsfarve3 4 3 4 3" xfId="14963"/>
    <cellStyle name="20 % - Markeringsfarve3 4 3 4 4" xfId="26321"/>
    <cellStyle name="20 % - Markeringsfarve3 4 3 5" xfId="5818"/>
    <cellStyle name="20 % - Markeringsfarve3 4 3 5 2" xfId="16626"/>
    <cellStyle name="20 % - Markeringsfarve3 4 3 5 3" xfId="27983"/>
    <cellStyle name="20 % - Markeringsfarve3 4 3 6" xfId="10805"/>
    <cellStyle name="20 % - Markeringsfarve3 4 3 6 2" xfId="21612"/>
    <cellStyle name="20 % - Markeringsfarve3 4 3 6 3" xfId="32969"/>
    <cellStyle name="20 % - Markeringsfarve3 4 3 7" xfId="11640"/>
    <cellStyle name="20 % - Markeringsfarve3 4 3 8" xfId="22999"/>
    <cellStyle name="20 % - Markeringsfarve3 4 4" xfId="1105"/>
    <cellStyle name="20 % - Markeringsfarve3 4 4 2" xfId="2770"/>
    <cellStyle name="20 % - Markeringsfarve3 4 4 2 2" xfId="7758"/>
    <cellStyle name="20 % - Markeringsfarve3 4 4 2 2 2" xfId="18565"/>
    <cellStyle name="20 % - Markeringsfarve3 4 4 2 2 3" xfId="29922"/>
    <cellStyle name="20 % - Markeringsfarve3 4 4 2 3" xfId="13580"/>
    <cellStyle name="20 % - Markeringsfarve3 4 4 2 4" xfId="24938"/>
    <cellStyle name="20 % - Markeringsfarve3 4 4 3" xfId="4434"/>
    <cellStyle name="20 % - Markeringsfarve3 4 4 3 2" xfId="9419"/>
    <cellStyle name="20 % - Markeringsfarve3 4 4 3 2 2" xfId="20226"/>
    <cellStyle name="20 % - Markeringsfarve3 4 4 3 2 3" xfId="31583"/>
    <cellStyle name="20 % - Markeringsfarve3 4 4 3 3" xfId="15241"/>
    <cellStyle name="20 % - Markeringsfarve3 4 4 3 4" xfId="26599"/>
    <cellStyle name="20 % - Markeringsfarve3 4 4 4" xfId="6096"/>
    <cellStyle name="20 % - Markeringsfarve3 4 4 4 2" xfId="16904"/>
    <cellStyle name="20 % - Markeringsfarve3 4 4 4 3" xfId="28261"/>
    <cellStyle name="20 % - Markeringsfarve3 4 4 5" xfId="11919"/>
    <cellStyle name="20 % - Markeringsfarve3 4 4 6" xfId="23277"/>
    <cellStyle name="20 % - Markeringsfarve3 4 5" xfId="1940"/>
    <cellStyle name="20 % - Markeringsfarve3 4 5 2" xfId="6928"/>
    <cellStyle name="20 % - Markeringsfarve3 4 5 2 2" xfId="17736"/>
    <cellStyle name="20 % - Markeringsfarve3 4 5 2 3" xfId="29093"/>
    <cellStyle name="20 % - Markeringsfarve3 4 5 3" xfId="12751"/>
    <cellStyle name="20 % - Markeringsfarve3 4 5 4" xfId="24109"/>
    <cellStyle name="20 % - Markeringsfarve3 4 6" xfId="3605"/>
    <cellStyle name="20 % - Markeringsfarve3 4 6 2" xfId="8590"/>
    <cellStyle name="20 % - Markeringsfarve3 4 6 2 2" xfId="19397"/>
    <cellStyle name="20 % - Markeringsfarve3 4 6 2 3" xfId="30754"/>
    <cellStyle name="20 % - Markeringsfarve3 4 6 3" xfId="14412"/>
    <cellStyle name="20 % - Markeringsfarve3 4 6 4" xfId="25770"/>
    <cellStyle name="20 % - Markeringsfarve3 4 7" xfId="5266"/>
    <cellStyle name="20 % - Markeringsfarve3 4 7 2" xfId="16075"/>
    <cellStyle name="20 % - Markeringsfarve3 4 7 3" xfId="27432"/>
    <cellStyle name="20 % - Markeringsfarve3 4 8" xfId="10251"/>
    <cellStyle name="20 % - Markeringsfarve3 4 8 2" xfId="21058"/>
    <cellStyle name="20 % - Markeringsfarve3 4 8 3" xfId="32415"/>
    <cellStyle name="20 % - Markeringsfarve3 4 9" xfId="11085"/>
    <cellStyle name="20 % - Markeringsfarve3 5" xfId="290"/>
    <cellStyle name="20 % - Markeringsfarve3 5 10" xfId="21947"/>
    <cellStyle name="20 % - Markeringsfarve3 5 11" xfId="22500"/>
    <cellStyle name="20 % - Markeringsfarve3 5 12" xfId="33303"/>
    <cellStyle name="20 % - Markeringsfarve3 5 13" xfId="33578"/>
    <cellStyle name="20 % - Markeringsfarve3 5 14" xfId="33849"/>
    <cellStyle name="20 % - Markeringsfarve3 5 2" xfId="607"/>
    <cellStyle name="20 % - Markeringsfarve3 5 2 2" xfId="1439"/>
    <cellStyle name="20 % - Markeringsfarve3 5 2 2 2" xfId="3104"/>
    <cellStyle name="20 % - Markeringsfarve3 5 2 2 2 2" xfId="8092"/>
    <cellStyle name="20 % - Markeringsfarve3 5 2 2 2 2 2" xfId="18899"/>
    <cellStyle name="20 % - Markeringsfarve3 5 2 2 2 2 3" xfId="30256"/>
    <cellStyle name="20 % - Markeringsfarve3 5 2 2 2 3" xfId="13914"/>
    <cellStyle name="20 % - Markeringsfarve3 5 2 2 2 4" xfId="25272"/>
    <cellStyle name="20 % - Markeringsfarve3 5 2 2 3" xfId="4768"/>
    <cellStyle name="20 % - Markeringsfarve3 5 2 2 3 2" xfId="9753"/>
    <cellStyle name="20 % - Markeringsfarve3 5 2 2 3 2 2" xfId="20560"/>
    <cellStyle name="20 % - Markeringsfarve3 5 2 2 3 2 3" xfId="31917"/>
    <cellStyle name="20 % - Markeringsfarve3 5 2 2 3 3" xfId="15575"/>
    <cellStyle name="20 % - Markeringsfarve3 5 2 2 3 4" xfId="26933"/>
    <cellStyle name="20 % - Markeringsfarve3 5 2 2 4" xfId="6430"/>
    <cellStyle name="20 % - Markeringsfarve3 5 2 2 4 2" xfId="17238"/>
    <cellStyle name="20 % - Markeringsfarve3 5 2 2 4 3" xfId="28595"/>
    <cellStyle name="20 % - Markeringsfarve3 5 2 2 5" xfId="12253"/>
    <cellStyle name="20 % - Markeringsfarve3 5 2 2 6" xfId="23611"/>
    <cellStyle name="20 % - Markeringsfarve3 5 2 3" xfId="2273"/>
    <cellStyle name="20 % - Markeringsfarve3 5 2 3 2" xfId="7261"/>
    <cellStyle name="20 % - Markeringsfarve3 5 2 3 2 2" xfId="18068"/>
    <cellStyle name="20 % - Markeringsfarve3 5 2 3 2 3" xfId="29425"/>
    <cellStyle name="20 % - Markeringsfarve3 5 2 3 3" xfId="13083"/>
    <cellStyle name="20 % - Markeringsfarve3 5 2 3 4" xfId="24441"/>
    <cellStyle name="20 % - Markeringsfarve3 5 2 4" xfId="3937"/>
    <cellStyle name="20 % - Markeringsfarve3 5 2 4 2" xfId="8922"/>
    <cellStyle name="20 % - Markeringsfarve3 5 2 4 2 2" xfId="19729"/>
    <cellStyle name="20 % - Markeringsfarve3 5 2 4 2 3" xfId="31086"/>
    <cellStyle name="20 % - Markeringsfarve3 5 2 4 3" xfId="14744"/>
    <cellStyle name="20 % - Markeringsfarve3 5 2 4 4" xfId="26102"/>
    <cellStyle name="20 % - Markeringsfarve3 5 2 5" xfId="5599"/>
    <cellStyle name="20 % - Markeringsfarve3 5 2 5 2" xfId="16407"/>
    <cellStyle name="20 % - Markeringsfarve3 5 2 5 3" xfId="27764"/>
    <cellStyle name="20 % - Markeringsfarve3 5 2 6" xfId="10586"/>
    <cellStyle name="20 % - Markeringsfarve3 5 2 6 2" xfId="21393"/>
    <cellStyle name="20 % - Markeringsfarve3 5 2 6 3" xfId="32750"/>
    <cellStyle name="20 % - Markeringsfarve3 5 2 7" xfId="11420"/>
    <cellStyle name="20 % - Markeringsfarve3 5 2 8" xfId="22226"/>
    <cellStyle name="20 % - Markeringsfarve3 5 2 9" xfId="22780"/>
    <cellStyle name="20 % - Markeringsfarve3 5 3" xfId="881"/>
    <cellStyle name="20 % - Markeringsfarve3 5 3 2" xfId="1713"/>
    <cellStyle name="20 % - Markeringsfarve3 5 3 2 2" xfId="3378"/>
    <cellStyle name="20 % - Markeringsfarve3 5 3 2 2 2" xfId="8366"/>
    <cellStyle name="20 % - Markeringsfarve3 5 3 2 2 2 2" xfId="19173"/>
    <cellStyle name="20 % - Markeringsfarve3 5 3 2 2 2 3" xfId="30530"/>
    <cellStyle name="20 % - Markeringsfarve3 5 3 2 2 3" xfId="14188"/>
    <cellStyle name="20 % - Markeringsfarve3 5 3 2 2 4" xfId="25546"/>
    <cellStyle name="20 % - Markeringsfarve3 5 3 2 3" xfId="5042"/>
    <cellStyle name="20 % - Markeringsfarve3 5 3 2 3 2" xfId="10027"/>
    <cellStyle name="20 % - Markeringsfarve3 5 3 2 3 2 2" xfId="20834"/>
    <cellStyle name="20 % - Markeringsfarve3 5 3 2 3 2 3" xfId="32191"/>
    <cellStyle name="20 % - Markeringsfarve3 5 3 2 3 3" xfId="15849"/>
    <cellStyle name="20 % - Markeringsfarve3 5 3 2 3 4" xfId="27207"/>
    <cellStyle name="20 % - Markeringsfarve3 5 3 2 4" xfId="6704"/>
    <cellStyle name="20 % - Markeringsfarve3 5 3 2 4 2" xfId="17512"/>
    <cellStyle name="20 % - Markeringsfarve3 5 3 2 4 3" xfId="28869"/>
    <cellStyle name="20 % - Markeringsfarve3 5 3 2 5" xfId="12527"/>
    <cellStyle name="20 % - Markeringsfarve3 5 3 2 6" xfId="23885"/>
    <cellStyle name="20 % - Markeringsfarve3 5 3 3" xfId="2547"/>
    <cellStyle name="20 % - Markeringsfarve3 5 3 3 2" xfId="7535"/>
    <cellStyle name="20 % - Markeringsfarve3 5 3 3 2 2" xfId="18342"/>
    <cellStyle name="20 % - Markeringsfarve3 5 3 3 2 3" xfId="29699"/>
    <cellStyle name="20 % - Markeringsfarve3 5 3 3 3" xfId="13357"/>
    <cellStyle name="20 % - Markeringsfarve3 5 3 3 4" xfId="24715"/>
    <cellStyle name="20 % - Markeringsfarve3 5 3 4" xfId="4211"/>
    <cellStyle name="20 % - Markeringsfarve3 5 3 4 2" xfId="9196"/>
    <cellStyle name="20 % - Markeringsfarve3 5 3 4 2 2" xfId="20003"/>
    <cellStyle name="20 % - Markeringsfarve3 5 3 4 2 3" xfId="31360"/>
    <cellStyle name="20 % - Markeringsfarve3 5 3 4 3" xfId="15018"/>
    <cellStyle name="20 % - Markeringsfarve3 5 3 4 4" xfId="26376"/>
    <cellStyle name="20 % - Markeringsfarve3 5 3 5" xfId="5873"/>
    <cellStyle name="20 % - Markeringsfarve3 5 3 5 2" xfId="16681"/>
    <cellStyle name="20 % - Markeringsfarve3 5 3 5 3" xfId="28038"/>
    <cellStyle name="20 % - Markeringsfarve3 5 3 6" xfId="10860"/>
    <cellStyle name="20 % - Markeringsfarve3 5 3 6 2" xfId="21667"/>
    <cellStyle name="20 % - Markeringsfarve3 5 3 6 3" xfId="33024"/>
    <cellStyle name="20 % - Markeringsfarve3 5 3 7" xfId="11695"/>
    <cellStyle name="20 % - Markeringsfarve3 5 3 8" xfId="23054"/>
    <cellStyle name="20 % - Markeringsfarve3 5 4" xfId="1160"/>
    <cellStyle name="20 % - Markeringsfarve3 5 4 2" xfId="2825"/>
    <cellStyle name="20 % - Markeringsfarve3 5 4 2 2" xfId="7813"/>
    <cellStyle name="20 % - Markeringsfarve3 5 4 2 2 2" xfId="18620"/>
    <cellStyle name="20 % - Markeringsfarve3 5 4 2 2 3" xfId="29977"/>
    <cellStyle name="20 % - Markeringsfarve3 5 4 2 3" xfId="13635"/>
    <cellStyle name="20 % - Markeringsfarve3 5 4 2 4" xfId="24993"/>
    <cellStyle name="20 % - Markeringsfarve3 5 4 3" xfId="4489"/>
    <cellStyle name="20 % - Markeringsfarve3 5 4 3 2" xfId="9474"/>
    <cellStyle name="20 % - Markeringsfarve3 5 4 3 2 2" xfId="20281"/>
    <cellStyle name="20 % - Markeringsfarve3 5 4 3 2 3" xfId="31638"/>
    <cellStyle name="20 % - Markeringsfarve3 5 4 3 3" xfId="15296"/>
    <cellStyle name="20 % - Markeringsfarve3 5 4 3 4" xfId="26654"/>
    <cellStyle name="20 % - Markeringsfarve3 5 4 4" xfId="6151"/>
    <cellStyle name="20 % - Markeringsfarve3 5 4 4 2" xfId="16959"/>
    <cellStyle name="20 % - Markeringsfarve3 5 4 4 3" xfId="28316"/>
    <cellStyle name="20 % - Markeringsfarve3 5 4 5" xfId="11974"/>
    <cellStyle name="20 % - Markeringsfarve3 5 4 6" xfId="23332"/>
    <cellStyle name="20 % - Markeringsfarve3 5 5" xfId="1995"/>
    <cellStyle name="20 % - Markeringsfarve3 5 5 2" xfId="6983"/>
    <cellStyle name="20 % - Markeringsfarve3 5 5 2 2" xfId="17791"/>
    <cellStyle name="20 % - Markeringsfarve3 5 5 2 3" xfId="29148"/>
    <cellStyle name="20 % - Markeringsfarve3 5 5 3" xfId="12806"/>
    <cellStyle name="20 % - Markeringsfarve3 5 5 4" xfId="24164"/>
    <cellStyle name="20 % - Markeringsfarve3 5 6" xfId="3660"/>
    <cellStyle name="20 % - Markeringsfarve3 5 6 2" xfId="8645"/>
    <cellStyle name="20 % - Markeringsfarve3 5 6 2 2" xfId="19452"/>
    <cellStyle name="20 % - Markeringsfarve3 5 6 2 3" xfId="30809"/>
    <cellStyle name="20 % - Markeringsfarve3 5 6 3" xfId="14467"/>
    <cellStyle name="20 % - Markeringsfarve3 5 6 4" xfId="25825"/>
    <cellStyle name="20 % - Markeringsfarve3 5 7" xfId="5321"/>
    <cellStyle name="20 % - Markeringsfarve3 5 7 2" xfId="16130"/>
    <cellStyle name="20 % - Markeringsfarve3 5 7 3" xfId="27487"/>
    <cellStyle name="20 % - Markeringsfarve3 5 8" xfId="10306"/>
    <cellStyle name="20 % - Markeringsfarve3 5 8 2" xfId="21113"/>
    <cellStyle name="20 % - Markeringsfarve3 5 8 3" xfId="32470"/>
    <cellStyle name="20 % - Markeringsfarve3 5 9" xfId="11140"/>
    <cellStyle name="20 % - Markeringsfarve3 6" xfId="345"/>
    <cellStyle name="20 % - Markeringsfarve3 6 10" xfId="22002"/>
    <cellStyle name="20 % - Markeringsfarve3 6 11" xfId="22555"/>
    <cellStyle name="20 % - Markeringsfarve3 6 12" xfId="33358"/>
    <cellStyle name="20 % - Markeringsfarve3 6 13" xfId="33633"/>
    <cellStyle name="20 % - Markeringsfarve3 6 14" xfId="33904"/>
    <cellStyle name="20 % - Markeringsfarve3 6 2" xfId="662"/>
    <cellStyle name="20 % - Markeringsfarve3 6 2 2" xfId="1494"/>
    <cellStyle name="20 % - Markeringsfarve3 6 2 2 2" xfId="3159"/>
    <cellStyle name="20 % - Markeringsfarve3 6 2 2 2 2" xfId="8147"/>
    <cellStyle name="20 % - Markeringsfarve3 6 2 2 2 2 2" xfId="18954"/>
    <cellStyle name="20 % - Markeringsfarve3 6 2 2 2 2 3" xfId="30311"/>
    <cellStyle name="20 % - Markeringsfarve3 6 2 2 2 3" xfId="13969"/>
    <cellStyle name="20 % - Markeringsfarve3 6 2 2 2 4" xfId="25327"/>
    <cellStyle name="20 % - Markeringsfarve3 6 2 2 3" xfId="4823"/>
    <cellStyle name="20 % - Markeringsfarve3 6 2 2 3 2" xfId="9808"/>
    <cellStyle name="20 % - Markeringsfarve3 6 2 2 3 2 2" xfId="20615"/>
    <cellStyle name="20 % - Markeringsfarve3 6 2 2 3 2 3" xfId="31972"/>
    <cellStyle name="20 % - Markeringsfarve3 6 2 2 3 3" xfId="15630"/>
    <cellStyle name="20 % - Markeringsfarve3 6 2 2 3 4" xfId="26988"/>
    <cellStyle name="20 % - Markeringsfarve3 6 2 2 4" xfId="6485"/>
    <cellStyle name="20 % - Markeringsfarve3 6 2 2 4 2" xfId="17293"/>
    <cellStyle name="20 % - Markeringsfarve3 6 2 2 4 3" xfId="28650"/>
    <cellStyle name="20 % - Markeringsfarve3 6 2 2 5" xfId="12308"/>
    <cellStyle name="20 % - Markeringsfarve3 6 2 2 6" xfId="23666"/>
    <cellStyle name="20 % - Markeringsfarve3 6 2 3" xfId="2328"/>
    <cellStyle name="20 % - Markeringsfarve3 6 2 3 2" xfId="7316"/>
    <cellStyle name="20 % - Markeringsfarve3 6 2 3 2 2" xfId="18123"/>
    <cellStyle name="20 % - Markeringsfarve3 6 2 3 2 3" xfId="29480"/>
    <cellStyle name="20 % - Markeringsfarve3 6 2 3 3" xfId="13138"/>
    <cellStyle name="20 % - Markeringsfarve3 6 2 3 4" xfId="24496"/>
    <cellStyle name="20 % - Markeringsfarve3 6 2 4" xfId="3992"/>
    <cellStyle name="20 % - Markeringsfarve3 6 2 4 2" xfId="8977"/>
    <cellStyle name="20 % - Markeringsfarve3 6 2 4 2 2" xfId="19784"/>
    <cellStyle name="20 % - Markeringsfarve3 6 2 4 2 3" xfId="31141"/>
    <cellStyle name="20 % - Markeringsfarve3 6 2 4 3" xfId="14799"/>
    <cellStyle name="20 % - Markeringsfarve3 6 2 4 4" xfId="26157"/>
    <cellStyle name="20 % - Markeringsfarve3 6 2 5" xfId="5654"/>
    <cellStyle name="20 % - Markeringsfarve3 6 2 5 2" xfId="16462"/>
    <cellStyle name="20 % - Markeringsfarve3 6 2 5 3" xfId="27819"/>
    <cellStyle name="20 % - Markeringsfarve3 6 2 6" xfId="10641"/>
    <cellStyle name="20 % - Markeringsfarve3 6 2 6 2" xfId="21448"/>
    <cellStyle name="20 % - Markeringsfarve3 6 2 6 3" xfId="32805"/>
    <cellStyle name="20 % - Markeringsfarve3 6 2 7" xfId="11475"/>
    <cellStyle name="20 % - Markeringsfarve3 6 2 8" xfId="22281"/>
    <cellStyle name="20 % - Markeringsfarve3 6 2 9" xfId="22835"/>
    <cellStyle name="20 % - Markeringsfarve3 6 3" xfId="936"/>
    <cellStyle name="20 % - Markeringsfarve3 6 3 2" xfId="1768"/>
    <cellStyle name="20 % - Markeringsfarve3 6 3 2 2" xfId="3433"/>
    <cellStyle name="20 % - Markeringsfarve3 6 3 2 2 2" xfId="8421"/>
    <cellStyle name="20 % - Markeringsfarve3 6 3 2 2 2 2" xfId="19228"/>
    <cellStyle name="20 % - Markeringsfarve3 6 3 2 2 2 3" xfId="30585"/>
    <cellStyle name="20 % - Markeringsfarve3 6 3 2 2 3" xfId="14243"/>
    <cellStyle name="20 % - Markeringsfarve3 6 3 2 2 4" xfId="25601"/>
    <cellStyle name="20 % - Markeringsfarve3 6 3 2 3" xfId="5097"/>
    <cellStyle name="20 % - Markeringsfarve3 6 3 2 3 2" xfId="10082"/>
    <cellStyle name="20 % - Markeringsfarve3 6 3 2 3 2 2" xfId="20889"/>
    <cellStyle name="20 % - Markeringsfarve3 6 3 2 3 2 3" xfId="32246"/>
    <cellStyle name="20 % - Markeringsfarve3 6 3 2 3 3" xfId="15904"/>
    <cellStyle name="20 % - Markeringsfarve3 6 3 2 3 4" xfId="27262"/>
    <cellStyle name="20 % - Markeringsfarve3 6 3 2 4" xfId="6759"/>
    <cellStyle name="20 % - Markeringsfarve3 6 3 2 4 2" xfId="17567"/>
    <cellStyle name="20 % - Markeringsfarve3 6 3 2 4 3" xfId="28924"/>
    <cellStyle name="20 % - Markeringsfarve3 6 3 2 5" xfId="12582"/>
    <cellStyle name="20 % - Markeringsfarve3 6 3 2 6" xfId="23940"/>
    <cellStyle name="20 % - Markeringsfarve3 6 3 3" xfId="2602"/>
    <cellStyle name="20 % - Markeringsfarve3 6 3 3 2" xfId="7590"/>
    <cellStyle name="20 % - Markeringsfarve3 6 3 3 2 2" xfId="18397"/>
    <cellStyle name="20 % - Markeringsfarve3 6 3 3 2 3" xfId="29754"/>
    <cellStyle name="20 % - Markeringsfarve3 6 3 3 3" xfId="13412"/>
    <cellStyle name="20 % - Markeringsfarve3 6 3 3 4" xfId="24770"/>
    <cellStyle name="20 % - Markeringsfarve3 6 3 4" xfId="4266"/>
    <cellStyle name="20 % - Markeringsfarve3 6 3 4 2" xfId="9251"/>
    <cellStyle name="20 % - Markeringsfarve3 6 3 4 2 2" xfId="20058"/>
    <cellStyle name="20 % - Markeringsfarve3 6 3 4 2 3" xfId="31415"/>
    <cellStyle name="20 % - Markeringsfarve3 6 3 4 3" xfId="15073"/>
    <cellStyle name="20 % - Markeringsfarve3 6 3 4 4" xfId="26431"/>
    <cellStyle name="20 % - Markeringsfarve3 6 3 5" xfId="5928"/>
    <cellStyle name="20 % - Markeringsfarve3 6 3 5 2" xfId="16736"/>
    <cellStyle name="20 % - Markeringsfarve3 6 3 5 3" xfId="28093"/>
    <cellStyle name="20 % - Markeringsfarve3 6 3 6" xfId="10915"/>
    <cellStyle name="20 % - Markeringsfarve3 6 3 6 2" xfId="21722"/>
    <cellStyle name="20 % - Markeringsfarve3 6 3 6 3" xfId="33079"/>
    <cellStyle name="20 % - Markeringsfarve3 6 3 7" xfId="11750"/>
    <cellStyle name="20 % - Markeringsfarve3 6 3 8" xfId="23109"/>
    <cellStyle name="20 % - Markeringsfarve3 6 4" xfId="1215"/>
    <cellStyle name="20 % - Markeringsfarve3 6 4 2" xfId="2880"/>
    <cellStyle name="20 % - Markeringsfarve3 6 4 2 2" xfId="7868"/>
    <cellStyle name="20 % - Markeringsfarve3 6 4 2 2 2" xfId="18675"/>
    <cellStyle name="20 % - Markeringsfarve3 6 4 2 2 3" xfId="30032"/>
    <cellStyle name="20 % - Markeringsfarve3 6 4 2 3" xfId="13690"/>
    <cellStyle name="20 % - Markeringsfarve3 6 4 2 4" xfId="25048"/>
    <cellStyle name="20 % - Markeringsfarve3 6 4 3" xfId="4544"/>
    <cellStyle name="20 % - Markeringsfarve3 6 4 3 2" xfId="9529"/>
    <cellStyle name="20 % - Markeringsfarve3 6 4 3 2 2" xfId="20336"/>
    <cellStyle name="20 % - Markeringsfarve3 6 4 3 2 3" xfId="31693"/>
    <cellStyle name="20 % - Markeringsfarve3 6 4 3 3" xfId="15351"/>
    <cellStyle name="20 % - Markeringsfarve3 6 4 3 4" xfId="26709"/>
    <cellStyle name="20 % - Markeringsfarve3 6 4 4" xfId="6206"/>
    <cellStyle name="20 % - Markeringsfarve3 6 4 4 2" xfId="17014"/>
    <cellStyle name="20 % - Markeringsfarve3 6 4 4 3" xfId="28371"/>
    <cellStyle name="20 % - Markeringsfarve3 6 4 5" xfId="12029"/>
    <cellStyle name="20 % - Markeringsfarve3 6 4 6" xfId="23387"/>
    <cellStyle name="20 % - Markeringsfarve3 6 5" xfId="2050"/>
    <cellStyle name="20 % - Markeringsfarve3 6 5 2" xfId="7038"/>
    <cellStyle name="20 % - Markeringsfarve3 6 5 2 2" xfId="17846"/>
    <cellStyle name="20 % - Markeringsfarve3 6 5 2 3" xfId="29203"/>
    <cellStyle name="20 % - Markeringsfarve3 6 5 3" xfId="12861"/>
    <cellStyle name="20 % - Markeringsfarve3 6 5 4" xfId="24219"/>
    <cellStyle name="20 % - Markeringsfarve3 6 6" xfId="3715"/>
    <cellStyle name="20 % - Markeringsfarve3 6 6 2" xfId="8700"/>
    <cellStyle name="20 % - Markeringsfarve3 6 6 2 2" xfId="19507"/>
    <cellStyle name="20 % - Markeringsfarve3 6 6 2 3" xfId="30864"/>
    <cellStyle name="20 % - Markeringsfarve3 6 6 3" xfId="14522"/>
    <cellStyle name="20 % - Markeringsfarve3 6 6 4" xfId="25880"/>
    <cellStyle name="20 % - Markeringsfarve3 6 7" xfId="5376"/>
    <cellStyle name="20 % - Markeringsfarve3 6 7 2" xfId="16185"/>
    <cellStyle name="20 % - Markeringsfarve3 6 7 3" xfId="27542"/>
    <cellStyle name="20 % - Markeringsfarve3 6 8" xfId="10361"/>
    <cellStyle name="20 % - Markeringsfarve3 6 8 2" xfId="21168"/>
    <cellStyle name="20 % - Markeringsfarve3 6 8 3" xfId="32525"/>
    <cellStyle name="20 % - Markeringsfarve3 6 9" xfId="11195"/>
    <cellStyle name="20 % - Markeringsfarve3 7" xfId="446"/>
    <cellStyle name="20 % - Markeringsfarve3 7 2" xfId="1276"/>
    <cellStyle name="20 % - Markeringsfarve3 7 2 2" xfId="2941"/>
    <cellStyle name="20 % - Markeringsfarve3 7 2 2 2" xfId="7929"/>
    <cellStyle name="20 % - Markeringsfarve3 7 2 2 2 2" xfId="18736"/>
    <cellStyle name="20 % - Markeringsfarve3 7 2 2 2 3" xfId="30093"/>
    <cellStyle name="20 % - Markeringsfarve3 7 2 2 3" xfId="13751"/>
    <cellStyle name="20 % - Markeringsfarve3 7 2 2 4" xfId="25109"/>
    <cellStyle name="20 % - Markeringsfarve3 7 2 3" xfId="4605"/>
    <cellStyle name="20 % - Markeringsfarve3 7 2 3 2" xfId="9590"/>
    <cellStyle name="20 % - Markeringsfarve3 7 2 3 2 2" xfId="20397"/>
    <cellStyle name="20 % - Markeringsfarve3 7 2 3 2 3" xfId="31754"/>
    <cellStyle name="20 % - Markeringsfarve3 7 2 3 3" xfId="15412"/>
    <cellStyle name="20 % - Markeringsfarve3 7 2 3 4" xfId="26770"/>
    <cellStyle name="20 % - Markeringsfarve3 7 2 4" xfId="6267"/>
    <cellStyle name="20 % - Markeringsfarve3 7 2 4 2" xfId="17075"/>
    <cellStyle name="20 % - Markeringsfarve3 7 2 4 3" xfId="28432"/>
    <cellStyle name="20 % - Markeringsfarve3 7 2 5" xfId="12090"/>
    <cellStyle name="20 % - Markeringsfarve3 7 2 6" xfId="23448"/>
    <cellStyle name="20 % - Markeringsfarve3 7 3" xfId="2112"/>
    <cellStyle name="20 % - Markeringsfarve3 7 3 2" xfId="7100"/>
    <cellStyle name="20 % - Markeringsfarve3 7 3 2 2" xfId="17907"/>
    <cellStyle name="20 % - Markeringsfarve3 7 3 2 3" xfId="29264"/>
    <cellStyle name="20 % - Markeringsfarve3 7 3 3" xfId="12922"/>
    <cellStyle name="20 % - Markeringsfarve3 7 3 4" xfId="24280"/>
    <cellStyle name="20 % - Markeringsfarve3 7 4" xfId="3776"/>
    <cellStyle name="20 % - Markeringsfarve3 7 4 2" xfId="8761"/>
    <cellStyle name="20 % - Markeringsfarve3 7 4 2 2" xfId="19568"/>
    <cellStyle name="20 % - Markeringsfarve3 7 4 2 3" xfId="30925"/>
    <cellStyle name="20 % - Markeringsfarve3 7 4 3" xfId="14583"/>
    <cellStyle name="20 % - Markeringsfarve3 7 4 4" xfId="25941"/>
    <cellStyle name="20 % - Markeringsfarve3 7 5" xfId="5438"/>
    <cellStyle name="20 % - Markeringsfarve3 7 5 2" xfId="16246"/>
    <cellStyle name="20 % - Markeringsfarve3 7 5 3" xfId="27603"/>
    <cellStyle name="20 % - Markeringsfarve3 7 6" xfId="10450"/>
    <cellStyle name="20 % - Markeringsfarve3 7 6 2" xfId="21257"/>
    <cellStyle name="20 % - Markeringsfarve3 7 6 3" xfId="32614"/>
    <cellStyle name="20 % - Markeringsfarve3 7 7" xfId="11257"/>
    <cellStyle name="20 % - Markeringsfarve3 7 8" xfId="22063"/>
    <cellStyle name="20 % - Markeringsfarve3 7 9" xfId="22617"/>
    <cellStyle name="20 % - Markeringsfarve3 8" xfId="718"/>
    <cellStyle name="20 % - Markeringsfarve3 8 2" xfId="1550"/>
    <cellStyle name="20 % - Markeringsfarve3 8 2 2" xfId="3215"/>
    <cellStyle name="20 % - Markeringsfarve3 8 2 2 2" xfId="8203"/>
    <cellStyle name="20 % - Markeringsfarve3 8 2 2 2 2" xfId="19010"/>
    <cellStyle name="20 % - Markeringsfarve3 8 2 2 2 3" xfId="30367"/>
    <cellStyle name="20 % - Markeringsfarve3 8 2 2 3" xfId="14025"/>
    <cellStyle name="20 % - Markeringsfarve3 8 2 2 4" xfId="25383"/>
    <cellStyle name="20 % - Markeringsfarve3 8 2 3" xfId="4879"/>
    <cellStyle name="20 % - Markeringsfarve3 8 2 3 2" xfId="9864"/>
    <cellStyle name="20 % - Markeringsfarve3 8 2 3 2 2" xfId="20671"/>
    <cellStyle name="20 % - Markeringsfarve3 8 2 3 2 3" xfId="32028"/>
    <cellStyle name="20 % - Markeringsfarve3 8 2 3 3" xfId="15686"/>
    <cellStyle name="20 % - Markeringsfarve3 8 2 3 4" xfId="27044"/>
    <cellStyle name="20 % - Markeringsfarve3 8 2 4" xfId="6541"/>
    <cellStyle name="20 % - Markeringsfarve3 8 2 4 2" xfId="17349"/>
    <cellStyle name="20 % - Markeringsfarve3 8 2 4 3" xfId="28706"/>
    <cellStyle name="20 % - Markeringsfarve3 8 2 5" xfId="12364"/>
    <cellStyle name="20 % - Markeringsfarve3 8 2 6" xfId="23722"/>
    <cellStyle name="20 % - Markeringsfarve3 8 3" xfId="2384"/>
    <cellStyle name="20 % - Markeringsfarve3 8 3 2" xfId="7372"/>
    <cellStyle name="20 % - Markeringsfarve3 8 3 2 2" xfId="18179"/>
    <cellStyle name="20 % - Markeringsfarve3 8 3 2 3" xfId="29536"/>
    <cellStyle name="20 % - Markeringsfarve3 8 3 3" xfId="13194"/>
    <cellStyle name="20 % - Markeringsfarve3 8 3 4" xfId="24552"/>
    <cellStyle name="20 % - Markeringsfarve3 8 4" xfId="4048"/>
    <cellStyle name="20 % - Markeringsfarve3 8 4 2" xfId="9033"/>
    <cellStyle name="20 % - Markeringsfarve3 8 4 2 2" xfId="19840"/>
    <cellStyle name="20 % - Markeringsfarve3 8 4 2 3" xfId="31197"/>
    <cellStyle name="20 % - Markeringsfarve3 8 4 3" xfId="14855"/>
    <cellStyle name="20 % - Markeringsfarve3 8 4 4" xfId="26213"/>
    <cellStyle name="20 % - Markeringsfarve3 8 5" xfId="5710"/>
    <cellStyle name="20 % - Markeringsfarve3 8 5 2" xfId="16518"/>
    <cellStyle name="20 % - Markeringsfarve3 8 5 3" xfId="27875"/>
    <cellStyle name="20 % - Markeringsfarve3 8 6" xfId="10697"/>
    <cellStyle name="20 % - Markeringsfarve3 8 6 2" xfId="21504"/>
    <cellStyle name="20 % - Markeringsfarve3 8 6 3" xfId="32861"/>
    <cellStyle name="20 % - Markeringsfarve3 8 7" xfId="11532"/>
    <cellStyle name="20 % - Markeringsfarve3 8 8" xfId="22891"/>
    <cellStyle name="20 % - Markeringsfarve3 9" xfId="997"/>
    <cellStyle name="20 % - Markeringsfarve3 9 2" xfId="2662"/>
    <cellStyle name="20 % - Markeringsfarve3 9 2 2" xfId="7650"/>
    <cellStyle name="20 % - Markeringsfarve3 9 2 2 2" xfId="18457"/>
    <cellStyle name="20 % - Markeringsfarve3 9 2 2 3" xfId="29814"/>
    <cellStyle name="20 % - Markeringsfarve3 9 2 3" xfId="13472"/>
    <cellStyle name="20 % - Markeringsfarve3 9 2 4" xfId="24830"/>
    <cellStyle name="20 % - Markeringsfarve3 9 3" xfId="4326"/>
    <cellStyle name="20 % - Markeringsfarve3 9 3 2" xfId="9311"/>
    <cellStyle name="20 % - Markeringsfarve3 9 3 2 2" xfId="20118"/>
    <cellStyle name="20 % - Markeringsfarve3 9 3 2 3" xfId="31475"/>
    <cellStyle name="20 % - Markeringsfarve3 9 3 3" xfId="15133"/>
    <cellStyle name="20 % - Markeringsfarve3 9 3 4" xfId="26491"/>
    <cellStyle name="20 % - Markeringsfarve3 9 4" xfId="5988"/>
    <cellStyle name="20 % - Markeringsfarve3 9 4 2" xfId="16796"/>
    <cellStyle name="20 % - Markeringsfarve3 9 4 3" xfId="28153"/>
    <cellStyle name="20 % - Markeringsfarve3 9 5" xfId="11811"/>
    <cellStyle name="20 % - Markeringsfarve3 9 6" xfId="23169"/>
    <cellStyle name="20 % - Markeringsfarve4" xfId="33" builtinId="42" customBuiltin="1"/>
    <cellStyle name="20 % - Markeringsfarve4 10" xfId="1834"/>
    <cellStyle name="20 % - Markeringsfarve4 10 2" xfId="6822"/>
    <cellStyle name="20 % - Markeringsfarve4 10 2 2" xfId="17630"/>
    <cellStyle name="20 % - Markeringsfarve4 10 2 3" xfId="28987"/>
    <cellStyle name="20 % - Markeringsfarve4 10 3" xfId="12645"/>
    <cellStyle name="20 % - Markeringsfarve4 10 4" xfId="24003"/>
    <cellStyle name="20 % - Markeringsfarve4 11" xfId="3499"/>
    <cellStyle name="20 % - Markeringsfarve4 11 2" xfId="8484"/>
    <cellStyle name="20 % - Markeringsfarve4 11 2 2" xfId="19291"/>
    <cellStyle name="20 % - Markeringsfarve4 11 2 3" xfId="30648"/>
    <cellStyle name="20 % - Markeringsfarve4 11 3" xfId="14306"/>
    <cellStyle name="20 % - Markeringsfarve4 11 4" xfId="25664"/>
    <cellStyle name="20 % - Markeringsfarve4 12" xfId="5160"/>
    <cellStyle name="20 % - Markeringsfarve4 12 2" xfId="15969"/>
    <cellStyle name="20 % - Markeringsfarve4 12 3" xfId="27326"/>
    <cellStyle name="20 % - Markeringsfarve4 13" xfId="10145"/>
    <cellStyle name="20 % - Markeringsfarve4 13 2" xfId="20952"/>
    <cellStyle name="20 % - Markeringsfarve4 13 3" xfId="32309"/>
    <cellStyle name="20 % - Markeringsfarve4 14" xfId="10979"/>
    <cellStyle name="20 % - Markeringsfarve4 15" xfId="21786"/>
    <cellStyle name="20 % - Markeringsfarve4 16" xfId="22339"/>
    <cellStyle name="20 % - Markeringsfarve4 17" xfId="33142"/>
    <cellStyle name="20 % - Markeringsfarve4 18" xfId="33449"/>
    <cellStyle name="20 % - Markeringsfarve4 19" xfId="33720"/>
    <cellStyle name="20 % - Markeringsfarve4 2" xfId="54"/>
    <cellStyle name="20 % - Markeringsfarve4 2 10" xfId="1844"/>
    <cellStyle name="20 % - Markeringsfarve4 2 10 2" xfId="6832"/>
    <cellStyle name="20 % - Markeringsfarve4 2 10 2 2" xfId="17640"/>
    <cellStyle name="20 % - Markeringsfarve4 2 10 2 3" xfId="28997"/>
    <cellStyle name="20 % - Markeringsfarve4 2 10 3" xfId="12655"/>
    <cellStyle name="20 % - Markeringsfarve4 2 10 4" xfId="24013"/>
    <cellStyle name="20 % - Markeringsfarve4 2 11" xfId="3509"/>
    <cellStyle name="20 % - Markeringsfarve4 2 11 2" xfId="8494"/>
    <cellStyle name="20 % - Markeringsfarve4 2 11 2 2" xfId="19301"/>
    <cellStyle name="20 % - Markeringsfarve4 2 11 2 3" xfId="30658"/>
    <cellStyle name="20 % - Markeringsfarve4 2 11 3" xfId="14316"/>
    <cellStyle name="20 % - Markeringsfarve4 2 11 4" xfId="25674"/>
    <cellStyle name="20 % - Markeringsfarve4 2 12" xfId="5170"/>
    <cellStyle name="20 % - Markeringsfarve4 2 12 2" xfId="15979"/>
    <cellStyle name="20 % - Markeringsfarve4 2 12 3" xfId="27336"/>
    <cellStyle name="20 % - Markeringsfarve4 2 13" xfId="10155"/>
    <cellStyle name="20 % - Markeringsfarve4 2 13 2" xfId="20962"/>
    <cellStyle name="20 % - Markeringsfarve4 2 13 3" xfId="32319"/>
    <cellStyle name="20 % - Markeringsfarve4 2 14" xfId="10989"/>
    <cellStyle name="20 % - Markeringsfarve4 2 15" xfId="21796"/>
    <cellStyle name="20 % - Markeringsfarve4 2 16" xfId="22349"/>
    <cellStyle name="20 % - Markeringsfarve4 2 17" xfId="33152"/>
    <cellStyle name="20 % - Markeringsfarve4 2 18" xfId="33413"/>
    <cellStyle name="20 % - Markeringsfarve4 2 19" xfId="33684"/>
    <cellStyle name="20 % - Markeringsfarve4 2 2" xfId="82"/>
    <cellStyle name="20 % - Markeringsfarve4 2 2 10" xfId="3528"/>
    <cellStyle name="20 % - Markeringsfarve4 2 2 10 2" xfId="8513"/>
    <cellStyle name="20 % - Markeringsfarve4 2 2 10 2 2" xfId="19320"/>
    <cellStyle name="20 % - Markeringsfarve4 2 2 10 2 3" xfId="30677"/>
    <cellStyle name="20 % - Markeringsfarve4 2 2 10 3" xfId="14335"/>
    <cellStyle name="20 % - Markeringsfarve4 2 2 10 4" xfId="25693"/>
    <cellStyle name="20 % - Markeringsfarve4 2 2 11" xfId="5189"/>
    <cellStyle name="20 % - Markeringsfarve4 2 2 11 2" xfId="15998"/>
    <cellStyle name="20 % - Markeringsfarve4 2 2 11 3" xfId="27355"/>
    <cellStyle name="20 % - Markeringsfarve4 2 2 12" xfId="10173"/>
    <cellStyle name="20 % - Markeringsfarve4 2 2 12 2" xfId="20980"/>
    <cellStyle name="20 % - Markeringsfarve4 2 2 12 3" xfId="32337"/>
    <cellStyle name="20 % - Markeringsfarve4 2 2 13" xfId="11007"/>
    <cellStyle name="20 % - Markeringsfarve4 2 2 14" xfId="21814"/>
    <cellStyle name="20 % - Markeringsfarve4 2 2 15" xfId="22367"/>
    <cellStyle name="20 % - Markeringsfarve4 2 2 16" xfId="33170"/>
    <cellStyle name="20 % - Markeringsfarve4 2 2 17" xfId="33439"/>
    <cellStyle name="20 % - Markeringsfarve4 2 2 18" xfId="33710"/>
    <cellStyle name="20 % - Markeringsfarve4 2 2 2" xfId="210"/>
    <cellStyle name="20 % - Markeringsfarve4 2 2 2 10" xfId="21868"/>
    <cellStyle name="20 % - Markeringsfarve4 2 2 2 11" xfId="22421"/>
    <cellStyle name="20 % - Markeringsfarve4 2 2 2 12" xfId="33224"/>
    <cellStyle name="20 % - Markeringsfarve4 2 2 2 13" xfId="33499"/>
    <cellStyle name="20 % - Markeringsfarve4 2 2 2 14" xfId="33770"/>
    <cellStyle name="20 % - Markeringsfarve4 2 2 2 2" xfId="528"/>
    <cellStyle name="20 % - Markeringsfarve4 2 2 2 2 2" xfId="1360"/>
    <cellStyle name="20 % - Markeringsfarve4 2 2 2 2 2 2" xfId="3025"/>
    <cellStyle name="20 % - Markeringsfarve4 2 2 2 2 2 2 2" xfId="8013"/>
    <cellStyle name="20 % - Markeringsfarve4 2 2 2 2 2 2 2 2" xfId="18820"/>
    <cellStyle name="20 % - Markeringsfarve4 2 2 2 2 2 2 2 3" xfId="30177"/>
    <cellStyle name="20 % - Markeringsfarve4 2 2 2 2 2 2 3" xfId="13835"/>
    <cellStyle name="20 % - Markeringsfarve4 2 2 2 2 2 2 4" xfId="25193"/>
    <cellStyle name="20 % - Markeringsfarve4 2 2 2 2 2 3" xfId="4689"/>
    <cellStyle name="20 % - Markeringsfarve4 2 2 2 2 2 3 2" xfId="9674"/>
    <cellStyle name="20 % - Markeringsfarve4 2 2 2 2 2 3 2 2" xfId="20481"/>
    <cellStyle name="20 % - Markeringsfarve4 2 2 2 2 2 3 2 3" xfId="31838"/>
    <cellStyle name="20 % - Markeringsfarve4 2 2 2 2 2 3 3" xfId="15496"/>
    <cellStyle name="20 % - Markeringsfarve4 2 2 2 2 2 3 4" xfId="26854"/>
    <cellStyle name="20 % - Markeringsfarve4 2 2 2 2 2 4" xfId="6351"/>
    <cellStyle name="20 % - Markeringsfarve4 2 2 2 2 2 4 2" xfId="17159"/>
    <cellStyle name="20 % - Markeringsfarve4 2 2 2 2 2 4 3" xfId="28516"/>
    <cellStyle name="20 % - Markeringsfarve4 2 2 2 2 2 5" xfId="12174"/>
    <cellStyle name="20 % - Markeringsfarve4 2 2 2 2 2 6" xfId="23532"/>
    <cellStyle name="20 % - Markeringsfarve4 2 2 2 2 3" xfId="2194"/>
    <cellStyle name="20 % - Markeringsfarve4 2 2 2 2 3 2" xfId="7182"/>
    <cellStyle name="20 % - Markeringsfarve4 2 2 2 2 3 2 2" xfId="17989"/>
    <cellStyle name="20 % - Markeringsfarve4 2 2 2 2 3 2 3" xfId="29346"/>
    <cellStyle name="20 % - Markeringsfarve4 2 2 2 2 3 3" xfId="13004"/>
    <cellStyle name="20 % - Markeringsfarve4 2 2 2 2 3 4" xfId="24362"/>
    <cellStyle name="20 % - Markeringsfarve4 2 2 2 2 4" xfId="3858"/>
    <cellStyle name="20 % - Markeringsfarve4 2 2 2 2 4 2" xfId="8843"/>
    <cellStyle name="20 % - Markeringsfarve4 2 2 2 2 4 2 2" xfId="19650"/>
    <cellStyle name="20 % - Markeringsfarve4 2 2 2 2 4 2 3" xfId="31007"/>
    <cellStyle name="20 % - Markeringsfarve4 2 2 2 2 4 3" xfId="14665"/>
    <cellStyle name="20 % - Markeringsfarve4 2 2 2 2 4 4" xfId="26023"/>
    <cellStyle name="20 % - Markeringsfarve4 2 2 2 2 5" xfId="5520"/>
    <cellStyle name="20 % - Markeringsfarve4 2 2 2 2 5 2" xfId="16328"/>
    <cellStyle name="20 % - Markeringsfarve4 2 2 2 2 5 3" xfId="27685"/>
    <cellStyle name="20 % - Markeringsfarve4 2 2 2 2 6" xfId="10507"/>
    <cellStyle name="20 % - Markeringsfarve4 2 2 2 2 6 2" xfId="21314"/>
    <cellStyle name="20 % - Markeringsfarve4 2 2 2 2 6 3" xfId="32671"/>
    <cellStyle name="20 % - Markeringsfarve4 2 2 2 2 7" xfId="11341"/>
    <cellStyle name="20 % - Markeringsfarve4 2 2 2 2 8" xfId="22147"/>
    <cellStyle name="20 % - Markeringsfarve4 2 2 2 2 9" xfId="22701"/>
    <cellStyle name="20 % - Markeringsfarve4 2 2 2 3" xfId="802"/>
    <cellStyle name="20 % - Markeringsfarve4 2 2 2 3 2" xfId="1634"/>
    <cellStyle name="20 % - Markeringsfarve4 2 2 2 3 2 2" xfId="3299"/>
    <cellStyle name="20 % - Markeringsfarve4 2 2 2 3 2 2 2" xfId="8287"/>
    <cellStyle name="20 % - Markeringsfarve4 2 2 2 3 2 2 2 2" xfId="19094"/>
    <cellStyle name="20 % - Markeringsfarve4 2 2 2 3 2 2 2 3" xfId="30451"/>
    <cellStyle name="20 % - Markeringsfarve4 2 2 2 3 2 2 3" xfId="14109"/>
    <cellStyle name="20 % - Markeringsfarve4 2 2 2 3 2 2 4" xfId="25467"/>
    <cellStyle name="20 % - Markeringsfarve4 2 2 2 3 2 3" xfId="4963"/>
    <cellStyle name="20 % - Markeringsfarve4 2 2 2 3 2 3 2" xfId="9948"/>
    <cellStyle name="20 % - Markeringsfarve4 2 2 2 3 2 3 2 2" xfId="20755"/>
    <cellStyle name="20 % - Markeringsfarve4 2 2 2 3 2 3 2 3" xfId="32112"/>
    <cellStyle name="20 % - Markeringsfarve4 2 2 2 3 2 3 3" xfId="15770"/>
    <cellStyle name="20 % - Markeringsfarve4 2 2 2 3 2 3 4" xfId="27128"/>
    <cellStyle name="20 % - Markeringsfarve4 2 2 2 3 2 4" xfId="6625"/>
    <cellStyle name="20 % - Markeringsfarve4 2 2 2 3 2 4 2" xfId="17433"/>
    <cellStyle name="20 % - Markeringsfarve4 2 2 2 3 2 4 3" xfId="28790"/>
    <cellStyle name="20 % - Markeringsfarve4 2 2 2 3 2 5" xfId="12448"/>
    <cellStyle name="20 % - Markeringsfarve4 2 2 2 3 2 6" xfId="23806"/>
    <cellStyle name="20 % - Markeringsfarve4 2 2 2 3 3" xfId="2468"/>
    <cellStyle name="20 % - Markeringsfarve4 2 2 2 3 3 2" xfId="7456"/>
    <cellStyle name="20 % - Markeringsfarve4 2 2 2 3 3 2 2" xfId="18263"/>
    <cellStyle name="20 % - Markeringsfarve4 2 2 2 3 3 2 3" xfId="29620"/>
    <cellStyle name="20 % - Markeringsfarve4 2 2 2 3 3 3" xfId="13278"/>
    <cellStyle name="20 % - Markeringsfarve4 2 2 2 3 3 4" xfId="24636"/>
    <cellStyle name="20 % - Markeringsfarve4 2 2 2 3 4" xfId="4132"/>
    <cellStyle name="20 % - Markeringsfarve4 2 2 2 3 4 2" xfId="9117"/>
    <cellStyle name="20 % - Markeringsfarve4 2 2 2 3 4 2 2" xfId="19924"/>
    <cellStyle name="20 % - Markeringsfarve4 2 2 2 3 4 2 3" xfId="31281"/>
    <cellStyle name="20 % - Markeringsfarve4 2 2 2 3 4 3" xfId="14939"/>
    <cellStyle name="20 % - Markeringsfarve4 2 2 2 3 4 4" xfId="26297"/>
    <cellStyle name="20 % - Markeringsfarve4 2 2 2 3 5" xfId="5794"/>
    <cellStyle name="20 % - Markeringsfarve4 2 2 2 3 5 2" xfId="16602"/>
    <cellStyle name="20 % - Markeringsfarve4 2 2 2 3 5 3" xfId="27959"/>
    <cellStyle name="20 % - Markeringsfarve4 2 2 2 3 6" xfId="10781"/>
    <cellStyle name="20 % - Markeringsfarve4 2 2 2 3 6 2" xfId="21588"/>
    <cellStyle name="20 % - Markeringsfarve4 2 2 2 3 6 3" xfId="32945"/>
    <cellStyle name="20 % - Markeringsfarve4 2 2 2 3 7" xfId="11616"/>
    <cellStyle name="20 % - Markeringsfarve4 2 2 2 3 8" xfId="22975"/>
    <cellStyle name="20 % - Markeringsfarve4 2 2 2 4" xfId="1081"/>
    <cellStyle name="20 % - Markeringsfarve4 2 2 2 4 2" xfId="2746"/>
    <cellStyle name="20 % - Markeringsfarve4 2 2 2 4 2 2" xfId="7734"/>
    <cellStyle name="20 % - Markeringsfarve4 2 2 2 4 2 2 2" xfId="18541"/>
    <cellStyle name="20 % - Markeringsfarve4 2 2 2 4 2 2 3" xfId="29898"/>
    <cellStyle name="20 % - Markeringsfarve4 2 2 2 4 2 3" xfId="13556"/>
    <cellStyle name="20 % - Markeringsfarve4 2 2 2 4 2 4" xfId="24914"/>
    <cellStyle name="20 % - Markeringsfarve4 2 2 2 4 3" xfId="4410"/>
    <cellStyle name="20 % - Markeringsfarve4 2 2 2 4 3 2" xfId="9395"/>
    <cellStyle name="20 % - Markeringsfarve4 2 2 2 4 3 2 2" xfId="20202"/>
    <cellStyle name="20 % - Markeringsfarve4 2 2 2 4 3 2 3" xfId="31559"/>
    <cellStyle name="20 % - Markeringsfarve4 2 2 2 4 3 3" xfId="15217"/>
    <cellStyle name="20 % - Markeringsfarve4 2 2 2 4 3 4" xfId="26575"/>
    <cellStyle name="20 % - Markeringsfarve4 2 2 2 4 4" xfId="6072"/>
    <cellStyle name="20 % - Markeringsfarve4 2 2 2 4 4 2" xfId="16880"/>
    <cellStyle name="20 % - Markeringsfarve4 2 2 2 4 4 3" xfId="28237"/>
    <cellStyle name="20 % - Markeringsfarve4 2 2 2 4 5" xfId="11895"/>
    <cellStyle name="20 % - Markeringsfarve4 2 2 2 4 6" xfId="23253"/>
    <cellStyle name="20 % - Markeringsfarve4 2 2 2 5" xfId="1916"/>
    <cellStyle name="20 % - Markeringsfarve4 2 2 2 5 2" xfId="6904"/>
    <cellStyle name="20 % - Markeringsfarve4 2 2 2 5 2 2" xfId="17712"/>
    <cellStyle name="20 % - Markeringsfarve4 2 2 2 5 2 3" xfId="29069"/>
    <cellStyle name="20 % - Markeringsfarve4 2 2 2 5 3" xfId="12727"/>
    <cellStyle name="20 % - Markeringsfarve4 2 2 2 5 4" xfId="24085"/>
    <cellStyle name="20 % - Markeringsfarve4 2 2 2 6" xfId="3581"/>
    <cellStyle name="20 % - Markeringsfarve4 2 2 2 6 2" xfId="8566"/>
    <cellStyle name="20 % - Markeringsfarve4 2 2 2 6 2 2" xfId="19373"/>
    <cellStyle name="20 % - Markeringsfarve4 2 2 2 6 2 3" xfId="30730"/>
    <cellStyle name="20 % - Markeringsfarve4 2 2 2 6 3" xfId="14388"/>
    <cellStyle name="20 % - Markeringsfarve4 2 2 2 6 4" xfId="25746"/>
    <cellStyle name="20 % - Markeringsfarve4 2 2 2 7" xfId="5242"/>
    <cellStyle name="20 % - Markeringsfarve4 2 2 2 7 2" xfId="16051"/>
    <cellStyle name="20 % - Markeringsfarve4 2 2 2 7 3" xfId="27408"/>
    <cellStyle name="20 % - Markeringsfarve4 2 2 2 8" xfId="10227"/>
    <cellStyle name="20 % - Markeringsfarve4 2 2 2 8 2" xfId="21034"/>
    <cellStyle name="20 % - Markeringsfarve4 2 2 2 8 3" xfId="32391"/>
    <cellStyle name="20 % - Markeringsfarve4 2 2 2 9" xfId="11061"/>
    <cellStyle name="20 % - Markeringsfarve4 2 2 3" xfId="265"/>
    <cellStyle name="20 % - Markeringsfarve4 2 2 3 10" xfId="21922"/>
    <cellStyle name="20 % - Markeringsfarve4 2 2 3 11" xfId="22475"/>
    <cellStyle name="20 % - Markeringsfarve4 2 2 3 12" xfId="33278"/>
    <cellStyle name="20 % - Markeringsfarve4 2 2 3 13" xfId="33553"/>
    <cellStyle name="20 % - Markeringsfarve4 2 2 3 14" xfId="33824"/>
    <cellStyle name="20 % - Markeringsfarve4 2 2 3 2" xfId="582"/>
    <cellStyle name="20 % - Markeringsfarve4 2 2 3 2 2" xfId="1414"/>
    <cellStyle name="20 % - Markeringsfarve4 2 2 3 2 2 2" xfId="3079"/>
    <cellStyle name="20 % - Markeringsfarve4 2 2 3 2 2 2 2" xfId="8067"/>
    <cellStyle name="20 % - Markeringsfarve4 2 2 3 2 2 2 2 2" xfId="18874"/>
    <cellStyle name="20 % - Markeringsfarve4 2 2 3 2 2 2 2 3" xfId="30231"/>
    <cellStyle name="20 % - Markeringsfarve4 2 2 3 2 2 2 3" xfId="13889"/>
    <cellStyle name="20 % - Markeringsfarve4 2 2 3 2 2 2 4" xfId="25247"/>
    <cellStyle name="20 % - Markeringsfarve4 2 2 3 2 2 3" xfId="4743"/>
    <cellStyle name="20 % - Markeringsfarve4 2 2 3 2 2 3 2" xfId="9728"/>
    <cellStyle name="20 % - Markeringsfarve4 2 2 3 2 2 3 2 2" xfId="20535"/>
    <cellStyle name="20 % - Markeringsfarve4 2 2 3 2 2 3 2 3" xfId="31892"/>
    <cellStyle name="20 % - Markeringsfarve4 2 2 3 2 2 3 3" xfId="15550"/>
    <cellStyle name="20 % - Markeringsfarve4 2 2 3 2 2 3 4" xfId="26908"/>
    <cellStyle name="20 % - Markeringsfarve4 2 2 3 2 2 4" xfId="6405"/>
    <cellStyle name="20 % - Markeringsfarve4 2 2 3 2 2 4 2" xfId="17213"/>
    <cellStyle name="20 % - Markeringsfarve4 2 2 3 2 2 4 3" xfId="28570"/>
    <cellStyle name="20 % - Markeringsfarve4 2 2 3 2 2 5" xfId="12228"/>
    <cellStyle name="20 % - Markeringsfarve4 2 2 3 2 2 6" xfId="23586"/>
    <cellStyle name="20 % - Markeringsfarve4 2 2 3 2 3" xfId="2248"/>
    <cellStyle name="20 % - Markeringsfarve4 2 2 3 2 3 2" xfId="7236"/>
    <cellStyle name="20 % - Markeringsfarve4 2 2 3 2 3 2 2" xfId="18043"/>
    <cellStyle name="20 % - Markeringsfarve4 2 2 3 2 3 2 3" xfId="29400"/>
    <cellStyle name="20 % - Markeringsfarve4 2 2 3 2 3 3" xfId="13058"/>
    <cellStyle name="20 % - Markeringsfarve4 2 2 3 2 3 4" xfId="24416"/>
    <cellStyle name="20 % - Markeringsfarve4 2 2 3 2 4" xfId="3912"/>
    <cellStyle name="20 % - Markeringsfarve4 2 2 3 2 4 2" xfId="8897"/>
    <cellStyle name="20 % - Markeringsfarve4 2 2 3 2 4 2 2" xfId="19704"/>
    <cellStyle name="20 % - Markeringsfarve4 2 2 3 2 4 2 3" xfId="31061"/>
    <cellStyle name="20 % - Markeringsfarve4 2 2 3 2 4 3" xfId="14719"/>
    <cellStyle name="20 % - Markeringsfarve4 2 2 3 2 4 4" xfId="26077"/>
    <cellStyle name="20 % - Markeringsfarve4 2 2 3 2 5" xfId="5574"/>
    <cellStyle name="20 % - Markeringsfarve4 2 2 3 2 5 2" xfId="16382"/>
    <cellStyle name="20 % - Markeringsfarve4 2 2 3 2 5 3" xfId="27739"/>
    <cellStyle name="20 % - Markeringsfarve4 2 2 3 2 6" xfId="10561"/>
    <cellStyle name="20 % - Markeringsfarve4 2 2 3 2 6 2" xfId="21368"/>
    <cellStyle name="20 % - Markeringsfarve4 2 2 3 2 6 3" xfId="32725"/>
    <cellStyle name="20 % - Markeringsfarve4 2 2 3 2 7" xfId="11395"/>
    <cellStyle name="20 % - Markeringsfarve4 2 2 3 2 8" xfId="22201"/>
    <cellStyle name="20 % - Markeringsfarve4 2 2 3 2 9" xfId="22755"/>
    <cellStyle name="20 % - Markeringsfarve4 2 2 3 3" xfId="856"/>
    <cellStyle name="20 % - Markeringsfarve4 2 2 3 3 2" xfId="1688"/>
    <cellStyle name="20 % - Markeringsfarve4 2 2 3 3 2 2" xfId="3353"/>
    <cellStyle name="20 % - Markeringsfarve4 2 2 3 3 2 2 2" xfId="8341"/>
    <cellStyle name="20 % - Markeringsfarve4 2 2 3 3 2 2 2 2" xfId="19148"/>
    <cellStyle name="20 % - Markeringsfarve4 2 2 3 3 2 2 2 3" xfId="30505"/>
    <cellStyle name="20 % - Markeringsfarve4 2 2 3 3 2 2 3" xfId="14163"/>
    <cellStyle name="20 % - Markeringsfarve4 2 2 3 3 2 2 4" xfId="25521"/>
    <cellStyle name="20 % - Markeringsfarve4 2 2 3 3 2 3" xfId="5017"/>
    <cellStyle name="20 % - Markeringsfarve4 2 2 3 3 2 3 2" xfId="10002"/>
    <cellStyle name="20 % - Markeringsfarve4 2 2 3 3 2 3 2 2" xfId="20809"/>
    <cellStyle name="20 % - Markeringsfarve4 2 2 3 3 2 3 2 3" xfId="32166"/>
    <cellStyle name="20 % - Markeringsfarve4 2 2 3 3 2 3 3" xfId="15824"/>
    <cellStyle name="20 % - Markeringsfarve4 2 2 3 3 2 3 4" xfId="27182"/>
    <cellStyle name="20 % - Markeringsfarve4 2 2 3 3 2 4" xfId="6679"/>
    <cellStyle name="20 % - Markeringsfarve4 2 2 3 3 2 4 2" xfId="17487"/>
    <cellStyle name="20 % - Markeringsfarve4 2 2 3 3 2 4 3" xfId="28844"/>
    <cellStyle name="20 % - Markeringsfarve4 2 2 3 3 2 5" xfId="12502"/>
    <cellStyle name="20 % - Markeringsfarve4 2 2 3 3 2 6" xfId="23860"/>
    <cellStyle name="20 % - Markeringsfarve4 2 2 3 3 3" xfId="2522"/>
    <cellStyle name="20 % - Markeringsfarve4 2 2 3 3 3 2" xfId="7510"/>
    <cellStyle name="20 % - Markeringsfarve4 2 2 3 3 3 2 2" xfId="18317"/>
    <cellStyle name="20 % - Markeringsfarve4 2 2 3 3 3 2 3" xfId="29674"/>
    <cellStyle name="20 % - Markeringsfarve4 2 2 3 3 3 3" xfId="13332"/>
    <cellStyle name="20 % - Markeringsfarve4 2 2 3 3 3 4" xfId="24690"/>
    <cellStyle name="20 % - Markeringsfarve4 2 2 3 3 4" xfId="4186"/>
    <cellStyle name="20 % - Markeringsfarve4 2 2 3 3 4 2" xfId="9171"/>
    <cellStyle name="20 % - Markeringsfarve4 2 2 3 3 4 2 2" xfId="19978"/>
    <cellStyle name="20 % - Markeringsfarve4 2 2 3 3 4 2 3" xfId="31335"/>
    <cellStyle name="20 % - Markeringsfarve4 2 2 3 3 4 3" xfId="14993"/>
    <cellStyle name="20 % - Markeringsfarve4 2 2 3 3 4 4" xfId="26351"/>
    <cellStyle name="20 % - Markeringsfarve4 2 2 3 3 5" xfId="5848"/>
    <cellStyle name="20 % - Markeringsfarve4 2 2 3 3 5 2" xfId="16656"/>
    <cellStyle name="20 % - Markeringsfarve4 2 2 3 3 5 3" xfId="28013"/>
    <cellStyle name="20 % - Markeringsfarve4 2 2 3 3 6" xfId="10835"/>
    <cellStyle name="20 % - Markeringsfarve4 2 2 3 3 6 2" xfId="21642"/>
    <cellStyle name="20 % - Markeringsfarve4 2 2 3 3 6 3" xfId="32999"/>
    <cellStyle name="20 % - Markeringsfarve4 2 2 3 3 7" xfId="11670"/>
    <cellStyle name="20 % - Markeringsfarve4 2 2 3 3 8" xfId="23029"/>
    <cellStyle name="20 % - Markeringsfarve4 2 2 3 4" xfId="1135"/>
    <cellStyle name="20 % - Markeringsfarve4 2 2 3 4 2" xfId="2800"/>
    <cellStyle name="20 % - Markeringsfarve4 2 2 3 4 2 2" xfId="7788"/>
    <cellStyle name="20 % - Markeringsfarve4 2 2 3 4 2 2 2" xfId="18595"/>
    <cellStyle name="20 % - Markeringsfarve4 2 2 3 4 2 2 3" xfId="29952"/>
    <cellStyle name="20 % - Markeringsfarve4 2 2 3 4 2 3" xfId="13610"/>
    <cellStyle name="20 % - Markeringsfarve4 2 2 3 4 2 4" xfId="24968"/>
    <cellStyle name="20 % - Markeringsfarve4 2 2 3 4 3" xfId="4464"/>
    <cellStyle name="20 % - Markeringsfarve4 2 2 3 4 3 2" xfId="9449"/>
    <cellStyle name="20 % - Markeringsfarve4 2 2 3 4 3 2 2" xfId="20256"/>
    <cellStyle name="20 % - Markeringsfarve4 2 2 3 4 3 2 3" xfId="31613"/>
    <cellStyle name="20 % - Markeringsfarve4 2 2 3 4 3 3" xfId="15271"/>
    <cellStyle name="20 % - Markeringsfarve4 2 2 3 4 3 4" xfId="26629"/>
    <cellStyle name="20 % - Markeringsfarve4 2 2 3 4 4" xfId="6126"/>
    <cellStyle name="20 % - Markeringsfarve4 2 2 3 4 4 2" xfId="16934"/>
    <cellStyle name="20 % - Markeringsfarve4 2 2 3 4 4 3" xfId="28291"/>
    <cellStyle name="20 % - Markeringsfarve4 2 2 3 4 5" xfId="11949"/>
    <cellStyle name="20 % - Markeringsfarve4 2 2 3 4 6" xfId="23307"/>
    <cellStyle name="20 % - Markeringsfarve4 2 2 3 5" xfId="1970"/>
    <cellStyle name="20 % - Markeringsfarve4 2 2 3 5 2" xfId="6958"/>
    <cellStyle name="20 % - Markeringsfarve4 2 2 3 5 2 2" xfId="17766"/>
    <cellStyle name="20 % - Markeringsfarve4 2 2 3 5 2 3" xfId="29123"/>
    <cellStyle name="20 % - Markeringsfarve4 2 2 3 5 3" xfId="12781"/>
    <cellStyle name="20 % - Markeringsfarve4 2 2 3 5 4" xfId="24139"/>
    <cellStyle name="20 % - Markeringsfarve4 2 2 3 6" xfId="3635"/>
    <cellStyle name="20 % - Markeringsfarve4 2 2 3 6 2" xfId="8620"/>
    <cellStyle name="20 % - Markeringsfarve4 2 2 3 6 2 2" xfId="19427"/>
    <cellStyle name="20 % - Markeringsfarve4 2 2 3 6 2 3" xfId="30784"/>
    <cellStyle name="20 % - Markeringsfarve4 2 2 3 6 3" xfId="14442"/>
    <cellStyle name="20 % - Markeringsfarve4 2 2 3 6 4" xfId="25800"/>
    <cellStyle name="20 % - Markeringsfarve4 2 2 3 7" xfId="5296"/>
    <cellStyle name="20 % - Markeringsfarve4 2 2 3 7 2" xfId="16105"/>
    <cellStyle name="20 % - Markeringsfarve4 2 2 3 7 3" xfId="27462"/>
    <cellStyle name="20 % - Markeringsfarve4 2 2 3 8" xfId="10281"/>
    <cellStyle name="20 % - Markeringsfarve4 2 2 3 8 2" xfId="21088"/>
    <cellStyle name="20 % - Markeringsfarve4 2 2 3 8 3" xfId="32445"/>
    <cellStyle name="20 % - Markeringsfarve4 2 2 3 9" xfId="11115"/>
    <cellStyle name="20 % - Markeringsfarve4 2 2 4" xfId="320"/>
    <cellStyle name="20 % - Markeringsfarve4 2 2 4 10" xfId="21977"/>
    <cellStyle name="20 % - Markeringsfarve4 2 2 4 11" xfId="22530"/>
    <cellStyle name="20 % - Markeringsfarve4 2 2 4 12" xfId="33333"/>
    <cellStyle name="20 % - Markeringsfarve4 2 2 4 13" xfId="33608"/>
    <cellStyle name="20 % - Markeringsfarve4 2 2 4 14" xfId="33879"/>
    <cellStyle name="20 % - Markeringsfarve4 2 2 4 2" xfId="637"/>
    <cellStyle name="20 % - Markeringsfarve4 2 2 4 2 2" xfId="1469"/>
    <cellStyle name="20 % - Markeringsfarve4 2 2 4 2 2 2" xfId="3134"/>
    <cellStyle name="20 % - Markeringsfarve4 2 2 4 2 2 2 2" xfId="8122"/>
    <cellStyle name="20 % - Markeringsfarve4 2 2 4 2 2 2 2 2" xfId="18929"/>
    <cellStyle name="20 % - Markeringsfarve4 2 2 4 2 2 2 2 3" xfId="30286"/>
    <cellStyle name="20 % - Markeringsfarve4 2 2 4 2 2 2 3" xfId="13944"/>
    <cellStyle name="20 % - Markeringsfarve4 2 2 4 2 2 2 4" xfId="25302"/>
    <cellStyle name="20 % - Markeringsfarve4 2 2 4 2 2 3" xfId="4798"/>
    <cellStyle name="20 % - Markeringsfarve4 2 2 4 2 2 3 2" xfId="9783"/>
    <cellStyle name="20 % - Markeringsfarve4 2 2 4 2 2 3 2 2" xfId="20590"/>
    <cellStyle name="20 % - Markeringsfarve4 2 2 4 2 2 3 2 3" xfId="31947"/>
    <cellStyle name="20 % - Markeringsfarve4 2 2 4 2 2 3 3" xfId="15605"/>
    <cellStyle name="20 % - Markeringsfarve4 2 2 4 2 2 3 4" xfId="26963"/>
    <cellStyle name="20 % - Markeringsfarve4 2 2 4 2 2 4" xfId="6460"/>
    <cellStyle name="20 % - Markeringsfarve4 2 2 4 2 2 4 2" xfId="17268"/>
    <cellStyle name="20 % - Markeringsfarve4 2 2 4 2 2 4 3" xfId="28625"/>
    <cellStyle name="20 % - Markeringsfarve4 2 2 4 2 2 5" xfId="12283"/>
    <cellStyle name="20 % - Markeringsfarve4 2 2 4 2 2 6" xfId="23641"/>
    <cellStyle name="20 % - Markeringsfarve4 2 2 4 2 3" xfId="2303"/>
    <cellStyle name="20 % - Markeringsfarve4 2 2 4 2 3 2" xfId="7291"/>
    <cellStyle name="20 % - Markeringsfarve4 2 2 4 2 3 2 2" xfId="18098"/>
    <cellStyle name="20 % - Markeringsfarve4 2 2 4 2 3 2 3" xfId="29455"/>
    <cellStyle name="20 % - Markeringsfarve4 2 2 4 2 3 3" xfId="13113"/>
    <cellStyle name="20 % - Markeringsfarve4 2 2 4 2 3 4" xfId="24471"/>
    <cellStyle name="20 % - Markeringsfarve4 2 2 4 2 4" xfId="3967"/>
    <cellStyle name="20 % - Markeringsfarve4 2 2 4 2 4 2" xfId="8952"/>
    <cellStyle name="20 % - Markeringsfarve4 2 2 4 2 4 2 2" xfId="19759"/>
    <cellStyle name="20 % - Markeringsfarve4 2 2 4 2 4 2 3" xfId="31116"/>
    <cellStyle name="20 % - Markeringsfarve4 2 2 4 2 4 3" xfId="14774"/>
    <cellStyle name="20 % - Markeringsfarve4 2 2 4 2 4 4" xfId="26132"/>
    <cellStyle name="20 % - Markeringsfarve4 2 2 4 2 5" xfId="5629"/>
    <cellStyle name="20 % - Markeringsfarve4 2 2 4 2 5 2" xfId="16437"/>
    <cellStyle name="20 % - Markeringsfarve4 2 2 4 2 5 3" xfId="27794"/>
    <cellStyle name="20 % - Markeringsfarve4 2 2 4 2 6" xfId="10616"/>
    <cellStyle name="20 % - Markeringsfarve4 2 2 4 2 6 2" xfId="21423"/>
    <cellStyle name="20 % - Markeringsfarve4 2 2 4 2 6 3" xfId="32780"/>
    <cellStyle name="20 % - Markeringsfarve4 2 2 4 2 7" xfId="11450"/>
    <cellStyle name="20 % - Markeringsfarve4 2 2 4 2 8" xfId="22256"/>
    <cellStyle name="20 % - Markeringsfarve4 2 2 4 2 9" xfId="22810"/>
    <cellStyle name="20 % - Markeringsfarve4 2 2 4 3" xfId="911"/>
    <cellStyle name="20 % - Markeringsfarve4 2 2 4 3 2" xfId="1743"/>
    <cellStyle name="20 % - Markeringsfarve4 2 2 4 3 2 2" xfId="3408"/>
    <cellStyle name="20 % - Markeringsfarve4 2 2 4 3 2 2 2" xfId="8396"/>
    <cellStyle name="20 % - Markeringsfarve4 2 2 4 3 2 2 2 2" xfId="19203"/>
    <cellStyle name="20 % - Markeringsfarve4 2 2 4 3 2 2 2 3" xfId="30560"/>
    <cellStyle name="20 % - Markeringsfarve4 2 2 4 3 2 2 3" xfId="14218"/>
    <cellStyle name="20 % - Markeringsfarve4 2 2 4 3 2 2 4" xfId="25576"/>
    <cellStyle name="20 % - Markeringsfarve4 2 2 4 3 2 3" xfId="5072"/>
    <cellStyle name="20 % - Markeringsfarve4 2 2 4 3 2 3 2" xfId="10057"/>
    <cellStyle name="20 % - Markeringsfarve4 2 2 4 3 2 3 2 2" xfId="20864"/>
    <cellStyle name="20 % - Markeringsfarve4 2 2 4 3 2 3 2 3" xfId="32221"/>
    <cellStyle name="20 % - Markeringsfarve4 2 2 4 3 2 3 3" xfId="15879"/>
    <cellStyle name="20 % - Markeringsfarve4 2 2 4 3 2 3 4" xfId="27237"/>
    <cellStyle name="20 % - Markeringsfarve4 2 2 4 3 2 4" xfId="6734"/>
    <cellStyle name="20 % - Markeringsfarve4 2 2 4 3 2 4 2" xfId="17542"/>
    <cellStyle name="20 % - Markeringsfarve4 2 2 4 3 2 4 3" xfId="28899"/>
    <cellStyle name="20 % - Markeringsfarve4 2 2 4 3 2 5" xfId="12557"/>
    <cellStyle name="20 % - Markeringsfarve4 2 2 4 3 2 6" xfId="23915"/>
    <cellStyle name="20 % - Markeringsfarve4 2 2 4 3 3" xfId="2577"/>
    <cellStyle name="20 % - Markeringsfarve4 2 2 4 3 3 2" xfId="7565"/>
    <cellStyle name="20 % - Markeringsfarve4 2 2 4 3 3 2 2" xfId="18372"/>
    <cellStyle name="20 % - Markeringsfarve4 2 2 4 3 3 2 3" xfId="29729"/>
    <cellStyle name="20 % - Markeringsfarve4 2 2 4 3 3 3" xfId="13387"/>
    <cellStyle name="20 % - Markeringsfarve4 2 2 4 3 3 4" xfId="24745"/>
    <cellStyle name="20 % - Markeringsfarve4 2 2 4 3 4" xfId="4241"/>
    <cellStyle name="20 % - Markeringsfarve4 2 2 4 3 4 2" xfId="9226"/>
    <cellStyle name="20 % - Markeringsfarve4 2 2 4 3 4 2 2" xfId="20033"/>
    <cellStyle name="20 % - Markeringsfarve4 2 2 4 3 4 2 3" xfId="31390"/>
    <cellStyle name="20 % - Markeringsfarve4 2 2 4 3 4 3" xfId="15048"/>
    <cellStyle name="20 % - Markeringsfarve4 2 2 4 3 4 4" xfId="26406"/>
    <cellStyle name="20 % - Markeringsfarve4 2 2 4 3 5" xfId="5903"/>
    <cellStyle name="20 % - Markeringsfarve4 2 2 4 3 5 2" xfId="16711"/>
    <cellStyle name="20 % - Markeringsfarve4 2 2 4 3 5 3" xfId="28068"/>
    <cellStyle name="20 % - Markeringsfarve4 2 2 4 3 6" xfId="10890"/>
    <cellStyle name="20 % - Markeringsfarve4 2 2 4 3 6 2" xfId="21697"/>
    <cellStyle name="20 % - Markeringsfarve4 2 2 4 3 6 3" xfId="33054"/>
    <cellStyle name="20 % - Markeringsfarve4 2 2 4 3 7" xfId="11725"/>
    <cellStyle name="20 % - Markeringsfarve4 2 2 4 3 8" xfId="23084"/>
    <cellStyle name="20 % - Markeringsfarve4 2 2 4 4" xfId="1190"/>
    <cellStyle name="20 % - Markeringsfarve4 2 2 4 4 2" xfId="2855"/>
    <cellStyle name="20 % - Markeringsfarve4 2 2 4 4 2 2" xfId="7843"/>
    <cellStyle name="20 % - Markeringsfarve4 2 2 4 4 2 2 2" xfId="18650"/>
    <cellStyle name="20 % - Markeringsfarve4 2 2 4 4 2 2 3" xfId="30007"/>
    <cellStyle name="20 % - Markeringsfarve4 2 2 4 4 2 3" xfId="13665"/>
    <cellStyle name="20 % - Markeringsfarve4 2 2 4 4 2 4" xfId="25023"/>
    <cellStyle name="20 % - Markeringsfarve4 2 2 4 4 3" xfId="4519"/>
    <cellStyle name="20 % - Markeringsfarve4 2 2 4 4 3 2" xfId="9504"/>
    <cellStyle name="20 % - Markeringsfarve4 2 2 4 4 3 2 2" xfId="20311"/>
    <cellStyle name="20 % - Markeringsfarve4 2 2 4 4 3 2 3" xfId="31668"/>
    <cellStyle name="20 % - Markeringsfarve4 2 2 4 4 3 3" xfId="15326"/>
    <cellStyle name="20 % - Markeringsfarve4 2 2 4 4 3 4" xfId="26684"/>
    <cellStyle name="20 % - Markeringsfarve4 2 2 4 4 4" xfId="6181"/>
    <cellStyle name="20 % - Markeringsfarve4 2 2 4 4 4 2" xfId="16989"/>
    <cellStyle name="20 % - Markeringsfarve4 2 2 4 4 4 3" xfId="28346"/>
    <cellStyle name="20 % - Markeringsfarve4 2 2 4 4 5" xfId="12004"/>
    <cellStyle name="20 % - Markeringsfarve4 2 2 4 4 6" xfId="23362"/>
    <cellStyle name="20 % - Markeringsfarve4 2 2 4 5" xfId="2025"/>
    <cellStyle name="20 % - Markeringsfarve4 2 2 4 5 2" xfId="7013"/>
    <cellStyle name="20 % - Markeringsfarve4 2 2 4 5 2 2" xfId="17821"/>
    <cellStyle name="20 % - Markeringsfarve4 2 2 4 5 2 3" xfId="29178"/>
    <cellStyle name="20 % - Markeringsfarve4 2 2 4 5 3" xfId="12836"/>
    <cellStyle name="20 % - Markeringsfarve4 2 2 4 5 4" xfId="24194"/>
    <cellStyle name="20 % - Markeringsfarve4 2 2 4 6" xfId="3690"/>
    <cellStyle name="20 % - Markeringsfarve4 2 2 4 6 2" xfId="8675"/>
    <cellStyle name="20 % - Markeringsfarve4 2 2 4 6 2 2" xfId="19482"/>
    <cellStyle name="20 % - Markeringsfarve4 2 2 4 6 2 3" xfId="30839"/>
    <cellStyle name="20 % - Markeringsfarve4 2 2 4 6 3" xfId="14497"/>
    <cellStyle name="20 % - Markeringsfarve4 2 2 4 6 4" xfId="25855"/>
    <cellStyle name="20 % - Markeringsfarve4 2 2 4 7" xfId="5351"/>
    <cellStyle name="20 % - Markeringsfarve4 2 2 4 7 2" xfId="16160"/>
    <cellStyle name="20 % - Markeringsfarve4 2 2 4 7 3" xfId="27517"/>
    <cellStyle name="20 % - Markeringsfarve4 2 2 4 8" xfId="10336"/>
    <cellStyle name="20 % - Markeringsfarve4 2 2 4 8 2" xfId="21143"/>
    <cellStyle name="20 % - Markeringsfarve4 2 2 4 8 3" xfId="32500"/>
    <cellStyle name="20 % - Markeringsfarve4 2 2 4 9" xfId="11170"/>
    <cellStyle name="20 % - Markeringsfarve4 2 2 5" xfId="376"/>
    <cellStyle name="20 % - Markeringsfarve4 2 2 5 10" xfId="22033"/>
    <cellStyle name="20 % - Markeringsfarve4 2 2 5 11" xfId="22586"/>
    <cellStyle name="20 % - Markeringsfarve4 2 2 5 12" xfId="33389"/>
    <cellStyle name="20 % - Markeringsfarve4 2 2 5 13" xfId="33664"/>
    <cellStyle name="20 % - Markeringsfarve4 2 2 5 14" xfId="33935"/>
    <cellStyle name="20 % - Markeringsfarve4 2 2 5 2" xfId="693"/>
    <cellStyle name="20 % - Markeringsfarve4 2 2 5 2 2" xfId="1525"/>
    <cellStyle name="20 % - Markeringsfarve4 2 2 5 2 2 2" xfId="3190"/>
    <cellStyle name="20 % - Markeringsfarve4 2 2 5 2 2 2 2" xfId="8178"/>
    <cellStyle name="20 % - Markeringsfarve4 2 2 5 2 2 2 2 2" xfId="18985"/>
    <cellStyle name="20 % - Markeringsfarve4 2 2 5 2 2 2 2 3" xfId="30342"/>
    <cellStyle name="20 % - Markeringsfarve4 2 2 5 2 2 2 3" xfId="14000"/>
    <cellStyle name="20 % - Markeringsfarve4 2 2 5 2 2 2 4" xfId="25358"/>
    <cellStyle name="20 % - Markeringsfarve4 2 2 5 2 2 3" xfId="4854"/>
    <cellStyle name="20 % - Markeringsfarve4 2 2 5 2 2 3 2" xfId="9839"/>
    <cellStyle name="20 % - Markeringsfarve4 2 2 5 2 2 3 2 2" xfId="20646"/>
    <cellStyle name="20 % - Markeringsfarve4 2 2 5 2 2 3 2 3" xfId="32003"/>
    <cellStyle name="20 % - Markeringsfarve4 2 2 5 2 2 3 3" xfId="15661"/>
    <cellStyle name="20 % - Markeringsfarve4 2 2 5 2 2 3 4" xfId="27019"/>
    <cellStyle name="20 % - Markeringsfarve4 2 2 5 2 2 4" xfId="6516"/>
    <cellStyle name="20 % - Markeringsfarve4 2 2 5 2 2 4 2" xfId="17324"/>
    <cellStyle name="20 % - Markeringsfarve4 2 2 5 2 2 4 3" xfId="28681"/>
    <cellStyle name="20 % - Markeringsfarve4 2 2 5 2 2 5" xfId="12339"/>
    <cellStyle name="20 % - Markeringsfarve4 2 2 5 2 2 6" xfId="23697"/>
    <cellStyle name="20 % - Markeringsfarve4 2 2 5 2 3" xfId="2359"/>
    <cellStyle name="20 % - Markeringsfarve4 2 2 5 2 3 2" xfId="7347"/>
    <cellStyle name="20 % - Markeringsfarve4 2 2 5 2 3 2 2" xfId="18154"/>
    <cellStyle name="20 % - Markeringsfarve4 2 2 5 2 3 2 3" xfId="29511"/>
    <cellStyle name="20 % - Markeringsfarve4 2 2 5 2 3 3" xfId="13169"/>
    <cellStyle name="20 % - Markeringsfarve4 2 2 5 2 3 4" xfId="24527"/>
    <cellStyle name="20 % - Markeringsfarve4 2 2 5 2 4" xfId="4023"/>
    <cellStyle name="20 % - Markeringsfarve4 2 2 5 2 4 2" xfId="9008"/>
    <cellStyle name="20 % - Markeringsfarve4 2 2 5 2 4 2 2" xfId="19815"/>
    <cellStyle name="20 % - Markeringsfarve4 2 2 5 2 4 2 3" xfId="31172"/>
    <cellStyle name="20 % - Markeringsfarve4 2 2 5 2 4 3" xfId="14830"/>
    <cellStyle name="20 % - Markeringsfarve4 2 2 5 2 4 4" xfId="26188"/>
    <cellStyle name="20 % - Markeringsfarve4 2 2 5 2 5" xfId="5685"/>
    <cellStyle name="20 % - Markeringsfarve4 2 2 5 2 5 2" xfId="16493"/>
    <cellStyle name="20 % - Markeringsfarve4 2 2 5 2 5 3" xfId="27850"/>
    <cellStyle name="20 % - Markeringsfarve4 2 2 5 2 6" xfId="10672"/>
    <cellStyle name="20 % - Markeringsfarve4 2 2 5 2 6 2" xfId="21479"/>
    <cellStyle name="20 % - Markeringsfarve4 2 2 5 2 6 3" xfId="32836"/>
    <cellStyle name="20 % - Markeringsfarve4 2 2 5 2 7" xfId="11506"/>
    <cellStyle name="20 % - Markeringsfarve4 2 2 5 2 8" xfId="22312"/>
    <cellStyle name="20 % - Markeringsfarve4 2 2 5 2 9" xfId="22866"/>
    <cellStyle name="20 % - Markeringsfarve4 2 2 5 3" xfId="967"/>
    <cellStyle name="20 % - Markeringsfarve4 2 2 5 3 2" xfId="1799"/>
    <cellStyle name="20 % - Markeringsfarve4 2 2 5 3 2 2" xfId="3464"/>
    <cellStyle name="20 % - Markeringsfarve4 2 2 5 3 2 2 2" xfId="8452"/>
    <cellStyle name="20 % - Markeringsfarve4 2 2 5 3 2 2 2 2" xfId="19259"/>
    <cellStyle name="20 % - Markeringsfarve4 2 2 5 3 2 2 2 3" xfId="30616"/>
    <cellStyle name="20 % - Markeringsfarve4 2 2 5 3 2 2 3" xfId="14274"/>
    <cellStyle name="20 % - Markeringsfarve4 2 2 5 3 2 2 4" xfId="25632"/>
    <cellStyle name="20 % - Markeringsfarve4 2 2 5 3 2 3" xfId="5128"/>
    <cellStyle name="20 % - Markeringsfarve4 2 2 5 3 2 3 2" xfId="10113"/>
    <cellStyle name="20 % - Markeringsfarve4 2 2 5 3 2 3 2 2" xfId="20920"/>
    <cellStyle name="20 % - Markeringsfarve4 2 2 5 3 2 3 2 3" xfId="32277"/>
    <cellStyle name="20 % - Markeringsfarve4 2 2 5 3 2 3 3" xfId="15935"/>
    <cellStyle name="20 % - Markeringsfarve4 2 2 5 3 2 3 4" xfId="27293"/>
    <cellStyle name="20 % - Markeringsfarve4 2 2 5 3 2 4" xfId="6790"/>
    <cellStyle name="20 % - Markeringsfarve4 2 2 5 3 2 4 2" xfId="17598"/>
    <cellStyle name="20 % - Markeringsfarve4 2 2 5 3 2 4 3" xfId="28955"/>
    <cellStyle name="20 % - Markeringsfarve4 2 2 5 3 2 5" xfId="12613"/>
    <cellStyle name="20 % - Markeringsfarve4 2 2 5 3 2 6" xfId="23971"/>
    <cellStyle name="20 % - Markeringsfarve4 2 2 5 3 3" xfId="2633"/>
    <cellStyle name="20 % - Markeringsfarve4 2 2 5 3 3 2" xfId="7621"/>
    <cellStyle name="20 % - Markeringsfarve4 2 2 5 3 3 2 2" xfId="18428"/>
    <cellStyle name="20 % - Markeringsfarve4 2 2 5 3 3 2 3" xfId="29785"/>
    <cellStyle name="20 % - Markeringsfarve4 2 2 5 3 3 3" xfId="13443"/>
    <cellStyle name="20 % - Markeringsfarve4 2 2 5 3 3 4" xfId="24801"/>
    <cellStyle name="20 % - Markeringsfarve4 2 2 5 3 4" xfId="4297"/>
    <cellStyle name="20 % - Markeringsfarve4 2 2 5 3 4 2" xfId="9282"/>
    <cellStyle name="20 % - Markeringsfarve4 2 2 5 3 4 2 2" xfId="20089"/>
    <cellStyle name="20 % - Markeringsfarve4 2 2 5 3 4 2 3" xfId="31446"/>
    <cellStyle name="20 % - Markeringsfarve4 2 2 5 3 4 3" xfId="15104"/>
    <cellStyle name="20 % - Markeringsfarve4 2 2 5 3 4 4" xfId="26462"/>
    <cellStyle name="20 % - Markeringsfarve4 2 2 5 3 5" xfId="5959"/>
    <cellStyle name="20 % - Markeringsfarve4 2 2 5 3 5 2" xfId="16767"/>
    <cellStyle name="20 % - Markeringsfarve4 2 2 5 3 5 3" xfId="28124"/>
    <cellStyle name="20 % - Markeringsfarve4 2 2 5 3 6" xfId="10946"/>
    <cellStyle name="20 % - Markeringsfarve4 2 2 5 3 6 2" xfId="21753"/>
    <cellStyle name="20 % - Markeringsfarve4 2 2 5 3 6 3" xfId="33110"/>
    <cellStyle name="20 % - Markeringsfarve4 2 2 5 3 7" xfId="11781"/>
    <cellStyle name="20 % - Markeringsfarve4 2 2 5 3 8" xfId="23140"/>
    <cellStyle name="20 % - Markeringsfarve4 2 2 5 4" xfId="1246"/>
    <cellStyle name="20 % - Markeringsfarve4 2 2 5 4 2" xfId="2911"/>
    <cellStyle name="20 % - Markeringsfarve4 2 2 5 4 2 2" xfId="7899"/>
    <cellStyle name="20 % - Markeringsfarve4 2 2 5 4 2 2 2" xfId="18706"/>
    <cellStyle name="20 % - Markeringsfarve4 2 2 5 4 2 2 3" xfId="30063"/>
    <cellStyle name="20 % - Markeringsfarve4 2 2 5 4 2 3" xfId="13721"/>
    <cellStyle name="20 % - Markeringsfarve4 2 2 5 4 2 4" xfId="25079"/>
    <cellStyle name="20 % - Markeringsfarve4 2 2 5 4 3" xfId="4575"/>
    <cellStyle name="20 % - Markeringsfarve4 2 2 5 4 3 2" xfId="9560"/>
    <cellStyle name="20 % - Markeringsfarve4 2 2 5 4 3 2 2" xfId="20367"/>
    <cellStyle name="20 % - Markeringsfarve4 2 2 5 4 3 2 3" xfId="31724"/>
    <cellStyle name="20 % - Markeringsfarve4 2 2 5 4 3 3" xfId="15382"/>
    <cellStyle name="20 % - Markeringsfarve4 2 2 5 4 3 4" xfId="26740"/>
    <cellStyle name="20 % - Markeringsfarve4 2 2 5 4 4" xfId="6237"/>
    <cellStyle name="20 % - Markeringsfarve4 2 2 5 4 4 2" xfId="17045"/>
    <cellStyle name="20 % - Markeringsfarve4 2 2 5 4 4 3" xfId="28402"/>
    <cellStyle name="20 % - Markeringsfarve4 2 2 5 4 5" xfId="12060"/>
    <cellStyle name="20 % - Markeringsfarve4 2 2 5 4 6" xfId="23418"/>
    <cellStyle name="20 % - Markeringsfarve4 2 2 5 5" xfId="2081"/>
    <cellStyle name="20 % - Markeringsfarve4 2 2 5 5 2" xfId="7069"/>
    <cellStyle name="20 % - Markeringsfarve4 2 2 5 5 2 2" xfId="17877"/>
    <cellStyle name="20 % - Markeringsfarve4 2 2 5 5 2 3" xfId="29234"/>
    <cellStyle name="20 % - Markeringsfarve4 2 2 5 5 3" xfId="12892"/>
    <cellStyle name="20 % - Markeringsfarve4 2 2 5 5 4" xfId="24250"/>
    <cellStyle name="20 % - Markeringsfarve4 2 2 5 6" xfId="3746"/>
    <cellStyle name="20 % - Markeringsfarve4 2 2 5 6 2" xfId="8731"/>
    <cellStyle name="20 % - Markeringsfarve4 2 2 5 6 2 2" xfId="19538"/>
    <cellStyle name="20 % - Markeringsfarve4 2 2 5 6 2 3" xfId="30895"/>
    <cellStyle name="20 % - Markeringsfarve4 2 2 5 6 3" xfId="14553"/>
    <cellStyle name="20 % - Markeringsfarve4 2 2 5 6 4" xfId="25911"/>
    <cellStyle name="20 % - Markeringsfarve4 2 2 5 7" xfId="5407"/>
    <cellStyle name="20 % - Markeringsfarve4 2 2 5 7 2" xfId="16216"/>
    <cellStyle name="20 % - Markeringsfarve4 2 2 5 7 3" xfId="27573"/>
    <cellStyle name="20 % - Markeringsfarve4 2 2 5 8" xfId="10392"/>
    <cellStyle name="20 % - Markeringsfarve4 2 2 5 8 2" xfId="21199"/>
    <cellStyle name="20 % - Markeringsfarve4 2 2 5 8 3" xfId="32556"/>
    <cellStyle name="20 % - Markeringsfarve4 2 2 5 9" xfId="11226"/>
    <cellStyle name="20 % - Markeringsfarve4 2 2 6" xfId="476"/>
    <cellStyle name="20 % - Markeringsfarve4 2 2 6 2" xfId="1306"/>
    <cellStyle name="20 % - Markeringsfarve4 2 2 6 2 2" xfId="2971"/>
    <cellStyle name="20 % - Markeringsfarve4 2 2 6 2 2 2" xfId="7959"/>
    <cellStyle name="20 % - Markeringsfarve4 2 2 6 2 2 2 2" xfId="18766"/>
    <cellStyle name="20 % - Markeringsfarve4 2 2 6 2 2 2 3" xfId="30123"/>
    <cellStyle name="20 % - Markeringsfarve4 2 2 6 2 2 3" xfId="13781"/>
    <cellStyle name="20 % - Markeringsfarve4 2 2 6 2 2 4" xfId="25139"/>
    <cellStyle name="20 % - Markeringsfarve4 2 2 6 2 3" xfId="4635"/>
    <cellStyle name="20 % - Markeringsfarve4 2 2 6 2 3 2" xfId="9620"/>
    <cellStyle name="20 % - Markeringsfarve4 2 2 6 2 3 2 2" xfId="20427"/>
    <cellStyle name="20 % - Markeringsfarve4 2 2 6 2 3 2 3" xfId="31784"/>
    <cellStyle name="20 % - Markeringsfarve4 2 2 6 2 3 3" xfId="15442"/>
    <cellStyle name="20 % - Markeringsfarve4 2 2 6 2 3 4" xfId="26800"/>
    <cellStyle name="20 % - Markeringsfarve4 2 2 6 2 4" xfId="6297"/>
    <cellStyle name="20 % - Markeringsfarve4 2 2 6 2 4 2" xfId="17105"/>
    <cellStyle name="20 % - Markeringsfarve4 2 2 6 2 4 3" xfId="28462"/>
    <cellStyle name="20 % - Markeringsfarve4 2 2 6 2 5" xfId="12120"/>
    <cellStyle name="20 % - Markeringsfarve4 2 2 6 2 6" xfId="23478"/>
    <cellStyle name="20 % - Markeringsfarve4 2 2 6 3" xfId="2142"/>
    <cellStyle name="20 % - Markeringsfarve4 2 2 6 3 2" xfId="7130"/>
    <cellStyle name="20 % - Markeringsfarve4 2 2 6 3 2 2" xfId="17937"/>
    <cellStyle name="20 % - Markeringsfarve4 2 2 6 3 2 3" xfId="29294"/>
    <cellStyle name="20 % - Markeringsfarve4 2 2 6 3 3" xfId="12952"/>
    <cellStyle name="20 % - Markeringsfarve4 2 2 6 3 4" xfId="24310"/>
    <cellStyle name="20 % - Markeringsfarve4 2 2 6 4" xfId="3806"/>
    <cellStyle name="20 % - Markeringsfarve4 2 2 6 4 2" xfId="8791"/>
    <cellStyle name="20 % - Markeringsfarve4 2 2 6 4 2 2" xfId="19598"/>
    <cellStyle name="20 % - Markeringsfarve4 2 2 6 4 2 3" xfId="30955"/>
    <cellStyle name="20 % - Markeringsfarve4 2 2 6 4 3" xfId="14613"/>
    <cellStyle name="20 % - Markeringsfarve4 2 2 6 4 4" xfId="25971"/>
    <cellStyle name="20 % - Markeringsfarve4 2 2 6 5" xfId="5468"/>
    <cellStyle name="20 % - Markeringsfarve4 2 2 6 5 2" xfId="16276"/>
    <cellStyle name="20 % - Markeringsfarve4 2 2 6 5 3" xfId="27633"/>
    <cellStyle name="20 % - Markeringsfarve4 2 2 6 6" xfId="10448"/>
    <cellStyle name="20 % - Markeringsfarve4 2 2 6 6 2" xfId="21255"/>
    <cellStyle name="20 % - Markeringsfarve4 2 2 6 6 3" xfId="32612"/>
    <cellStyle name="20 % - Markeringsfarve4 2 2 6 7" xfId="11287"/>
    <cellStyle name="20 % - Markeringsfarve4 2 2 6 8" xfId="22093"/>
    <cellStyle name="20 % - Markeringsfarve4 2 2 6 9" xfId="22647"/>
    <cellStyle name="20 % - Markeringsfarve4 2 2 7" xfId="748"/>
    <cellStyle name="20 % - Markeringsfarve4 2 2 7 2" xfId="1580"/>
    <cellStyle name="20 % - Markeringsfarve4 2 2 7 2 2" xfId="3245"/>
    <cellStyle name="20 % - Markeringsfarve4 2 2 7 2 2 2" xfId="8233"/>
    <cellStyle name="20 % - Markeringsfarve4 2 2 7 2 2 2 2" xfId="19040"/>
    <cellStyle name="20 % - Markeringsfarve4 2 2 7 2 2 2 3" xfId="30397"/>
    <cellStyle name="20 % - Markeringsfarve4 2 2 7 2 2 3" xfId="14055"/>
    <cellStyle name="20 % - Markeringsfarve4 2 2 7 2 2 4" xfId="25413"/>
    <cellStyle name="20 % - Markeringsfarve4 2 2 7 2 3" xfId="4909"/>
    <cellStyle name="20 % - Markeringsfarve4 2 2 7 2 3 2" xfId="9894"/>
    <cellStyle name="20 % - Markeringsfarve4 2 2 7 2 3 2 2" xfId="20701"/>
    <cellStyle name="20 % - Markeringsfarve4 2 2 7 2 3 2 3" xfId="32058"/>
    <cellStyle name="20 % - Markeringsfarve4 2 2 7 2 3 3" xfId="15716"/>
    <cellStyle name="20 % - Markeringsfarve4 2 2 7 2 3 4" xfId="27074"/>
    <cellStyle name="20 % - Markeringsfarve4 2 2 7 2 4" xfId="6571"/>
    <cellStyle name="20 % - Markeringsfarve4 2 2 7 2 4 2" xfId="17379"/>
    <cellStyle name="20 % - Markeringsfarve4 2 2 7 2 4 3" xfId="28736"/>
    <cellStyle name="20 % - Markeringsfarve4 2 2 7 2 5" xfId="12394"/>
    <cellStyle name="20 % - Markeringsfarve4 2 2 7 2 6" xfId="23752"/>
    <cellStyle name="20 % - Markeringsfarve4 2 2 7 3" xfId="2414"/>
    <cellStyle name="20 % - Markeringsfarve4 2 2 7 3 2" xfId="7402"/>
    <cellStyle name="20 % - Markeringsfarve4 2 2 7 3 2 2" xfId="18209"/>
    <cellStyle name="20 % - Markeringsfarve4 2 2 7 3 2 3" xfId="29566"/>
    <cellStyle name="20 % - Markeringsfarve4 2 2 7 3 3" xfId="13224"/>
    <cellStyle name="20 % - Markeringsfarve4 2 2 7 3 4" xfId="24582"/>
    <cellStyle name="20 % - Markeringsfarve4 2 2 7 4" xfId="4078"/>
    <cellStyle name="20 % - Markeringsfarve4 2 2 7 4 2" xfId="9063"/>
    <cellStyle name="20 % - Markeringsfarve4 2 2 7 4 2 2" xfId="19870"/>
    <cellStyle name="20 % - Markeringsfarve4 2 2 7 4 2 3" xfId="31227"/>
    <cellStyle name="20 % - Markeringsfarve4 2 2 7 4 3" xfId="14885"/>
    <cellStyle name="20 % - Markeringsfarve4 2 2 7 4 4" xfId="26243"/>
    <cellStyle name="20 % - Markeringsfarve4 2 2 7 5" xfId="5740"/>
    <cellStyle name="20 % - Markeringsfarve4 2 2 7 5 2" xfId="16548"/>
    <cellStyle name="20 % - Markeringsfarve4 2 2 7 5 3" xfId="27905"/>
    <cellStyle name="20 % - Markeringsfarve4 2 2 7 6" xfId="10727"/>
    <cellStyle name="20 % - Markeringsfarve4 2 2 7 6 2" xfId="21534"/>
    <cellStyle name="20 % - Markeringsfarve4 2 2 7 6 3" xfId="32891"/>
    <cellStyle name="20 % - Markeringsfarve4 2 2 7 7" xfId="11562"/>
    <cellStyle name="20 % - Markeringsfarve4 2 2 7 8" xfId="22921"/>
    <cellStyle name="20 % - Markeringsfarve4 2 2 8" xfId="1027"/>
    <cellStyle name="20 % - Markeringsfarve4 2 2 8 2" xfId="2692"/>
    <cellStyle name="20 % - Markeringsfarve4 2 2 8 2 2" xfId="7680"/>
    <cellStyle name="20 % - Markeringsfarve4 2 2 8 2 2 2" xfId="18487"/>
    <cellStyle name="20 % - Markeringsfarve4 2 2 8 2 2 3" xfId="29844"/>
    <cellStyle name="20 % - Markeringsfarve4 2 2 8 2 3" xfId="13502"/>
    <cellStyle name="20 % - Markeringsfarve4 2 2 8 2 4" xfId="24860"/>
    <cellStyle name="20 % - Markeringsfarve4 2 2 8 3" xfId="4356"/>
    <cellStyle name="20 % - Markeringsfarve4 2 2 8 3 2" xfId="9341"/>
    <cellStyle name="20 % - Markeringsfarve4 2 2 8 3 2 2" xfId="20148"/>
    <cellStyle name="20 % - Markeringsfarve4 2 2 8 3 2 3" xfId="31505"/>
    <cellStyle name="20 % - Markeringsfarve4 2 2 8 3 3" xfId="15163"/>
    <cellStyle name="20 % - Markeringsfarve4 2 2 8 3 4" xfId="26521"/>
    <cellStyle name="20 % - Markeringsfarve4 2 2 8 4" xfId="6018"/>
    <cellStyle name="20 % - Markeringsfarve4 2 2 8 4 2" xfId="16826"/>
    <cellStyle name="20 % - Markeringsfarve4 2 2 8 4 3" xfId="28183"/>
    <cellStyle name="20 % - Markeringsfarve4 2 2 8 5" xfId="11841"/>
    <cellStyle name="20 % - Markeringsfarve4 2 2 8 6" xfId="23199"/>
    <cellStyle name="20 % - Markeringsfarve4 2 2 9" xfId="1863"/>
    <cellStyle name="20 % - Markeringsfarve4 2 2 9 2" xfId="6851"/>
    <cellStyle name="20 % - Markeringsfarve4 2 2 9 2 2" xfId="17659"/>
    <cellStyle name="20 % - Markeringsfarve4 2 2 9 2 3" xfId="29016"/>
    <cellStyle name="20 % - Markeringsfarve4 2 2 9 3" xfId="12674"/>
    <cellStyle name="20 % - Markeringsfarve4 2 2 9 4" xfId="24032"/>
    <cellStyle name="20 % - Markeringsfarve4 2 3" xfId="193"/>
    <cellStyle name="20 % - Markeringsfarve4 2 3 10" xfId="21851"/>
    <cellStyle name="20 % - Markeringsfarve4 2 3 11" xfId="22404"/>
    <cellStyle name="20 % - Markeringsfarve4 2 3 12" xfId="33207"/>
    <cellStyle name="20 % - Markeringsfarve4 2 3 13" xfId="33480"/>
    <cellStyle name="20 % - Markeringsfarve4 2 3 14" xfId="33751"/>
    <cellStyle name="20 % - Markeringsfarve4 2 3 2" xfId="513"/>
    <cellStyle name="20 % - Markeringsfarve4 2 3 2 2" xfId="1343"/>
    <cellStyle name="20 % - Markeringsfarve4 2 3 2 2 2" xfId="3008"/>
    <cellStyle name="20 % - Markeringsfarve4 2 3 2 2 2 2" xfId="7996"/>
    <cellStyle name="20 % - Markeringsfarve4 2 3 2 2 2 2 2" xfId="18803"/>
    <cellStyle name="20 % - Markeringsfarve4 2 3 2 2 2 2 3" xfId="30160"/>
    <cellStyle name="20 % - Markeringsfarve4 2 3 2 2 2 3" xfId="13818"/>
    <cellStyle name="20 % - Markeringsfarve4 2 3 2 2 2 4" xfId="25176"/>
    <cellStyle name="20 % - Markeringsfarve4 2 3 2 2 3" xfId="4672"/>
    <cellStyle name="20 % - Markeringsfarve4 2 3 2 2 3 2" xfId="9657"/>
    <cellStyle name="20 % - Markeringsfarve4 2 3 2 2 3 2 2" xfId="20464"/>
    <cellStyle name="20 % - Markeringsfarve4 2 3 2 2 3 2 3" xfId="31821"/>
    <cellStyle name="20 % - Markeringsfarve4 2 3 2 2 3 3" xfId="15479"/>
    <cellStyle name="20 % - Markeringsfarve4 2 3 2 2 3 4" xfId="26837"/>
    <cellStyle name="20 % - Markeringsfarve4 2 3 2 2 4" xfId="6334"/>
    <cellStyle name="20 % - Markeringsfarve4 2 3 2 2 4 2" xfId="17142"/>
    <cellStyle name="20 % - Markeringsfarve4 2 3 2 2 4 3" xfId="28499"/>
    <cellStyle name="20 % - Markeringsfarve4 2 3 2 2 5" xfId="12157"/>
    <cellStyle name="20 % - Markeringsfarve4 2 3 2 2 6" xfId="23515"/>
    <cellStyle name="20 % - Markeringsfarve4 2 3 2 3" xfId="2179"/>
    <cellStyle name="20 % - Markeringsfarve4 2 3 2 3 2" xfId="7167"/>
    <cellStyle name="20 % - Markeringsfarve4 2 3 2 3 2 2" xfId="17974"/>
    <cellStyle name="20 % - Markeringsfarve4 2 3 2 3 2 3" xfId="29331"/>
    <cellStyle name="20 % - Markeringsfarve4 2 3 2 3 3" xfId="12989"/>
    <cellStyle name="20 % - Markeringsfarve4 2 3 2 3 4" xfId="24347"/>
    <cellStyle name="20 % - Markeringsfarve4 2 3 2 4" xfId="3843"/>
    <cellStyle name="20 % - Markeringsfarve4 2 3 2 4 2" xfId="8828"/>
    <cellStyle name="20 % - Markeringsfarve4 2 3 2 4 2 2" xfId="19635"/>
    <cellStyle name="20 % - Markeringsfarve4 2 3 2 4 2 3" xfId="30992"/>
    <cellStyle name="20 % - Markeringsfarve4 2 3 2 4 3" xfId="14650"/>
    <cellStyle name="20 % - Markeringsfarve4 2 3 2 4 4" xfId="26008"/>
    <cellStyle name="20 % - Markeringsfarve4 2 3 2 5" xfId="5505"/>
    <cellStyle name="20 % - Markeringsfarve4 2 3 2 5 2" xfId="16313"/>
    <cellStyle name="20 % - Markeringsfarve4 2 3 2 5 3" xfId="27670"/>
    <cellStyle name="20 % - Markeringsfarve4 2 3 2 6" xfId="10490"/>
    <cellStyle name="20 % - Markeringsfarve4 2 3 2 6 2" xfId="21297"/>
    <cellStyle name="20 % - Markeringsfarve4 2 3 2 6 3" xfId="32654"/>
    <cellStyle name="20 % - Markeringsfarve4 2 3 2 7" xfId="11324"/>
    <cellStyle name="20 % - Markeringsfarve4 2 3 2 8" xfId="22130"/>
    <cellStyle name="20 % - Markeringsfarve4 2 3 2 9" xfId="22684"/>
    <cellStyle name="20 % - Markeringsfarve4 2 3 3" xfId="785"/>
    <cellStyle name="20 % - Markeringsfarve4 2 3 3 2" xfId="1617"/>
    <cellStyle name="20 % - Markeringsfarve4 2 3 3 2 2" xfId="3282"/>
    <cellStyle name="20 % - Markeringsfarve4 2 3 3 2 2 2" xfId="8270"/>
    <cellStyle name="20 % - Markeringsfarve4 2 3 3 2 2 2 2" xfId="19077"/>
    <cellStyle name="20 % - Markeringsfarve4 2 3 3 2 2 2 3" xfId="30434"/>
    <cellStyle name="20 % - Markeringsfarve4 2 3 3 2 2 3" xfId="14092"/>
    <cellStyle name="20 % - Markeringsfarve4 2 3 3 2 2 4" xfId="25450"/>
    <cellStyle name="20 % - Markeringsfarve4 2 3 3 2 3" xfId="4946"/>
    <cellStyle name="20 % - Markeringsfarve4 2 3 3 2 3 2" xfId="9931"/>
    <cellStyle name="20 % - Markeringsfarve4 2 3 3 2 3 2 2" xfId="20738"/>
    <cellStyle name="20 % - Markeringsfarve4 2 3 3 2 3 2 3" xfId="32095"/>
    <cellStyle name="20 % - Markeringsfarve4 2 3 3 2 3 3" xfId="15753"/>
    <cellStyle name="20 % - Markeringsfarve4 2 3 3 2 3 4" xfId="27111"/>
    <cellStyle name="20 % - Markeringsfarve4 2 3 3 2 4" xfId="6608"/>
    <cellStyle name="20 % - Markeringsfarve4 2 3 3 2 4 2" xfId="17416"/>
    <cellStyle name="20 % - Markeringsfarve4 2 3 3 2 4 3" xfId="28773"/>
    <cellStyle name="20 % - Markeringsfarve4 2 3 3 2 5" xfId="12431"/>
    <cellStyle name="20 % - Markeringsfarve4 2 3 3 2 6" xfId="23789"/>
    <cellStyle name="20 % - Markeringsfarve4 2 3 3 3" xfId="2451"/>
    <cellStyle name="20 % - Markeringsfarve4 2 3 3 3 2" xfId="7439"/>
    <cellStyle name="20 % - Markeringsfarve4 2 3 3 3 2 2" xfId="18246"/>
    <cellStyle name="20 % - Markeringsfarve4 2 3 3 3 2 3" xfId="29603"/>
    <cellStyle name="20 % - Markeringsfarve4 2 3 3 3 3" xfId="13261"/>
    <cellStyle name="20 % - Markeringsfarve4 2 3 3 3 4" xfId="24619"/>
    <cellStyle name="20 % - Markeringsfarve4 2 3 3 4" xfId="4115"/>
    <cellStyle name="20 % - Markeringsfarve4 2 3 3 4 2" xfId="9100"/>
    <cellStyle name="20 % - Markeringsfarve4 2 3 3 4 2 2" xfId="19907"/>
    <cellStyle name="20 % - Markeringsfarve4 2 3 3 4 2 3" xfId="31264"/>
    <cellStyle name="20 % - Markeringsfarve4 2 3 3 4 3" xfId="14922"/>
    <cellStyle name="20 % - Markeringsfarve4 2 3 3 4 4" xfId="26280"/>
    <cellStyle name="20 % - Markeringsfarve4 2 3 3 5" xfId="5777"/>
    <cellStyle name="20 % - Markeringsfarve4 2 3 3 5 2" xfId="16585"/>
    <cellStyle name="20 % - Markeringsfarve4 2 3 3 5 3" xfId="27942"/>
    <cellStyle name="20 % - Markeringsfarve4 2 3 3 6" xfId="10764"/>
    <cellStyle name="20 % - Markeringsfarve4 2 3 3 6 2" xfId="21571"/>
    <cellStyle name="20 % - Markeringsfarve4 2 3 3 6 3" xfId="32928"/>
    <cellStyle name="20 % - Markeringsfarve4 2 3 3 7" xfId="11599"/>
    <cellStyle name="20 % - Markeringsfarve4 2 3 3 8" xfId="22958"/>
    <cellStyle name="20 % - Markeringsfarve4 2 3 4" xfId="1064"/>
    <cellStyle name="20 % - Markeringsfarve4 2 3 4 2" xfId="2729"/>
    <cellStyle name="20 % - Markeringsfarve4 2 3 4 2 2" xfId="7717"/>
    <cellStyle name="20 % - Markeringsfarve4 2 3 4 2 2 2" xfId="18524"/>
    <cellStyle name="20 % - Markeringsfarve4 2 3 4 2 2 3" xfId="29881"/>
    <cellStyle name="20 % - Markeringsfarve4 2 3 4 2 3" xfId="13539"/>
    <cellStyle name="20 % - Markeringsfarve4 2 3 4 2 4" xfId="24897"/>
    <cellStyle name="20 % - Markeringsfarve4 2 3 4 3" xfId="4393"/>
    <cellStyle name="20 % - Markeringsfarve4 2 3 4 3 2" xfId="9378"/>
    <cellStyle name="20 % - Markeringsfarve4 2 3 4 3 2 2" xfId="20185"/>
    <cellStyle name="20 % - Markeringsfarve4 2 3 4 3 2 3" xfId="31542"/>
    <cellStyle name="20 % - Markeringsfarve4 2 3 4 3 3" xfId="15200"/>
    <cellStyle name="20 % - Markeringsfarve4 2 3 4 3 4" xfId="26558"/>
    <cellStyle name="20 % - Markeringsfarve4 2 3 4 4" xfId="6055"/>
    <cellStyle name="20 % - Markeringsfarve4 2 3 4 4 2" xfId="16863"/>
    <cellStyle name="20 % - Markeringsfarve4 2 3 4 4 3" xfId="28220"/>
    <cellStyle name="20 % - Markeringsfarve4 2 3 4 5" xfId="11878"/>
    <cellStyle name="20 % - Markeringsfarve4 2 3 4 6" xfId="23236"/>
    <cellStyle name="20 % - Markeringsfarve4 2 3 5" xfId="1899"/>
    <cellStyle name="20 % - Markeringsfarve4 2 3 5 2" xfId="6887"/>
    <cellStyle name="20 % - Markeringsfarve4 2 3 5 2 2" xfId="17695"/>
    <cellStyle name="20 % - Markeringsfarve4 2 3 5 2 3" xfId="29052"/>
    <cellStyle name="20 % - Markeringsfarve4 2 3 5 3" xfId="12710"/>
    <cellStyle name="20 % - Markeringsfarve4 2 3 5 4" xfId="24068"/>
    <cellStyle name="20 % - Markeringsfarve4 2 3 6" xfId="3564"/>
    <cellStyle name="20 % - Markeringsfarve4 2 3 6 2" xfId="8549"/>
    <cellStyle name="20 % - Markeringsfarve4 2 3 6 2 2" xfId="19356"/>
    <cellStyle name="20 % - Markeringsfarve4 2 3 6 2 3" xfId="30713"/>
    <cellStyle name="20 % - Markeringsfarve4 2 3 6 3" xfId="14371"/>
    <cellStyle name="20 % - Markeringsfarve4 2 3 6 4" xfId="25729"/>
    <cellStyle name="20 % - Markeringsfarve4 2 3 7" xfId="5225"/>
    <cellStyle name="20 % - Markeringsfarve4 2 3 7 2" xfId="16034"/>
    <cellStyle name="20 % - Markeringsfarve4 2 3 7 3" xfId="27391"/>
    <cellStyle name="20 % - Markeringsfarve4 2 3 8" xfId="10210"/>
    <cellStyle name="20 % - Markeringsfarve4 2 3 8 2" xfId="21017"/>
    <cellStyle name="20 % - Markeringsfarve4 2 3 8 3" xfId="32374"/>
    <cellStyle name="20 % - Markeringsfarve4 2 3 9" xfId="11044"/>
    <cellStyle name="20 % - Markeringsfarve4 2 4" xfId="247"/>
    <cellStyle name="20 % - Markeringsfarve4 2 4 10" xfId="21904"/>
    <cellStyle name="20 % - Markeringsfarve4 2 4 11" xfId="22457"/>
    <cellStyle name="20 % - Markeringsfarve4 2 4 12" xfId="33260"/>
    <cellStyle name="20 % - Markeringsfarve4 2 4 13" xfId="33535"/>
    <cellStyle name="20 % - Markeringsfarve4 2 4 14" xfId="33806"/>
    <cellStyle name="20 % - Markeringsfarve4 2 4 2" xfId="564"/>
    <cellStyle name="20 % - Markeringsfarve4 2 4 2 2" xfId="1396"/>
    <cellStyle name="20 % - Markeringsfarve4 2 4 2 2 2" xfId="3061"/>
    <cellStyle name="20 % - Markeringsfarve4 2 4 2 2 2 2" xfId="8049"/>
    <cellStyle name="20 % - Markeringsfarve4 2 4 2 2 2 2 2" xfId="18856"/>
    <cellStyle name="20 % - Markeringsfarve4 2 4 2 2 2 2 3" xfId="30213"/>
    <cellStyle name="20 % - Markeringsfarve4 2 4 2 2 2 3" xfId="13871"/>
    <cellStyle name="20 % - Markeringsfarve4 2 4 2 2 2 4" xfId="25229"/>
    <cellStyle name="20 % - Markeringsfarve4 2 4 2 2 3" xfId="4725"/>
    <cellStyle name="20 % - Markeringsfarve4 2 4 2 2 3 2" xfId="9710"/>
    <cellStyle name="20 % - Markeringsfarve4 2 4 2 2 3 2 2" xfId="20517"/>
    <cellStyle name="20 % - Markeringsfarve4 2 4 2 2 3 2 3" xfId="31874"/>
    <cellStyle name="20 % - Markeringsfarve4 2 4 2 2 3 3" xfId="15532"/>
    <cellStyle name="20 % - Markeringsfarve4 2 4 2 2 3 4" xfId="26890"/>
    <cellStyle name="20 % - Markeringsfarve4 2 4 2 2 4" xfId="6387"/>
    <cellStyle name="20 % - Markeringsfarve4 2 4 2 2 4 2" xfId="17195"/>
    <cellStyle name="20 % - Markeringsfarve4 2 4 2 2 4 3" xfId="28552"/>
    <cellStyle name="20 % - Markeringsfarve4 2 4 2 2 5" xfId="12210"/>
    <cellStyle name="20 % - Markeringsfarve4 2 4 2 2 6" xfId="23568"/>
    <cellStyle name="20 % - Markeringsfarve4 2 4 2 3" xfId="2230"/>
    <cellStyle name="20 % - Markeringsfarve4 2 4 2 3 2" xfId="7218"/>
    <cellStyle name="20 % - Markeringsfarve4 2 4 2 3 2 2" xfId="18025"/>
    <cellStyle name="20 % - Markeringsfarve4 2 4 2 3 2 3" xfId="29382"/>
    <cellStyle name="20 % - Markeringsfarve4 2 4 2 3 3" xfId="13040"/>
    <cellStyle name="20 % - Markeringsfarve4 2 4 2 3 4" xfId="24398"/>
    <cellStyle name="20 % - Markeringsfarve4 2 4 2 4" xfId="3894"/>
    <cellStyle name="20 % - Markeringsfarve4 2 4 2 4 2" xfId="8879"/>
    <cellStyle name="20 % - Markeringsfarve4 2 4 2 4 2 2" xfId="19686"/>
    <cellStyle name="20 % - Markeringsfarve4 2 4 2 4 2 3" xfId="31043"/>
    <cellStyle name="20 % - Markeringsfarve4 2 4 2 4 3" xfId="14701"/>
    <cellStyle name="20 % - Markeringsfarve4 2 4 2 4 4" xfId="26059"/>
    <cellStyle name="20 % - Markeringsfarve4 2 4 2 5" xfId="5556"/>
    <cellStyle name="20 % - Markeringsfarve4 2 4 2 5 2" xfId="16364"/>
    <cellStyle name="20 % - Markeringsfarve4 2 4 2 5 3" xfId="27721"/>
    <cellStyle name="20 % - Markeringsfarve4 2 4 2 6" xfId="10543"/>
    <cellStyle name="20 % - Markeringsfarve4 2 4 2 6 2" xfId="21350"/>
    <cellStyle name="20 % - Markeringsfarve4 2 4 2 6 3" xfId="32707"/>
    <cellStyle name="20 % - Markeringsfarve4 2 4 2 7" xfId="11377"/>
    <cellStyle name="20 % - Markeringsfarve4 2 4 2 8" xfId="22183"/>
    <cellStyle name="20 % - Markeringsfarve4 2 4 2 9" xfId="22737"/>
    <cellStyle name="20 % - Markeringsfarve4 2 4 3" xfId="838"/>
    <cellStyle name="20 % - Markeringsfarve4 2 4 3 2" xfId="1670"/>
    <cellStyle name="20 % - Markeringsfarve4 2 4 3 2 2" xfId="3335"/>
    <cellStyle name="20 % - Markeringsfarve4 2 4 3 2 2 2" xfId="8323"/>
    <cellStyle name="20 % - Markeringsfarve4 2 4 3 2 2 2 2" xfId="19130"/>
    <cellStyle name="20 % - Markeringsfarve4 2 4 3 2 2 2 3" xfId="30487"/>
    <cellStyle name="20 % - Markeringsfarve4 2 4 3 2 2 3" xfId="14145"/>
    <cellStyle name="20 % - Markeringsfarve4 2 4 3 2 2 4" xfId="25503"/>
    <cellStyle name="20 % - Markeringsfarve4 2 4 3 2 3" xfId="4999"/>
    <cellStyle name="20 % - Markeringsfarve4 2 4 3 2 3 2" xfId="9984"/>
    <cellStyle name="20 % - Markeringsfarve4 2 4 3 2 3 2 2" xfId="20791"/>
    <cellStyle name="20 % - Markeringsfarve4 2 4 3 2 3 2 3" xfId="32148"/>
    <cellStyle name="20 % - Markeringsfarve4 2 4 3 2 3 3" xfId="15806"/>
    <cellStyle name="20 % - Markeringsfarve4 2 4 3 2 3 4" xfId="27164"/>
    <cellStyle name="20 % - Markeringsfarve4 2 4 3 2 4" xfId="6661"/>
    <cellStyle name="20 % - Markeringsfarve4 2 4 3 2 4 2" xfId="17469"/>
    <cellStyle name="20 % - Markeringsfarve4 2 4 3 2 4 3" xfId="28826"/>
    <cellStyle name="20 % - Markeringsfarve4 2 4 3 2 5" xfId="12484"/>
    <cellStyle name="20 % - Markeringsfarve4 2 4 3 2 6" xfId="23842"/>
    <cellStyle name="20 % - Markeringsfarve4 2 4 3 3" xfId="2504"/>
    <cellStyle name="20 % - Markeringsfarve4 2 4 3 3 2" xfId="7492"/>
    <cellStyle name="20 % - Markeringsfarve4 2 4 3 3 2 2" xfId="18299"/>
    <cellStyle name="20 % - Markeringsfarve4 2 4 3 3 2 3" xfId="29656"/>
    <cellStyle name="20 % - Markeringsfarve4 2 4 3 3 3" xfId="13314"/>
    <cellStyle name="20 % - Markeringsfarve4 2 4 3 3 4" xfId="24672"/>
    <cellStyle name="20 % - Markeringsfarve4 2 4 3 4" xfId="4168"/>
    <cellStyle name="20 % - Markeringsfarve4 2 4 3 4 2" xfId="9153"/>
    <cellStyle name="20 % - Markeringsfarve4 2 4 3 4 2 2" xfId="19960"/>
    <cellStyle name="20 % - Markeringsfarve4 2 4 3 4 2 3" xfId="31317"/>
    <cellStyle name="20 % - Markeringsfarve4 2 4 3 4 3" xfId="14975"/>
    <cellStyle name="20 % - Markeringsfarve4 2 4 3 4 4" xfId="26333"/>
    <cellStyle name="20 % - Markeringsfarve4 2 4 3 5" xfId="5830"/>
    <cellStyle name="20 % - Markeringsfarve4 2 4 3 5 2" xfId="16638"/>
    <cellStyle name="20 % - Markeringsfarve4 2 4 3 5 3" xfId="27995"/>
    <cellStyle name="20 % - Markeringsfarve4 2 4 3 6" xfId="10817"/>
    <cellStyle name="20 % - Markeringsfarve4 2 4 3 6 2" xfId="21624"/>
    <cellStyle name="20 % - Markeringsfarve4 2 4 3 6 3" xfId="32981"/>
    <cellStyle name="20 % - Markeringsfarve4 2 4 3 7" xfId="11652"/>
    <cellStyle name="20 % - Markeringsfarve4 2 4 3 8" xfId="23011"/>
    <cellStyle name="20 % - Markeringsfarve4 2 4 4" xfId="1117"/>
    <cellStyle name="20 % - Markeringsfarve4 2 4 4 2" xfId="2782"/>
    <cellStyle name="20 % - Markeringsfarve4 2 4 4 2 2" xfId="7770"/>
    <cellStyle name="20 % - Markeringsfarve4 2 4 4 2 2 2" xfId="18577"/>
    <cellStyle name="20 % - Markeringsfarve4 2 4 4 2 2 3" xfId="29934"/>
    <cellStyle name="20 % - Markeringsfarve4 2 4 4 2 3" xfId="13592"/>
    <cellStyle name="20 % - Markeringsfarve4 2 4 4 2 4" xfId="24950"/>
    <cellStyle name="20 % - Markeringsfarve4 2 4 4 3" xfId="4446"/>
    <cellStyle name="20 % - Markeringsfarve4 2 4 4 3 2" xfId="9431"/>
    <cellStyle name="20 % - Markeringsfarve4 2 4 4 3 2 2" xfId="20238"/>
    <cellStyle name="20 % - Markeringsfarve4 2 4 4 3 2 3" xfId="31595"/>
    <cellStyle name="20 % - Markeringsfarve4 2 4 4 3 3" xfId="15253"/>
    <cellStyle name="20 % - Markeringsfarve4 2 4 4 3 4" xfId="26611"/>
    <cellStyle name="20 % - Markeringsfarve4 2 4 4 4" xfId="6108"/>
    <cellStyle name="20 % - Markeringsfarve4 2 4 4 4 2" xfId="16916"/>
    <cellStyle name="20 % - Markeringsfarve4 2 4 4 4 3" xfId="28273"/>
    <cellStyle name="20 % - Markeringsfarve4 2 4 4 5" xfId="11931"/>
    <cellStyle name="20 % - Markeringsfarve4 2 4 4 6" xfId="23289"/>
    <cellStyle name="20 % - Markeringsfarve4 2 4 5" xfId="1952"/>
    <cellStyle name="20 % - Markeringsfarve4 2 4 5 2" xfId="6940"/>
    <cellStyle name="20 % - Markeringsfarve4 2 4 5 2 2" xfId="17748"/>
    <cellStyle name="20 % - Markeringsfarve4 2 4 5 2 3" xfId="29105"/>
    <cellStyle name="20 % - Markeringsfarve4 2 4 5 3" xfId="12763"/>
    <cellStyle name="20 % - Markeringsfarve4 2 4 5 4" xfId="24121"/>
    <cellStyle name="20 % - Markeringsfarve4 2 4 6" xfId="3617"/>
    <cellStyle name="20 % - Markeringsfarve4 2 4 6 2" xfId="8602"/>
    <cellStyle name="20 % - Markeringsfarve4 2 4 6 2 2" xfId="19409"/>
    <cellStyle name="20 % - Markeringsfarve4 2 4 6 2 3" xfId="30766"/>
    <cellStyle name="20 % - Markeringsfarve4 2 4 6 3" xfId="14424"/>
    <cellStyle name="20 % - Markeringsfarve4 2 4 6 4" xfId="25782"/>
    <cellStyle name="20 % - Markeringsfarve4 2 4 7" xfId="5278"/>
    <cellStyle name="20 % - Markeringsfarve4 2 4 7 2" xfId="16087"/>
    <cellStyle name="20 % - Markeringsfarve4 2 4 7 3" xfId="27444"/>
    <cellStyle name="20 % - Markeringsfarve4 2 4 8" xfId="10263"/>
    <cellStyle name="20 % - Markeringsfarve4 2 4 8 2" xfId="21070"/>
    <cellStyle name="20 % - Markeringsfarve4 2 4 8 3" xfId="32427"/>
    <cellStyle name="20 % - Markeringsfarve4 2 4 9" xfId="11097"/>
    <cellStyle name="20 % - Markeringsfarve4 2 5" xfId="301"/>
    <cellStyle name="20 % - Markeringsfarve4 2 5 10" xfId="21958"/>
    <cellStyle name="20 % - Markeringsfarve4 2 5 11" xfId="22511"/>
    <cellStyle name="20 % - Markeringsfarve4 2 5 12" xfId="33314"/>
    <cellStyle name="20 % - Markeringsfarve4 2 5 13" xfId="33589"/>
    <cellStyle name="20 % - Markeringsfarve4 2 5 14" xfId="33860"/>
    <cellStyle name="20 % - Markeringsfarve4 2 5 2" xfId="618"/>
    <cellStyle name="20 % - Markeringsfarve4 2 5 2 2" xfId="1450"/>
    <cellStyle name="20 % - Markeringsfarve4 2 5 2 2 2" xfId="3115"/>
    <cellStyle name="20 % - Markeringsfarve4 2 5 2 2 2 2" xfId="8103"/>
    <cellStyle name="20 % - Markeringsfarve4 2 5 2 2 2 2 2" xfId="18910"/>
    <cellStyle name="20 % - Markeringsfarve4 2 5 2 2 2 2 3" xfId="30267"/>
    <cellStyle name="20 % - Markeringsfarve4 2 5 2 2 2 3" xfId="13925"/>
    <cellStyle name="20 % - Markeringsfarve4 2 5 2 2 2 4" xfId="25283"/>
    <cellStyle name="20 % - Markeringsfarve4 2 5 2 2 3" xfId="4779"/>
    <cellStyle name="20 % - Markeringsfarve4 2 5 2 2 3 2" xfId="9764"/>
    <cellStyle name="20 % - Markeringsfarve4 2 5 2 2 3 2 2" xfId="20571"/>
    <cellStyle name="20 % - Markeringsfarve4 2 5 2 2 3 2 3" xfId="31928"/>
    <cellStyle name="20 % - Markeringsfarve4 2 5 2 2 3 3" xfId="15586"/>
    <cellStyle name="20 % - Markeringsfarve4 2 5 2 2 3 4" xfId="26944"/>
    <cellStyle name="20 % - Markeringsfarve4 2 5 2 2 4" xfId="6441"/>
    <cellStyle name="20 % - Markeringsfarve4 2 5 2 2 4 2" xfId="17249"/>
    <cellStyle name="20 % - Markeringsfarve4 2 5 2 2 4 3" xfId="28606"/>
    <cellStyle name="20 % - Markeringsfarve4 2 5 2 2 5" xfId="12264"/>
    <cellStyle name="20 % - Markeringsfarve4 2 5 2 2 6" xfId="23622"/>
    <cellStyle name="20 % - Markeringsfarve4 2 5 2 3" xfId="2284"/>
    <cellStyle name="20 % - Markeringsfarve4 2 5 2 3 2" xfId="7272"/>
    <cellStyle name="20 % - Markeringsfarve4 2 5 2 3 2 2" xfId="18079"/>
    <cellStyle name="20 % - Markeringsfarve4 2 5 2 3 2 3" xfId="29436"/>
    <cellStyle name="20 % - Markeringsfarve4 2 5 2 3 3" xfId="13094"/>
    <cellStyle name="20 % - Markeringsfarve4 2 5 2 3 4" xfId="24452"/>
    <cellStyle name="20 % - Markeringsfarve4 2 5 2 4" xfId="3948"/>
    <cellStyle name="20 % - Markeringsfarve4 2 5 2 4 2" xfId="8933"/>
    <cellStyle name="20 % - Markeringsfarve4 2 5 2 4 2 2" xfId="19740"/>
    <cellStyle name="20 % - Markeringsfarve4 2 5 2 4 2 3" xfId="31097"/>
    <cellStyle name="20 % - Markeringsfarve4 2 5 2 4 3" xfId="14755"/>
    <cellStyle name="20 % - Markeringsfarve4 2 5 2 4 4" xfId="26113"/>
    <cellStyle name="20 % - Markeringsfarve4 2 5 2 5" xfId="5610"/>
    <cellStyle name="20 % - Markeringsfarve4 2 5 2 5 2" xfId="16418"/>
    <cellStyle name="20 % - Markeringsfarve4 2 5 2 5 3" xfId="27775"/>
    <cellStyle name="20 % - Markeringsfarve4 2 5 2 6" xfId="10597"/>
    <cellStyle name="20 % - Markeringsfarve4 2 5 2 6 2" xfId="21404"/>
    <cellStyle name="20 % - Markeringsfarve4 2 5 2 6 3" xfId="32761"/>
    <cellStyle name="20 % - Markeringsfarve4 2 5 2 7" xfId="11431"/>
    <cellStyle name="20 % - Markeringsfarve4 2 5 2 8" xfId="22237"/>
    <cellStyle name="20 % - Markeringsfarve4 2 5 2 9" xfId="22791"/>
    <cellStyle name="20 % - Markeringsfarve4 2 5 3" xfId="892"/>
    <cellStyle name="20 % - Markeringsfarve4 2 5 3 2" xfId="1724"/>
    <cellStyle name="20 % - Markeringsfarve4 2 5 3 2 2" xfId="3389"/>
    <cellStyle name="20 % - Markeringsfarve4 2 5 3 2 2 2" xfId="8377"/>
    <cellStyle name="20 % - Markeringsfarve4 2 5 3 2 2 2 2" xfId="19184"/>
    <cellStyle name="20 % - Markeringsfarve4 2 5 3 2 2 2 3" xfId="30541"/>
    <cellStyle name="20 % - Markeringsfarve4 2 5 3 2 2 3" xfId="14199"/>
    <cellStyle name="20 % - Markeringsfarve4 2 5 3 2 2 4" xfId="25557"/>
    <cellStyle name="20 % - Markeringsfarve4 2 5 3 2 3" xfId="5053"/>
    <cellStyle name="20 % - Markeringsfarve4 2 5 3 2 3 2" xfId="10038"/>
    <cellStyle name="20 % - Markeringsfarve4 2 5 3 2 3 2 2" xfId="20845"/>
    <cellStyle name="20 % - Markeringsfarve4 2 5 3 2 3 2 3" xfId="32202"/>
    <cellStyle name="20 % - Markeringsfarve4 2 5 3 2 3 3" xfId="15860"/>
    <cellStyle name="20 % - Markeringsfarve4 2 5 3 2 3 4" xfId="27218"/>
    <cellStyle name="20 % - Markeringsfarve4 2 5 3 2 4" xfId="6715"/>
    <cellStyle name="20 % - Markeringsfarve4 2 5 3 2 4 2" xfId="17523"/>
    <cellStyle name="20 % - Markeringsfarve4 2 5 3 2 4 3" xfId="28880"/>
    <cellStyle name="20 % - Markeringsfarve4 2 5 3 2 5" xfId="12538"/>
    <cellStyle name="20 % - Markeringsfarve4 2 5 3 2 6" xfId="23896"/>
    <cellStyle name="20 % - Markeringsfarve4 2 5 3 3" xfId="2558"/>
    <cellStyle name="20 % - Markeringsfarve4 2 5 3 3 2" xfId="7546"/>
    <cellStyle name="20 % - Markeringsfarve4 2 5 3 3 2 2" xfId="18353"/>
    <cellStyle name="20 % - Markeringsfarve4 2 5 3 3 2 3" xfId="29710"/>
    <cellStyle name="20 % - Markeringsfarve4 2 5 3 3 3" xfId="13368"/>
    <cellStyle name="20 % - Markeringsfarve4 2 5 3 3 4" xfId="24726"/>
    <cellStyle name="20 % - Markeringsfarve4 2 5 3 4" xfId="4222"/>
    <cellStyle name="20 % - Markeringsfarve4 2 5 3 4 2" xfId="9207"/>
    <cellStyle name="20 % - Markeringsfarve4 2 5 3 4 2 2" xfId="20014"/>
    <cellStyle name="20 % - Markeringsfarve4 2 5 3 4 2 3" xfId="31371"/>
    <cellStyle name="20 % - Markeringsfarve4 2 5 3 4 3" xfId="15029"/>
    <cellStyle name="20 % - Markeringsfarve4 2 5 3 4 4" xfId="26387"/>
    <cellStyle name="20 % - Markeringsfarve4 2 5 3 5" xfId="5884"/>
    <cellStyle name="20 % - Markeringsfarve4 2 5 3 5 2" xfId="16692"/>
    <cellStyle name="20 % - Markeringsfarve4 2 5 3 5 3" xfId="28049"/>
    <cellStyle name="20 % - Markeringsfarve4 2 5 3 6" xfId="10871"/>
    <cellStyle name="20 % - Markeringsfarve4 2 5 3 6 2" xfId="21678"/>
    <cellStyle name="20 % - Markeringsfarve4 2 5 3 6 3" xfId="33035"/>
    <cellStyle name="20 % - Markeringsfarve4 2 5 3 7" xfId="11706"/>
    <cellStyle name="20 % - Markeringsfarve4 2 5 3 8" xfId="23065"/>
    <cellStyle name="20 % - Markeringsfarve4 2 5 4" xfId="1171"/>
    <cellStyle name="20 % - Markeringsfarve4 2 5 4 2" xfId="2836"/>
    <cellStyle name="20 % - Markeringsfarve4 2 5 4 2 2" xfId="7824"/>
    <cellStyle name="20 % - Markeringsfarve4 2 5 4 2 2 2" xfId="18631"/>
    <cellStyle name="20 % - Markeringsfarve4 2 5 4 2 2 3" xfId="29988"/>
    <cellStyle name="20 % - Markeringsfarve4 2 5 4 2 3" xfId="13646"/>
    <cellStyle name="20 % - Markeringsfarve4 2 5 4 2 4" xfId="25004"/>
    <cellStyle name="20 % - Markeringsfarve4 2 5 4 3" xfId="4500"/>
    <cellStyle name="20 % - Markeringsfarve4 2 5 4 3 2" xfId="9485"/>
    <cellStyle name="20 % - Markeringsfarve4 2 5 4 3 2 2" xfId="20292"/>
    <cellStyle name="20 % - Markeringsfarve4 2 5 4 3 2 3" xfId="31649"/>
    <cellStyle name="20 % - Markeringsfarve4 2 5 4 3 3" xfId="15307"/>
    <cellStyle name="20 % - Markeringsfarve4 2 5 4 3 4" xfId="26665"/>
    <cellStyle name="20 % - Markeringsfarve4 2 5 4 4" xfId="6162"/>
    <cellStyle name="20 % - Markeringsfarve4 2 5 4 4 2" xfId="16970"/>
    <cellStyle name="20 % - Markeringsfarve4 2 5 4 4 3" xfId="28327"/>
    <cellStyle name="20 % - Markeringsfarve4 2 5 4 5" xfId="11985"/>
    <cellStyle name="20 % - Markeringsfarve4 2 5 4 6" xfId="23343"/>
    <cellStyle name="20 % - Markeringsfarve4 2 5 5" xfId="2006"/>
    <cellStyle name="20 % - Markeringsfarve4 2 5 5 2" xfId="6994"/>
    <cellStyle name="20 % - Markeringsfarve4 2 5 5 2 2" xfId="17802"/>
    <cellStyle name="20 % - Markeringsfarve4 2 5 5 2 3" xfId="29159"/>
    <cellStyle name="20 % - Markeringsfarve4 2 5 5 3" xfId="12817"/>
    <cellStyle name="20 % - Markeringsfarve4 2 5 5 4" xfId="24175"/>
    <cellStyle name="20 % - Markeringsfarve4 2 5 6" xfId="3671"/>
    <cellStyle name="20 % - Markeringsfarve4 2 5 6 2" xfId="8656"/>
    <cellStyle name="20 % - Markeringsfarve4 2 5 6 2 2" xfId="19463"/>
    <cellStyle name="20 % - Markeringsfarve4 2 5 6 2 3" xfId="30820"/>
    <cellStyle name="20 % - Markeringsfarve4 2 5 6 3" xfId="14478"/>
    <cellStyle name="20 % - Markeringsfarve4 2 5 6 4" xfId="25836"/>
    <cellStyle name="20 % - Markeringsfarve4 2 5 7" xfId="5332"/>
    <cellStyle name="20 % - Markeringsfarve4 2 5 7 2" xfId="16141"/>
    <cellStyle name="20 % - Markeringsfarve4 2 5 7 3" xfId="27498"/>
    <cellStyle name="20 % - Markeringsfarve4 2 5 8" xfId="10317"/>
    <cellStyle name="20 % - Markeringsfarve4 2 5 8 2" xfId="21124"/>
    <cellStyle name="20 % - Markeringsfarve4 2 5 8 3" xfId="32481"/>
    <cellStyle name="20 % - Markeringsfarve4 2 5 9" xfId="11151"/>
    <cellStyle name="20 % - Markeringsfarve4 2 6" xfId="357"/>
    <cellStyle name="20 % - Markeringsfarve4 2 6 10" xfId="22014"/>
    <cellStyle name="20 % - Markeringsfarve4 2 6 11" xfId="22567"/>
    <cellStyle name="20 % - Markeringsfarve4 2 6 12" xfId="33370"/>
    <cellStyle name="20 % - Markeringsfarve4 2 6 13" xfId="33645"/>
    <cellStyle name="20 % - Markeringsfarve4 2 6 14" xfId="33916"/>
    <cellStyle name="20 % - Markeringsfarve4 2 6 2" xfId="674"/>
    <cellStyle name="20 % - Markeringsfarve4 2 6 2 2" xfId="1506"/>
    <cellStyle name="20 % - Markeringsfarve4 2 6 2 2 2" xfId="3171"/>
    <cellStyle name="20 % - Markeringsfarve4 2 6 2 2 2 2" xfId="8159"/>
    <cellStyle name="20 % - Markeringsfarve4 2 6 2 2 2 2 2" xfId="18966"/>
    <cellStyle name="20 % - Markeringsfarve4 2 6 2 2 2 2 3" xfId="30323"/>
    <cellStyle name="20 % - Markeringsfarve4 2 6 2 2 2 3" xfId="13981"/>
    <cellStyle name="20 % - Markeringsfarve4 2 6 2 2 2 4" xfId="25339"/>
    <cellStyle name="20 % - Markeringsfarve4 2 6 2 2 3" xfId="4835"/>
    <cellStyle name="20 % - Markeringsfarve4 2 6 2 2 3 2" xfId="9820"/>
    <cellStyle name="20 % - Markeringsfarve4 2 6 2 2 3 2 2" xfId="20627"/>
    <cellStyle name="20 % - Markeringsfarve4 2 6 2 2 3 2 3" xfId="31984"/>
    <cellStyle name="20 % - Markeringsfarve4 2 6 2 2 3 3" xfId="15642"/>
    <cellStyle name="20 % - Markeringsfarve4 2 6 2 2 3 4" xfId="27000"/>
    <cellStyle name="20 % - Markeringsfarve4 2 6 2 2 4" xfId="6497"/>
    <cellStyle name="20 % - Markeringsfarve4 2 6 2 2 4 2" xfId="17305"/>
    <cellStyle name="20 % - Markeringsfarve4 2 6 2 2 4 3" xfId="28662"/>
    <cellStyle name="20 % - Markeringsfarve4 2 6 2 2 5" xfId="12320"/>
    <cellStyle name="20 % - Markeringsfarve4 2 6 2 2 6" xfId="23678"/>
    <cellStyle name="20 % - Markeringsfarve4 2 6 2 3" xfId="2340"/>
    <cellStyle name="20 % - Markeringsfarve4 2 6 2 3 2" xfId="7328"/>
    <cellStyle name="20 % - Markeringsfarve4 2 6 2 3 2 2" xfId="18135"/>
    <cellStyle name="20 % - Markeringsfarve4 2 6 2 3 2 3" xfId="29492"/>
    <cellStyle name="20 % - Markeringsfarve4 2 6 2 3 3" xfId="13150"/>
    <cellStyle name="20 % - Markeringsfarve4 2 6 2 3 4" xfId="24508"/>
    <cellStyle name="20 % - Markeringsfarve4 2 6 2 4" xfId="4004"/>
    <cellStyle name="20 % - Markeringsfarve4 2 6 2 4 2" xfId="8989"/>
    <cellStyle name="20 % - Markeringsfarve4 2 6 2 4 2 2" xfId="19796"/>
    <cellStyle name="20 % - Markeringsfarve4 2 6 2 4 2 3" xfId="31153"/>
    <cellStyle name="20 % - Markeringsfarve4 2 6 2 4 3" xfId="14811"/>
    <cellStyle name="20 % - Markeringsfarve4 2 6 2 4 4" xfId="26169"/>
    <cellStyle name="20 % - Markeringsfarve4 2 6 2 5" xfId="5666"/>
    <cellStyle name="20 % - Markeringsfarve4 2 6 2 5 2" xfId="16474"/>
    <cellStyle name="20 % - Markeringsfarve4 2 6 2 5 3" xfId="27831"/>
    <cellStyle name="20 % - Markeringsfarve4 2 6 2 6" xfId="10653"/>
    <cellStyle name="20 % - Markeringsfarve4 2 6 2 6 2" xfId="21460"/>
    <cellStyle name="20 % - Markeringsfarve4 2 6 2 6 3" xfId="32817"/>
    <cellStyle name="20 % - Markeringsfarve4 2 6 2 7" xfId="11487"/>
    <cellStyle name="20 % - Markeringsfarve4 2 6 2 8" xfId="22293"/>
    <cellStyle name="20 % - Markeringsfarve4 2 6 2 9" xfId="22847"/>
    <cellStyle name="20 % - Markeringsfarve4 2 6 3" xfId="948"/>
    <cellStyle name="20 % - Markeringsfarve4 2 6 3 2" xfId="1780"/>
    <cellStyle name="20 % - Markeringsfarve4 2 6 3 2 2" xfId="3445"/>
    <cellStyle name="20 % - Markeringsfarve4 2 6 3 2 2 2" xfId="8433"/>
    <cellStyle name="20 % - Markeringsfarve4 2 6 3 2 2 2 2" xfId="19240"/>
    <cellStyle name="20 % - Markeringsfarve4 2 6 3 2 2 2 3" xfId="30597"/>
    <cellStyle name="20 % - Markeringsfarve4 2 6 3 2 2 3" xfId="14255"/>
    <cellStyle name="20 % - Markeringsfarve4 2 6 3 2 2 4" xfId="25613"/>
    <cellStyle name="20 % - Markeringsfarve4 2 6 3 2 3" xfId="5109"/>
    <cellStyle name="20 % - Markeringsfarve4 2 6 3 2 3 2" xfId="10094"/>
    <cellStyle name="20 % - Markeringsfarve4 2 6 3 2 3 2 2" xfId="20901"/>
    <cellStyle name="20 % - Markeringsfarve4 2 6 3 2 3 2 3" xfId="32258"/>
    <cellStyle name="20 % - Markeringsfarve4 2 6 3 2 3 3" xfId="15916"/>
    <cellStyle name="20 % - Markeringsfarve4 2 6 3 2 3 4" xfId="27274"/>
    <cellStyle name="20 % - Markeringsfarve4 2 6 3 2 4" xfId="6771"/>
    <cellStyle name="20 % - Markeringsfarve4 2 6 3 2 4 2" xfId="17579"/>
    <cellStyle name="20 % - Markeringsfarve4 2 6 3 2 4 3" xfId="28936"/>
    <cellStyle name="20 % - Markeringsfarve4 2 6 3 2 5" xfId="12594"/>
    <cellStyle name="20 % - Markeringsfarve4 2 6 3 2 6" xfId="23952"/>
    <cellStyle name="20 % - Markeringsfarve4 2 6 3 3" xfId="2614"/>
    <cellStyle name="20 % - Markeringsfarve4 2 6 3 3 2" xfId="7602"/>
    <cellStyle name="20 % - Markeringsfarve4 2 6 3 3 2 2" xfId="18409"/>
    <cellStyle name="20 % - Markeringsfarve4 2 6 3 3 2 3" xfId="29766"/>
    <cellStyle name="20 % - Markeringsfarve4 2 6 3 3 3" xfId="13424"/>
    <cellStyle name="20 % - Markeringsfarve4 2 6 3 3 4" xfId="24782"/>
    <cellStyle name="20 % - Markeringsfarve4 2 6 3 4" xfId="4278"/>
    <cellStyle name="20 % - Markeringsfarve4 2 6 3 4 2" xfId="9263"/>
    <cellStyle name="20 % - Markeringsfarve4 2 6 3 4 2 2" xfId="20070"/>
    <cellStyle name="20 % - Markeringsfarve4 2 6 3 4 2 3" xfId="31427"/>
    <cellStyle name="20 % - Markeringsfarve4 2 6 3 4 3" xfId="15085"/>
    <cellStyle name="20 % - Markeringsfarve4 2 6 3 4 4" xfId="26443"/>
    <cellStyle name="20 % - Markeringsfarve4 2 6 3 5" xfId="5940"/>
    <cellStyle name="20 % - Markeringsfarve4 2 6 3 5 2" xfId="16748"/>
    <cellStyle name="20 % - Markeringsfarve4 2 6 3 5 3" xfId="28105"/>
    <cellStyle name="20 % - Markeringsfarve4 2 6 3 6" xfId="10927"/>
    <cellStyle name="20 % - Markeringsfarve4 2 6 3 6 2" xfId="21734"/>
    <cellStyle name="20 % - Markeringsfarve4 2 6 3 6 3" xfId="33091"/>
    <cellStyle name="20 % - Markeringsfarve4 2 6 3 7" xfId="11762"/>
    <cellStyle name="20 % - Markeringsfarve4 2 6 3 8" xfId="23121"/>
    <cellStyle name="20 % - Markeringsfarve4 2 6 4" xfId="1227"/>
    <cellStyle name="20 % - Markeringsfarve4 2 6 4 2" xfId="2892"/>
    <cellStyle name="20 % - Markeringsfarve4 2 6 4 2 2" xfId="7880"/>
    <cellStyle name="20 % - Markeringsfarve4 2 6 4 2 2 2" xfId="18687"/>
    <cellStyle name="20 % - Markeringsfarve4 2 6 4 2 2 3" xfId="30044"/>
    <cellStyle name="20 % - Markeringsfarve4 2 6 4 2 3" xfId="13702"/>
    <cellStyle name="20 % - Markeringsfarve4 2 6 4 2 4" xfId="25060"/>
    <cellStyle name="20 % - Markeringsfarve4 2 6 4 3" xfId="4556"/>
    <cellStyle name="20 % - Markeringsfarve4 2 6 4 3 2" xfId="9541"/>
    <cellStyle name="20 % - Markeringsfarve4 2 6 4 3 2 2" xfId="20348"/>
    <cellStyle name="20 % - Markeringsfarve4 2 6 4 3 2 3" xfId="31705"/>
    <cellStyle name="20 % - Markeringsfarve4 2 6 4 3 3" xfId="15363"/>
    <cellStyle name="20 % - Markeringsfarve4 2 6 4 3 4" xfId="26721"/>
    <cellStyle name="20 % - Markeringsfarve4 2 6 4 4" xfId="6218"/>
    <cellStyle name="20 % - Markeringsfarve4 2 6 4 4 2" xfId="17026"/>
    <cellStyle name="20 % - Markeringsfarve4 2 6 4 4 3" xfId="28383"/>
    <cellStyle name="20 % - Markeringsfarve4 2 6 4 5" xfId="12041"/>
    <cellStyle name="20 % - Markeringsfarve4 2 6 4 6" xfId="23399"/>
    <cellStyle name="20 % - Markeringsfarve4 2 6 5" xfId="2062"/>
    <cellStyle name="20 % - Markeringsfarve4 2 6 5 2" xfId="7050"/>
    <cellStyle name="20 % - Markeringsfarve4 2 6 5 2 2" xfId="17858"/>
    <cellStyle name="20 % - Markeringsfarve4 2 6 5 2 3" xfId="29215"/>
    <cellStyle name="20 % - Markeringsfarve4 2 6 5 3" xfId="12873"/>
    <cellStyle name="20 % - Markeringsfarve4 2 6 5 4" xfId="24231"/>
    <cellStyle name="20 % - Markeringsfarve4 2 6 6" xfId="3727"/>
    <cellStyle name="20 % - Markeringsfarve4 2 6 6 2" xfId="8712"/>
    <cellStyle name="20 % - Markeringsfarve4 2 6 6 2 2" xfId="19519"/>
    <cellStyle name="20 % - Markeringsfarve4 2 6 6 2 3" xfId="30876"/>
    <cellStyle name="20 % - Markeringsfarve4 2 6 6 3" xfId="14534"/>
    <cellStyle name="20 % - Markeringsfarve4 2 6 6 4" xfId="25892"/>
    <cellStyle name="20 % - Markeringsfarve4 2 6 7" xfId="5388"/>
    <cellStyle name="20 % - Markeringsfarve4 2 6 7 2" xfId="16197"/>
    <cellStyle name="20 % - Markeringsfarve4 2 6 7 3" xfId="27554"/>
    <cellStyle name="20 % - Markeringsfarve4 2 6 8" xfId="10373"/>
    <cellStyle name="20 % - Markeringsfarve4 2 6 8 2" xfId="21180"/>
    <cellStyle name="20 % - Markeringsfarve4 2 6 8 3" xfId="32537"/>
    <cellStyle name="20 % - Markeringsfarve4 2 6 9" xfId="11207"/>
    <cellStyle name="20 % - Markeringsfarve4 2 7" xfId="458"/>
    <cellStyle name="20 % - Markeringsfarve4 2 7 2" xfId="1288"/>
    <cellStyle name="20 % - Markeringsfarve4 2 7 2 2" xfId="2953"/>
    <cellStyle name="20 % - Markeringsfarve4 2 7 2 2 2" xfId="7941"/>
    <cellStyle name="20 % - Markeringsfarve4 2 7 2 2 2 2" xfId="18748"/>
    <cellStyle name="20 % - Markeringsfarve4 2 7 2 2 2 3" xfId="30105"/>
    <cellStyle name="20 % - Markeringsfarve4 2 7 2 2 3" xfId="13763"/>
    <cellStyle name="20 % - Markeringsfarve4 2 7 2 2 4" xfId="25121"/>
    <cellStyle name="20 % - Markeringsfarve4 2 7 2 3" xfId="4617"/>
    <cellStyle name="20 % - Markeringsfarve4 2 7 2 3 2" xfId="9602"/>
    <cellStyle name="20 % - Markeringsfarve4 2 7 2 3 2 2" xfId="20409"/>
    <cellStyle name="20 % - Markeringsfarve4 2 7 2 3 2 3" xfId="31766"/>
    <cellStyle name="20 % - Markeringsfarve4 2 7 2 3 3" xfId="15424"/>
    <cellStyle name="20 % - Markeringsfarve4 2 7 2 3 4" xfId="26782"/>
    <cellStyle name="20 % - Markeringsfarve4 2 7 2 4" xfId="6279"/>
    <cellStyle name="20 % - Markeringsfarve4 2 7 2 4 2" xfId="17087"/>
    <cellStyle name="20 % - Markeringsfarve4 2 7 2 4 3" xfId="28444"/>
    <cellStyle name="20 % - Markeringsfarve4 2 7 2 5" xfId="12102"/>
    <cellStyle name="20 % - Markeringsfarve4 2 7 2 6" xfId="23460"/>
    <cellStyle name="20 % - Markeringsfarve4 2 7 3" xfId="2124"/>
    <cellStyle name="20 % - Markeringsfarve4 2 7 3 2" xfId="7112"/>
    <cellStyle name="20 % - Markeringsfarve4 2 7 3 2 2" xfId="17919"/>
    <cellStyle name="20 % - Markeringsfarve4 2 7 3 2 3" xfId="29276"/>
    <cellStyle name="20 % - Markeringsfarve4 2 7 3 3" xfId="12934"/>
    <cellStyle name="20 % - Markeringsfarve4 2 7 3 4" xfId="24292"/>
    <cellStyle name="20 % - Markeringsfarve4 2 7 4" xfId="3788"/>
    <cellStyle name="20 % - Markeringsfarve4 2 7 4 2" xfId="8773"/>
    <cellStyle name="20 % - Markeringsfarve4 2 7 4 2 2" xfId="19580"/>
    <cellStyle name="20 % - Markeringsfarve4 2 7 4 2 3" xfId="30937"/>
    <cellStyle name="20 % - Markeringsfarve4 2 7 4 3" xfId="14595"/>
    <cellStyle name="20 % - Markeringsfarve4 2 7 4 4" xfId="25953"/>
    <cellStyle name="20 % - Markeringsfarve4 2 7 5" xfId="5450"/>
    <cellStyle name="20 % - Markeringsfarve4 2 7 5 2" xfId="16258"/>
    <cellStyle name="20 % - Markeringsfarve4 2 7 5 3" xfId="27615"/>
    <cellStyle name="20 % - Markeringsfarve4 2 7 6" xfId="10438"/>
    <cellStyle name="20 % - Markeringsfarve4 2 7 6 2" xfId="21245"/>
    <cellStyle name="20 % - Markeringsfarve4 2 7 6 3" xfId="32602"/>
    <cellStyle name="20 % - Markeringsfarve4 2 7 7" xfId="11269"/>
    <cellStyle name="20 % - Markeringsfarve4 2 7 8" xfId="22075"/>
    <cellStyle name="20 % - Markeringsfarve4 2 7 9" xfId="22629"/>
    <cellStyle name="20 % - Markeringsfarve4 2 8" xfId="730"/>
    <cellStyle name="20 % - Markeringsfarve4 2 8 2" xfId="1562"/>
    <cellStyle name="20 % - Markeringsfarve4 2 8 2 2" xfId="3227"/>
    <cellStyle name="20 % - Markeringsfarve4 2 8 2 2 2" xfId="8215"/>
    <cellStyle name="20 % - Markeringsfarve4 2 8 2 2 2 2" xfId="19022"/>
    <cellStyle name="20 % - Markeringsfarve4 2 8 2 2 2 3" xfId="30379"/>
    <cellStyle name="20 % - Markeringsfarve4 2 8 2 2 3" xfId="14037"/>
    <cellStyle name="20 % - Markeringsfarve4 2 8 2 2 4" xfId="25395"/>
    <cellStyle name="20 % - Markeringsfarve4 2 8 2 3" xfId="4891"/>
    <cellStyle name="20 % - Markeringsfarve4 2 8 2 3 2" xfId="9876"/>
    <cellStyle name="20 % - Markeringsfarve4 2 8 2 3 2 2" xfId="20683"/>
    <cellStyle name="20 % - Markeringsfarve4 2 8 2 3 2 3" xfId="32040"/>
    <cellStyle name="20 % - Markeringsfarve4 2 8 2 3 3" xfId="15698"/>
    <cellStyle name="20 % - Markeringsfarve4 2 8 2 3 4" xfId="27056"/>
    <cellStyle name="20 % - Markeringsfarve4 2 8 2 4" xfId="6553"/>
    <cellStyle name="20 % - Markeringsfarve4 2 8 2 4 2" xfId="17361"/>
    <cellStyle name="20 % - Markeringsfarve4 2 8 2 4 3" xfId="28718"/>
    <cellStyle name="20 % - Markeringsfarve4 2 8 2 5" xfId="12376"/>
    <cellStyle name="20 % - Markeringsfarve4 2 8 2 6" xfId="23734"/>
    <cellStyle name="20 % - Markeringsfarve4 2 8 3" xfId="2396"/>
    <cellStyle name="20 % - Markeringsfarve4 2 8 3 2" xfId="7384"/>
    <cellStyle name="20 % - Markeringsfarve4 2 8 3 2 2" xfId="18191"/>
    <cellStyle name="20 % - Markeringsfarve4 2 8 3 2 3" xfId="29548"/>
    <cellStyle name="20 % - Markeringsfarve4 2 8 3 3" xfId="13206"/>
    <cellStyle name="20 % - Markeringsfarve4 2 8 3 4" xfId="24564"/>
    <cellStyle name="20 % - Markeringsfarve4 2 8 4" xfId="4060"/>
    <cellStyle name="20 % - Markeringsfarve4 2 8 4 2" xfId="9045"/>
    <cellStyle name="20 % - Markeringsfarve4 2 8 4 2 2" xfId="19852"/>
    <cellStyle name="20 % - Markeringsfarve4 2 8 4 2 3" xfId="31209"/>
    <cellStyle name="20 % - Markeringsfarve4 2 8 4 3" xfId="14867"/>
    <cellStyle name="20 % - Markeringsfarve4 2 8 4 4" xfId="26225"/>
    <cellStyle name="20 % - Markeringsfarve4 2 8 5" xfId="5722"/>
    <cellStyle name="20 % - Markeringsfarve4 2 8 5 2" xfId="16530"/>
    <cellStyle name="20 % - Markeringsfarve4 2 8 5 3" xfId="27887"/>
    <cellStyle name="20 % - Markeringsfarve4 2 8 6" xfId="10709"/>
    <cellStyle name="20 % - Markeringsfarve4 2 8 6 2" xfId="21516"/>
    <cellStyle name="20 % - Markeringsfarve4 2 8 6 3" xfId="32873"/>
    <cellStyle name="20 % - Markeringsfarve4 2 8 7" xfId="11544"/>
    <cellStyle name="20 % - Markeringsfarve4 2 8 8" xfId="22903"/>
    <cellStyle name="20 % - Markeringsfarve4 2 9" xfId="1009"/>
    <cellStyle name="20 % - Markeringsfarve4 2 9 2" xfId="2674"/>
    <cellStyle name="20 % - Markeringsfarve4 2 9 2 2" xfId="7662"/>
    <cellStyle name="20 % - Markeringsfarve4 2 9 2 2 2" xfId="18469"/>
    <cellStyle name="20 % - Markeringsfarve4 2 9 2 2 3" xfId="29826"/>
    <cellStyle name="20 % - Markeringsfarve4 2 9 2 3" xfId="13484"/>
    <cellStyle name="20 % - Markeringsfarve4 2 9 2 4" xfId="24842"/>
    <cellStyle name="20 % - Markeringsfarve4 2 9 3" xfId="4338"/>
    <cellStyle name="20 % - Markeringsfarve4 2 9 3 2" xfId="9323"/>
    <cellStyle name="20 % - Markeringsfarve4 2 9 3 2 2" xfId="20130"/>
    <cellStyle name="20 % - Markeringsfarve4 2 9 3 2 3" xfId="31487"/>
    <cellStyle name="20 % - Markeringsfarve4 2 9 3 3" xfId="15145"/>
    <cellStyle name="20 % - Markeringsfarve4 2 9 3 4" xfId="26503"/>
    <cellStyle name="20 % - Markeringsfarve4 2 9 4" xfId="6000"/>
    <cellStyle name="20 % - Markeringsfarve4 2 9 4 2" xfId="16808"/>
    <cellStyle name="20 % - Markeringsfarve4 2 9 4 3" xfId="28165"/>
    <cellStyle name="20 % - Markeringsfarve4 2 9 5" xfId="11823"/>
    <cellStyle name="20 % - Markeringsfarve4 2 9 6" xfId="23181"/>
    <cellStyle name="20 % - Markeringsfarve4 3" xfId="183"/>
    <cellStyle name="20 % - Markeringsfarve4 3 10" xfId="21841"/>
    <cellStyle name="20 % - Markeringsfarve4 3 11" xfId="22394"/>
    <cellStyle name="20 % - Markeringsfarve4 3 12" xfId="33197"/>
    <cellStyle name="20 % - Markeringsfarve4 3 13" xfId="33470"/>
    <cellStyle name="20 % - Markeringsfarve4 3 14" xfId="33741"/>
    <cellStyle name="20 % - Markeringsfarve4 3 2" xfId="503"/>
    <cellStyle name="20 % - Markeringsfarve4 3 2 2" xfId="1333"/>
    <cellStyle name="20 % - Markeringsfarve4 3 2 2 2" xfId="2998"/>
    <cellStyle name="20 % - Markeringsfarve4 3 2 2 2 2" xfId="7986"/>
    <cellStyle name="20 % - Markeringsfarve4 3 2 2 2 2 2" xfId="18793"/>
    <cellStyle name="20 % - Markeringsfarve4 3 2 2 2 2 3" xfId="30150"/>
    <cellStyle name="20 % - Markeringsfarve4 3 2 2 2 3" xfId="13808"/>
    <cellStyle name="20 % - Markeringsfarve4 3 2 2 2 4" xfId="25166"/>
    <cellStyle name="20 % - Markeringsfarve4 3 2 2 3" xfId="4662"/>
    <cellStyle name="20 % - Markeringsfarve4 3 2 2 3 2" xfId="9647"/>
    <cellStyle name="20 % - Markeringsfarve4 3 2 2 3 2 2" xfId="20454"/>
    <cellStyle name="20 % - Markeringsfarve4 3 2 2 3 2 3" xfId="31811"/>
    <cellStyle name="20 % - Markeringsfarve4 3 2 2 3 3" xfId="15469"/>
    <cellStyle name="20 % - Markeringsfarve4 3 2 2 3 4" xfId="26827"/>
    <cellStyle name="20 % - Markeringsfarve4 3 2 2 4" xfId="6324"/>
    <cellStyle name="20 % - Markeringsfarve4 3 2 2 4 2" xfId="17132"/>
    <cellStyle name="20 % - Markeringsfarve4 3 2 2 4 3" xfId="28489"/>
    <cellStyle name="20 % - Markeringsfarve4 3 2 2 5" xfId="12147"/>
    <cellStyle name="20 % - Markeringsfarve4 3 2 2 6" xfId="23505"/>
    <cellStyle name="20 % - Markeringsfarve4 3 2 3" xfId="2169"/>
    <cellStyle name="20 % - Markeringsfarve4 3 2 3 2" xfId="7157"/>
    <cellStyle name="20 % - Markeringsfarve4 3 2 3 2 2" xfId="17964"/>
    <cellStyle name="20 % - Markeringsfarve4 3 2 3 2 3" xfId="29321"/>
    <cellStyle name="20 % - Markeringsfarve4 3 2 3 3" xfId="12979"/>
    <cellStyle name="20 % - Markeringsfarve4 3 2 3 4" xfId="24337"/>
    <cellStyle name="20 % - Markeringsfarve4 3 2 4" xfId="3833"/>
    <cellStyle name="20 % - Markeringsfarve4 3 2 4 2" xfId="8818"/>
    <cellStyle name="20 % - Markeringsfarve4 3 2 4 2 2" xfId="19625"/>
    <cellStyle name="20 % - Markeringsfarve4 3 2 4 2 3" xfId="30982"/>
    <cellStyle name="20 % - Markeringsfarve4 3 2 4 3" xfId="14640"/>
    <cellStyle name="20 % - Markeringsfarve4 3 2 4 4" xfId="25998"/>
    <cellStyle name="20 % - Markeringsfarve4 3 2 5" xfId="5495"/>
    <cellStyle name="20 % - Markeringsfarve4 3 2 5 2" xfId="16303"/>
    <cellStyle name="20 % - Markeringsfarve4 3 2 5 3" xfId="27660"/>
    <cellStyle name="20 % - Markeringsfarve4 3 2 6" xfId="10480"/>
    <cellStyle name="20 % - Markeringsfarve4 3 2 6 2" xfId="21287"/>
    <cellStyle name="20 % - Markeringsfarve4 3 2 6 3" xfId="32644"/>
    <cellStyle name="20 % - Markeringsfarve4 3 2 7" xfId="11314"/>
    <cellStyle name="20 % - Markeringsfarve4 3 2 8" xfId="22120"/>
    <cellStyle name="20 % - Markeringsfarve4 3 2 9" xfId="22674"/>
    <cellStyle name="20 % - Markeringsfarve4 3 3" xfId="775"/>
    <cellStyle name="20 % - Markeringsfarve4 3 3 2" xfId="1607"/>
    <cellStyle name="20 % - Markeringsfarve4 3 3 2 2" xfId="3272"/>
    <cellStyle name="20 % - Markeringsfarve4 3 3 2 2 2" xfId="8260"/>
    <cellStyle name="20 % - Markeringsfarve4 3 3 2 2 2 2" xfId="19067"/>
    <cellStyle name="20 % - Markeringsfarve4 3 3 2 2 2 3" xfId="30424"/>
    <cellStyle name="20 % - Markeringsfarve4 3 3 2 2 3" xfId="14082"/>
    <cellStyle name="20 % - Markeringsfarve4 3 3 2 2 4" xfId="25440"/>
    <cellStyle name="20 % - Markeringsfarve4 3 3 2 3" xfId="4936"/>
    <cellStyle name="20 % - Markeringsfarve4 3 3 2 3 2" xfId="9921"/>
    <cellStyle name="20 % - Markeringsfarve4 3 3 2 3 2 2" xfId="20728"/>
    <cellStyle name="20 % - Markeringsfarve4 3 3 2 3 2 3" xfId="32085"/>
    <cellStyle name="20 % - Markeringsfarve4 3 3 2 3 3" xfId="15743"/>
    <cellStyle name="20 % - Markeringsfarve4 3 3 2 3 4" xfId="27101"/>
    <cellStyle name="20 % - Markeringsfarve4 3 3 2 4" xfId="6598"/>
    <cellStyle name="20 % - Markeringsfarve4 3 3 2 4 2" xfId="17406"/>
    <cellStyle name="20 % - Markeringsfarve4 3 3 2 4 3" xfId="28763"/>
    <cellStyle name="20 % - Markeringsfarve4 3 3 2 5" xfId="12421"/>
    <cellStyle name="20 % - Markeringsfarve4 3 3 2 6" xfId="23779"/>
    <cellStyle name="20 % - Markeringsfarve4 3 3 3" xfId="2441"/>
    <cellStyle name="20 % - Markeringsfarve4 3 3 3 2" xfId="7429"/>
    <cellStyle name="20 % - Markeringsfarve4 3 3 3 2 2" xfId="18236"/>
    <cellStyle name="20 % - Markeringsfarve4 3 3 3 2 3" xfId="29593"/>
    <cellStyle name="20 % - Markeringsfarve4 3 3 3 3" xfId="13251"/>
    <cellStyle name="20 % - Markeringsfarve4 3 3 3 4" xfId="24609"/>
    <cellStyle name="20 % - Markeringsfarve4 3 3 4" xfId="4105"/>
    <cellStyle name="20 % - Markeringsfarve4 3 3 4 2" xfId="9090"/>
    <cellStyle name="20 % - Markeringsfarve4 3 3 4 2 2" xfId="19897"/>
    <cellStyle name="20 % - Markeringsfarve4 3 3 4 2 3" xfId="31254"/>
    <cellStyle name="20 % - Markeringsfarve4 3 3 4 3" xfId="14912"/>
    <cellStyle name="20 % - Markeringsfarve4 3 3 4 4" xfId="26270"/>
    <cellStyle name="20 % - Markeringsfarve4 3 3 5" xfId="5767"/>
    <cellStyle name="20 % - Markeringsfarve4 3 3 5 2" xfId="16575"/>
    <cellStyle name="20 % - Markeringsfarve4 3 3 5 3" xfId="27932"/>
    <cellStyle name="20 % - Markeringsfarve4 3 3 6" xfId="10754"/>
    <cellStyle name="20 % - Markeringsfarve4 3 3 6 2" xfId="21561"/>
    <cellStyle name="20 % - Markeringsfarve4 3 3 6 3" xfId="32918"/>
    <cellStyle name="20 % - Markeringsfarve4 3 3 7" xfId="11589"/>
    <cellStyle name="20 % - Markeringsfarve4 3 3 8" xfId="22948"/>
    <cellStyle name="20 % - Markeringsfarve4 3 4" xfId="1054"/>
    <cellStyle name="20 % - Markeringsfarve4 3 4 2" xfId="2719"/>
    <cellStyle name="20 % - Markeringsfarve4 3 4 2 2" xfId="7707"/>
    <cellStyle name="20 % - Markeringsfarve4 3 4 2 2 2" xfId="18514"/>
    <cellStyle name="20 % - Markeringsfarve4 3 4 2 2 3" xfId="29871"/>
    <cellStyle name="20 % - Markeringsfarve4 3 4 2 3" xfId="13529"/>
    <cellStyle name="20 % - Markeringsfarve4 3 4 2 4" xfId="24887"/>
    <cellStyle name="20 % - Markeringsfarve4 3 4 3" xfId="4383"/>
    <cellStyle name="20 % - Markeringsfarve4 3 4 3 2" xfId="9368"/>
    <cellStyle name="20 % - Markeringsfarve4 3 4 3 2 2" xfId="20175"/>
    <cellStyle name="20 % - Markeringsfarve4 3 4 3 2 3" xfId="31532"/>
    <cellStyle name="20 % - Markeringsfarve4 3 4 3 3" xfId="15190"/>
    <cellStyle name="20 % - Markeringsfarve4 3 4 3 4" xfId="26548"/>
    <cellStyle name="20 % - Markeringsfarve4 3 4 4" xfId="6045"/>
    <cellStyle name="20 % - Markeringsfarve4 3 4 4 2" xfId="16853"/>
    <cellStyle name="20 % - Markeringsfarve4 3 4 4 3" xfId="28210"/>
    <cellStyle name="20 % - Markeringsfarve4 3 4 5" xfId="11868"/>
    <cellStyle name="20 % - Markeringsfarve4 3 4 6" xfId="23226"/>
    <cellStyle name="20 % - Markeringsfarve4 3 5" xfId="1889"/>
    <cellStyle name="20 % - Markeringsfarve4 3 5 2" xfId="6877"/>
    <cellStyle name="20 % - Markeringsfarve4 3 5 2 2" xfId="17685"/>
    <cellStyle name="20 % - Markeringsfarve4 3 5 2 3" xfId="29042"/>
    <cellStyle name="20 % - Markeringsfarve4 3 5 3" xfId="12700"/>
    <cellStyle name="20 % - Markeringsfarve4 3 5 4" xfId="24058"/>
    <cellStyle name="20 % - Markeringsfarve4 3 6" xfId="3554"/>
    <cellStyle name="20 % - Markeringsfarve4 3 6 2" xfId="8539"/>
    <cellStyle name="20 % - Markeringsfarve4 3 6 2 2" xfId="19346"/>
    <cellStyle name="20 % - Markeringsfarve4 3 6 2 3" xfId="30703"/>
    <cellStyle name="20 % - Markeringsfarve4 3 6 3" xfId="14361"/>
    <cellStyle name="20 % - Markeringsfarve4 3 6 4" xfId="25719"/>
    <cellStyle name="20 % - Markeringsfarve4 3 7" xfId="5215"/>
    <cellStyle name="20 % - Markeringsfarve4 3 7 2" xfId="16024"/>
    <cellStyle name="20 % - Markeringsfarve4 3 7 3" xfId="27381"/>
    <cellStyle name="20 % - Markeringsfarve4 3 8" xfId="10200"/>
    <cellStyle name="20 % - Markeringsfarve4 3 8 2" xfId="21007"/>
    <cellStyle name="20 % - Markeringsfarve4 3 8 3" xfId="32364"/>
    <cellStyle name="20 % - Markeringsfarve4 3 9" xfId="11034"/>
    <cellStyle name="20 % - Markeringsfarve4 4" xfId="236"/>
    <cellStyle name="20 % - Markeringsfarve4 4 10" xfId="21894"/>
    <cellStyle name="20 % - Markeringsfarve4 4 11" xfId="22447"/>
    <cellStyle name="20 % - Markeringsfarve4 4 12" xfId="33250"/>
    <cellStyle name="20 % - Markeringsfarve4 4 13" xfId="33525"/>
    <cellStyle name="20 % - Markeringsfarve4 4 14" xfId="33796"/>
    <cellStyle name="20 % - Markeringsfarve4 4 2" xfId="554"/>
    <cellStyle name="20 % - Markeringsfarve4 4 2 2" xfId="1386"/>
    <cellStyle name="20 % - Markeringsfarve4 4 2 2 2" xfId="3051"/>
    <cellStyle name="20 % - Markeringsfarve4 4 2 2 2 2" xfId="8039"/>
    <cellStyle name="20 % - Markeringsfarve4 4 2 2 2 2 2" xfId="18846"/>
    <cellStyle name="20 % - Markeringsfarve4 4 2 2 2 2 3" xfId="30203"/>
    <cellStyle name="20 % - Markeringsfarve4 4 2 2 2 3" xfId="13861"/>
    <cellStyle name="20 % - Markeringsfarve4 4 2 2 2 4" xfId="25219"/>
    <cellStyle name="20 % - Markeringsfarve4 4 2 2 3" xfId="4715"/>
    <cellStyle name="20 % - Markeringsfarve4 4 2 2 3 2" xfId="9700"/>
    <cellStyle name="20 % - Markeringsfarve4 4 2 2 3 2 2" xfId="20507"/>
    <cellStyle name="20 % - Markeringsfarve4 4 2 2 3 2 3" xfId="31864"/>
    <cellStyle name="20 % - Markeringsfarve4 4 2 2 3 3" xfId="15522"/>
    <cellStyle name="20 % - Markeringsfarve4 4 2 2 3 4" xfId="26880"/>
    <cellStyle name="20 % - Markeringsfarve4 4 2 2 4" xfId="6377"/>
    <cellStyle name="20 % - Markeringsfarve4 4 2 2 4 2" xfId="17185"/>
    <cellStyle name="20 % - Markeringsfarve4 4 2 2 4 3" xfId="28542"/>
    <cellStyle name="20 % - Markeringsfarve4 4 2 2 5" xfId="12200"/>
    <cellStyle name="20 % - Markeringsfarve4 4 2 2 6" xfId="23558"/>
    <cellStyle name="20 % - Markeringsfarve4 4 2 3" xfId="2220"/>
    <cellStyle name="20 % - Markeringsfarve4 4 2 3 2" xfId="7208"/>
    <cellStyle name="20 % - Markeringsfarve4 4 2 3 2 2" xfId="18015"/>
    <cellStyle name="20 % - Markeringsfarve4 4 2 3 2 3" xfId="29372"/>
    <cellStyle name="20 % - Markeringsfarve4 4 2 3 3" xfId="13030"/>
    <cellStyle name="20 % - Markeringsfarve4 4 2 3 4" xfId="24388"/>
    <cellStyle name="20 % - Markeringsfarve4 4 2 4" xfId="3884"/>
    <cellStyle name="20 % - Markeringsfarve4 4 2 4 2" xfId="8869"/>
    <cellStyle name="20 % - Markeringsfarve4 4 2 4 2 2" xfId="19676"/>
    <cellStyle name="20 % - Markeringsfarve4 4 2 4 2 3" xfId="31033"/>
    <cellStyle name="20 % - Markeringsfarve4 4 2 4 3" xfId="14691"/>
    <cellStyle name="20 % - Markeringsfarve4 4 2 4 4" xfId="26049"/>
    <cellStyle name="20 % - Markeringsfarve4 4 2 5" xfId="5546"/>
    <cellStyle name="20 % - Markeringsfarve4 4 2 5 2" xfId="16354"/>
    <cellStyle name="20 % - Markeringsfarve4 4 2 5 3" xfId="27711"/>
    <cellStyle name="20 % - Markeringsfarve4 4 2 6" xfId="10533"/>
    <cellStyle name="20 % - Markeringsfarve4 4 2 6 2" xfId="21340"/>
    <cellStyle name="20 % - Markeringsfarve4 4 2 6 3" xfId="32697"/>
    <cellStyle name="20 % - Markeringsfarve4 4 2 7" xfId="11367"/>
    <cellStyle name="20 % - Markeringsfarve4 4 2 8" xfId="22173"/>
    <cellStyle name="20 % - Markeringsfarve4 4 2 9" xfId="22727"/>
    <cellStyle name="20 % - Markeringsfarve4 4 3" xfId="828"/>
    <cellStyle name="20 % - Markeringsfarve4 4 3 2" xfId="1660"/>
    <cellStyle name="20 % - Markeringsfarve4 4 3 2 2" xfId="3325"/>
    <cellStyle name="20 % - Markeringsfarve4 4 3 2 2 2" xfId="8313"/>
    <cellStyle name="20 % - Markeringsfarve4 4 3 2 2 2 2" xfId="19120"/>
    <cellStyle name="20 % - Markeringsfarve4 4 3 2 2 2 3" xfId="30477"/>
    <cellStyle name="20 % - Markeringsfarve4 4 3 2 2 3" xfId="14135"/>
    <cellStyle name="20 % - Markeringsfarve4 4 3 2 2 4" xfId="25493"/>
    <cellStyle name="20 % - Markeringsfarve4 4 3 2 3" xfId="4989"/>
    <cellStyle name="20 % - Markeringsfarve4 4 3 2 3 2" xfId="9974"/>
    <cellStyle name="20 % - Markeringsfarve4 4 3 2 3 2 2" xfId="20781"/>
    <cellStyle name="20 % - Markeringsfarve4 4 3 2 3 2 3" xfId="32138"/>
    <cellStyle name="20 % - Markeringsfarve4 4 3 2 3 3" xfId="15796"/>
    <cellStyle name="20 % - Markeringsfarve4 4 3 2 3 4" xfId="27154"/>
    <cellStyle name="20 % - Markeringsfarve4 4 3 2 4" xfId="6651"/>
    <cellStyle name="20 % - Markeringsfarve4 4 3 2 4 2" xfId="17459"/>
    <cellStyle name="20 % - Markeringsfarve4 4 3 2 4 3" xfId="28816"/>
    <cellStyle name="20 % - Markeringsfarve4 4 3 2 5" xfId="12474"/>
    <cellStyle name="20 % - Markeringsfarve4 4 3 2 6" xfId="23832"/>
    <cellStyle name="20 % - Markeringsfarve4 4 3 3" xfId="2494"/>
    <cellStyle name="20 % - Markeringsfarve4 4 3 3 2" xfId="7482"/>
    <cellStyle name="20 % - Markeringsfarve4 4 3 3 2 2" xfId="18289"/>
    <cellStyle name="20 % - Markeringsfarve4 4 3 3 2 3" xfId="29646"/>
    <cellStyle name="20 % - Markeringsfarve4 4 3 3 3" xfId="13304"/>
    <cellStyle name="20 % - Markeringsfarve4 4 3 3 4" xfId="24662"/>
    <cellStyle name="20 % - Markeringsfarve4 4 3 4" xfId="4158"/>
    <cellStyle name="20 % - Markeringsfarve4 4 3 4 2" xfId="9143"/>
    <cellStyle name="20 % - Markeringsfarve4 4 3 4 2 2" xfId="19950"/>
    <cellStyle name="20 % - Markeringsfarve4 4 3 4 2 3" xfId="31307"/>
    <cellStyle name="20 % - Markeringsfarve4 4 3 4 3" xfId="14965"/>
    <cellStyle name="20 % - Markeringsfarve4 4 3 4 4" xfId="26323"/>
    <cellStyle name="20 % - Markeringsfarve4 4 3 5" xfId="5820"/>
    <cellStyle name="20 % - Markeringsfarve4 4 3 5 2" xfId="16628"/>
    <cellStyle name="20 % - Markeringsfarve4 4 3 5 3" xfId="27985"/>
    <cellStyle name="20 % - Markeringsfarve4 4 3 6" xfId="10807"/>
    <cellStyle name="20 % - Markeringsfarve4 4 3 6 2" xfId="21614"/>
    <cellStyle name="20 % - Markeringsfarve4 4 3 6 3" xfId="32971"/>
    <cellStyle name="20 % - Markeringsfarve4 4 3 7" xfId="11642"/>
    <cellStyle name="20 % - Markeringsfarve4 4 3 8" xfId="23001"/>
    <cellStyle name="20 % - Markeringsfarve4 4 4" xfId="1107"/>
    <cellStyle name="20 % - Markeringsfarve4 4 4 2" xfId="2772"/>
    <cellStyle name="20 % - Markeringsfarve4 4 4 2 2" xfId="7760"/>
    <cellStyle name="20 % - Markeringsfarve4 4 4 2 2 2" xfId="18567"/>
    <cellStyle name="20 % - Markeringsfarve4 4 4 2 2 3" xfId="29924"/>
    <cellStyle name="20 % - Markeringsfarve4 4 4 2 3" xfId="13582"/>
    <cellStyle name="20 % - Markeringsfarve4 4 4 2 4" xfId="24940"/>
    <cellStyle name="20 % - Markeringsfarve4 4 4 3" xfId="4436"/>
    <cellStyle name="20 % - Markeringsfarve4 4 4 3 2" xfId="9421"/>
    <cellStyle name="20 % - Markeringsfarve4 4 4 3 2 2" xfId="20228"/>
    <cellStyle name="20 % - Markeringsfarve4 4 4 3 2 3" xfId="31585"/>
    <cellStyle name="20 % - Markeringsfarve4 4 4 3 3" xfId="15243"/>
    <cellStyle name="20 % - Markeringsfarve4 4 4 3 4" xfId="26601"/>
    <cellStyle name="20 % - Markeringsfarve4 4 4 4" xfId="6098"/>
    <cellStyle name="20 % - Markeringsfarve4 4 4 4 2" xfId="16906"/>
    <cellStyle name="20 % - Markeringsfarve4 4 4 4 3" xfId="28263"/>
    <cellStyle name="20 % - Markeringsfarve4 4 4 5" xfId="11921"/>
    <cellStyle name="20 % - Markeringsfarve4 4 4 6" xfId="23279"/>
    <cellStyle name="20 % - Markeringsfarve4 4 5" xfId="1942"/>
    <cellStyle name="20 % - Markeringsfarve4 4 5 2" xfId="6930"/>
    <cellStyle name="20 % - Markeringsfarve4 4 5 2 2" xfId="17738"/>
    <cellStyle name="20 % - Markeringsfarve4 4 5 2 3" xfId="29095"/>
    <cellStyle name="20 % - Markeringsfarve4 4 5 3" xfId="12753"/>
    <cellStyle name="20 % - Markeringsfarve4 4 5 4" xfId="24111"/>
    <cellStyle name="20 % - Markeringsfarve4 4 6" xfId="3607"/>
    <cellStyle name="20 % - Markeringsfarve4 4 6 2" xfId="8592"/>
    <cellStyle name="20 % - Markeringsfarve4 4 6 2 2" xfId="19399"/>
    <cellStyle name="20 % - Markeringsfarve4 4 6 2 3" xfId="30756"/>
    <cellStyle name="20 % - Markeringsfarve4 4 6 3" xfId="14414"/>
    <cellStyle name="20 % - Markeringsfarve4 4 6 4" xfId="25772"/>
    <cellStyle name="20 % - Markeringsfarve4 4 7" xfId="5268"/>
    <cellStyle name="20 % - Markeringsfarve4 4 7 2" xfId="16077"/>
    <cellStyle name="20 % - Markeringsfarve4 4 7 3" xfId="27434"/>
    <cellStyle name="20 % - Markeringsfarve4 4 8" xfId="10253"/>
    <cellStyle name="20 % - Markeringsfarve4 4 8 2" xfId="21060"/>
    <cellStyle name="20 % - Markeringsfarve4 4 8 3" xfId="32417"/>
    <cellStyle name="20 % - Markeringsfarve4 4 9" xfId="11087"/>
    <cellStyle name="20 % - Markeringsfarve4 5" xfId="292"/>
    <cellStyle name="20 % - Markeringsfarve4 5 10" xfId="21949"/>
    <cellStyle name="20 % - Markeringsfarve4 5 11" xfId="22502"/>
    <cellStyle name="20 % - Markeringsfarve4 5 12" xfId="33305"/>
    <cellStyle name="20 % - Markeringsfarve4 5 13" xfId="33580"/>
    <cellStyle name="20 % - Markeringsfarve4 5 14" xfId="33851"/>
    <cellStyle name="20 % - Markeringsfarve4 5 2" xfId="609"/>
    <cellStyle name="20 % - Markeringsfarve4 5 2 2" xfId="1441"/>
    <cellStyle name="20 % - Markeringsfarve4 5 2 2 2" xfId="3106"/>
    <cellStyle name="20 % - Markeringsfarve4 5 2 2 2 2" xfId="8094"/>
    <cellStyle name="20 % - Markeringsfarve4 5 2 2 2 2 2" xfId="18901"/>
    <cellStyle name="20 % - Markeringsfarve4 5 2 2 2 2 3" xfId="30258"/>
    <cellStyle name="20 % - Markeringsfarve4 5 2 2 2 3" xfId="13916"/>
    <cellStyle name="20 % - Markeringsfarve4 5 2 2 2 4" xfId="25274"/>
    <cellStyle name="20 % - Markeringsfarve4 5 2 2 3" xfId="4770"/>
    <cellStyle name="20 % - Markeringsfarve4 5 2 2 3 2" xfId="9755"/>
    <cellStyle name="20 % - Markeringsfarve4 5 2 2 3 2 2" xfId="20562"/>
    <cellStyle name="20 % - Markeringsfarve4 5 2 2 3 2 3" xfId="31919"/>
    <cellStyle name="20 % - Markeringsfarve4 5 2 2 3 3" xfId="15577"/>
    <cellStyle name="20 % - Markeringsfarve4 5 2 2 3 4" xfId="26935"/>
    <cellStyle name="20 % - Markeringsfarve4 5 2 2 4" xfId="6432"/>
    <cellStyle name="20 % - Markeringsfarve4 5 2 2 4 2" xfId="17240"/>
    <cellStyle name="20 % - Markeringsfarve4 5 2 2 4 3" xfId="28597"/>
    <cellStyle name="20 % - Markeringsfarve4 5 2 2 5" xfId="12255"/>
    <cellStyle name="20 % - Markeringsfarve4 5 2 2 6" xfId="23613"/>
    <cellStyle name="20 % - Markeringsfarve4 5 2 3" xfId="2275"/>
    <cellStyle name="20 % - Markeringsfarve4 5 2 3 2" xfId="7263"/>
    <cellStyle name="20 % - Markeringsfarve4 5 2 3 2 2" xfId="18070"/>
    <cellStyle name="20 % - Markeringsfarve4 5 2 3 2 3" xfId="29427"/>
    <cellStyle name="20 % - Markeringsfarve4 5 2 3 3" xfId="13085"/>
    <cellStyle name="20 % - Markeringsfarve4 5 2 3 4" xfId="24443"/>
    <cellStyle name="20 % - Markeringsfarve4 5 2 4" xfId="3939"/>
    <cellStyle name="20 % - Markeringsfarve4 5 2 4 2" xfId="8924"/>
    <cellStyle name="20 % - Markeringsfarve4 5 2 4 2 2" xfId="19731"/>
    <cellStyle name="20 % - Markeringsfarve4 5 2 4 2 3" xfId="31088"/>
    <cellStyle name="20 % - Markeringsfarve4 5 2 4 3" xfId="14746"/>
    <cellStyle name="20 % - Markeringsfarve4 5 2 4 4" xfId="26104"/>
    <cellStyle name="20 % - Markeringsfarve4 5 2 5" xfId="5601"/>
    <cellStyle name="20 % - Markeringsfarve4 5 2 5 2" xfId="16409"/>
    <cellStyle name="20 % - Markeringsfarve4 5 2 5 3" xfId="27766"/>
    <cellStyle name="20 % - Markeringsfarve4 5 2 6" xfId="10588"/>
    <cellStyle name="20 % - Markeringsfarve4 5 2 6 2" xfId="21395"/>
    <cellStyle name="20 % - Markeringsfarve4 5 2 6 3" xfId="32752"/>
    <cellStyle name="20 % - Markeringsfarve4 5 2 7" xfId="11422"/>
    <cellStyle name="20 % - Markeringsfarve4 5 2 8" xfId="22228"/>
    <cellStyle name="20 % - Markeringsfarve4 5 2 9" xfId="22782"/>
    <cellStyle name="20 % - Markeringsfarve4 5 3" xfId="883"/>
    <cellStyle name="20 % - Markeringsfarve4 5 3 2" xfId="1715"/>
    <cellStyle name="20 % - Markeringsfarve4 5 3 2 2" xfId="3380"/>
    <cellStyle name="20 % - Markeringsfarve4 5 3 2 2 2" xfId="8368"/>
    <cellStyle name="20 % - Markeringsfarve4 5 3 2 2 2 2" xfId="19175"/>
    <cellStyle name="20 % - Markeringsfarve4 5 3 2 2 2 3" xfId="30532"/>
    <cellStyle name="20 % - Markeringsfarve4 5 3 2 2 3" xfId="14190"/>
    <cellStyle name="20 % - Markeringsfarve4 5 3 2 2 4" xfId="25548"/>
    <cellStyle name="20 % - Markeringsfarve4 5 3 2 3" xfId="5044"/>
    <cellStyle name="20 % - Markeringsfarve4 5 3 2 3 2" xfId="10029"/>
    <cellStyle name="20 % - Markeringsfarve4 5 3 2 3 2 2" xfId="20836"/>
    <cellStyle name="20 % - Markeringsfarve4 5 3 2 3 2 3" xfId="32193"/>
    <cellStyle name="20 % - Markeringsfarve4 5 3 2 3 3" xfId="15851"/>
    <cellStyle name="20 % - Markeringsfarve4 5 3 2 3 4" xfId="27209"/>
    <cellStyle name="20 % - Markeringsfarve4 5 3 2 4" xfId="6706"/>
    <cellStyle name="20 % - Markeringsfarve4 5 3 2 4 2" xfId="17514"/>
    <cellStyle name="20 % - Markeringsfarve4 5 3 2 4 3" xfId="28871"/>
    <cellStyle name="20 % - Markeringsfarve4 5 3 2 5" xfId="12529"/>
    <cellStyle name="20 % - Markeringsfarve4 5 3 2 6" xfId="23887"/>
    <cellStyle name="20 % - Markeringsfarve4 5 3 3" xfId="2549"/>
    <cellStyle name="20 % - Markeringsfarve4 5 3 3 2" xfId="7537"/>
    <cellStyle name="20 % - Markeringsfarve4 5 3 3 2 2" xfId="18344"/>
    <cellStyle name="20 % - Markeringsfarve4 5 3 3 2 3" xfId="29701"/>
    <cellStyle name="20 % - Markeringsfarve4 5 3 3 3" xfId="13359"/>
    <cellStyle name="20 % - Markeringsfarve4 5 3 3 4" xfId="24717"/>
    <cellStyle name="20 % - Markeringsfarve4 5 3 4" xfId="4213"/>
    <cellStyle name="20 % - Markeringsfarve4 5 3 4 2" xfId="9198"/>
    <cellStyle name="20 % - Markeringsfarve4 5 3 4 2 2" xfId="20005"/>
    <cellStyle name="20 % - Markeringsfarve4 5 3 4 2 3" xfId="31362"/>
    <cellStyle name="20 % - Markeringsfarve4 5 3 4 3" xfId="15020"/>
    <cellStyle name="20 % - Markeringsfarve4 5 3 4 4" xfId="26378"/>
    <cellStyle name="20 % - Markeringsfarve4 5 3 5" xfId="5875"/>
    <cellStyle name="20 % - Markeringsfarve4 5 3 5 2" xfId="16683"/>
    <cellStyle name="20 % - Markeringsfarve4 5 3 5 3" xfId="28040"/>
    <cellStyle name="20 % - Markeringsfarve4 5 3 6" xfId="10862"/>
    <cellStyle name="20 % - Markeringsfarve4 5 3 6 2" xfId="21669"/>
    <cellStyle name="20 % - Markeringsfarve4 5 3 6 3" xfId="33026"/>
    <cellStyle name="20 % - Markeringsfarve4 5 3 7" xfId="11697"/>
    <cellStyle name="20 % - Markeringsfarve4 5 3 8" xfId="23056"/>
    <cellStyle name="20 % - Markeringsfarve4 5 4" xfId="1162"/>
    <cellStyle name="20 % - Markeringsfarve4 5 4 2" xfId="2827"/>
    <cellStyle name="20 % - Markeringsfarve4 5 4 2 2" xfId="7815"/>
    <cellStyle name="20 % - Markeringsfarve4 5 4 2 2 2" xfId="18622"/>
    <cellStyle name="20 % - Markeringsfarve4 5 4 2 2 3" xfId="29979"/>
    <cellStyle name="20 % - Markeringsfarve4 5 4 2 3" xfId="13637"/>
    <cellStyle name="20 % - Markeringsfarve4 5 4 2 4" xfId="24995"/>
    <cellStyle name="20 % - Markeringsfarve4 5 4 3" xfId="4491"/>
    <cellStyle name="20 % - Markeringsfarve4 5 4 3 2" xfId="9476"/>
    <cellStyle name="20 % - Markeringsfarve4 5 4 3 2 2" xfId="20283"/>
    <cellStyle name="20 % - Markeringsfarve4 5 4 3 2 3" xfId="31640"/>
    <cellStyle name="20 % - Markeringsfarve4 5 4 3 3" xfId="15298"/>
    <cellStyle name="20 % - Markeringsfarve4 5 4 3 4" xfId="26656"/>
    <cellStyle name="20 % - Markeringsfarve4 5 4 4" xfId="6153"/>
    <cellStyle name="20 % - Markeringsfarve4 5 4 4 2" xfId="16961"/>
    <cellStyle name="20 % - Markeringsfarve4 5 4 4 3" xfId="28318"/>
    <cellStyle name="20 % - Markeringsfarve4 5 4 5" xfId="11976"/>
    <cellStyle name="20 % - Markeringsfarve4 5 4 6" xfId="23334"/>
    <cellStyle name="20 % - Markeringsfarve4 5 5" xfId="1997"/>
    <cellStyle name="20 % - Markeringsfarve4 5 5 2" xfId="6985"/>
    <cellStyle name="20 % - Markeringsfarve4 5 5 2 2" xfId="17793"/>
    <cellStyle name="20 % - Markeringsfarve4 5 5 2 3" xfId="29150"/>
    <cellStyle name="20 % - Markeringsfarve4 5 5 3" xfId="12808"/>
    <cellStyle name="20 % - Markeringsfarve4 5 5 4" xfId="24166"/>
    <cellStyle name="20 % - Markeringsfarve4 5 6" xfId="3662"/>
    <cellStyle name="20 % - Markeringsfarve4 5 6 2" xfId="8647"/>
    <cellStyle name="20 % - Markeringsfarve4 5 6 2 2" xfId="19454"/>
    <cellStyle name="20 % - Markeringsfarve4 5 6 2 3" xfId="30811"/>
    <cellStyle name="20 % - Markeringsfarve4 5 6 3" xfId="14469"/>
    <cellStyle name="20 % - Markeringsfarve4 5 6 4" xfId="25827"/>
    <cellStyle name="20 % - Markeringsfarve4 5 7" xfId="5323"/>
    <cellStyle name="20 % - Markeringsfarve4 5 7 2" xfId="16132"/>
    <cellStyle name="20 % - Markeringsfarve4 5 7 3" xfId="27489"/>
    <cellStyle name="20 % - Markeringsfarve4 5 8" xfId="10308"/>
    <cellStyle name="20 % - Markeringsfarve4 5 8 2" xfId="21115"/>
    <cellStyle name="20 % - Markeringsfarve4 5 8 3" xfId="32472"/>
    <cellStyle name="20 % - Markeringsfarve4 5 9" xfId="11142"/>
    <cellStyle name="20 % - Markeringsfarve4 6" xfId="347"/>
    <cellStyle name="20 % - Markeringsfarve4 6 10" xfId="22004"/>
    <cellStyle name="20 % - Markeringsfarve4 6 11" xfId="22557"/>
    <cellStyle name="20 % - Markeringsfarve4 6 12" xfId="33360"/>
    <cellStyle name="20 % - Markeringsfarve4 6 13" xfId="33635"/>
    <cellStyle name="20 % - Markeringsfarve4 6 14" xfId="33906"/>
    <cellStyle name="20 % - Markeringsfarve4 6 2" xfId="664"/>
    <cellStyle name="20 % - Markeringsfarve4 6 2 2" xfId="1496"/>
    <cellStyle name="20 % - Markeringsfarve4 6 2 2 2" xfId="3161"/>
    <cellStyle name="20 % - Markeringsfarve4 6 2 2 2 2" xfId="8149"/>
    <cellStyle name="20 % - Markeringsfarve4 6 2 2 2 2 2" xfId="18956"/>
    <cellStyle name="20 % - Markeringsfarve4 6 2 2 2 2 3" xfId="30313"/>
    <cellStyle name="20 % - Markeringsfarve4 6 2 2 2 3" xfId="13971"/>
    <cellStyle name="20 % - Markeringsfarve4 6 2 2 2 4" xfId="25329"/>
    <cellStyle name="20 % - Markeringsfarve4 6 2 2 3" xfId="4825"/>
    <cellStyle name="20 % - Markeringsfarve4 6 2 2 3 2" xfId="9810"/>
    <cellStyle name="20 % - Markeringsfarve4 6 2 2 3 2 2" xfId="20617"/>
    <cellStyle name="20 % - Markeringsfarve4 6 2 2 3 2 3" xfId="31974"/>
    <cellStyle name="20 % - Markeringsfarve4 6 2 2 3 3" xfId="15632"/>
    <cellStyle name="20 % - Markeringsfarve4 6 2 2 3 4" xfId="26990"/>
    <cellStyle name="20 % - Markeringsfarve4 6 2 2 4" xfId="6487"/>
    <cellStyle name="20 % - Markeringsfarve4 6 2 2 4 2" xfId="17295"/>
    <cellStyle name="20 % - Markeringsfarve4 6 2 2 4 3" xfId="28652"/>
    <cellStyle name="20 % - Markeringsfarve4 6 2 2 5" xfId="12310"/>
    <cellStyle name="20 % - Markeringsfarve4 6 2 2 6" xfId="23668"/>
    <cellStyle name="20 % - Markeringsfarve4 6 2 3" xfId="2330"/>
    <cellStyle name="20 % - Markeringsfarve4 6 2 3 2" xfId="7318"/>
    <cellStyle name="20 % - Markeringsfarve4 6 2 3 2 2" xfId="18125"/>
    <cellStyle name="20 % - Markeringsfarve4 6 2 3 2 3" xfId="29482"/>
    <cellStyle name="20 % - Markeringsfarve4 6 2 3 3" xfId="13140"/>
    <cellStyle name="20 % - Markeringsfarve4 6 2 3 4" xfId="24498"/>
    <cellStyle name="20 % - Markeringsfarve4 6 2 4" xfId="3994"/>
    <cellStyle name="20 % - Markeringsfarve4 6 2 4 2" xfId="8979"/>
    <cellStyle name="20 % - Markeringsfarve4 6 2 4 2 2" xfId="19786"/>
    <cellStyle name="20 % - Markeringsfarve4 6 2 4 2 3" xfId="31143"/>
    <cellStyle name="20 % - Markeringsfarve4 6 2 4 3" xfId="14801"/>
    <cellStyle name="20 % - Markeringsfarve4 6 2 4 4" xfId="26159"/>
    <cellStyle name="20 % - Markeringsfarve4 6 2 5" xfId="5656"/>
    <cellStyle name="20 % - Markeringsfarve4 6 2 5 2" xfId="16464"/>
    <cellStyle name="20 % - Markeringsfarve4 6 2 5 3" xfId="27821"/>
    <cellStyle name="20 % - Markeringsfarve4 6 2 6" xfId="10643"/>
    <cellStyle name="20 % - Markeringsfarve4 6 2 6 2" xfId="21450"/>
    <cellStyle name="20 % - Markeringsfarve4 6 2 6 3" xfId="32807"/>
    <cellStyle name="20 % - Markeringsfarve4 6 2 7" xfId="11477"/>
    <cellStyle name="20 % - Markeringsfarve4 6 2 8" xfId="22283"/>
    <cellStyle name="20 % - Markeringsfarve4 6 2 9" xfId="22837"/>
    <cellStyle name="20 % - Markeringsfarve4 6 3" xfId="938"/>
    <cellStyle name="20 % - Markeringsfarve4 6 3 2" xfId="1770"/>
    <cellStyle name="20 % - Markeringsfarve4 6 3 2 2" xfId="3435"/>
    <cellStyle name="20 % - Markeringsfarve4 6 3 2 2 2" xfId="8423"/>
    <cellStyle name="20 % - Markeringsfarve4 6 3 2 2 2 2" xfId="19230"/>
    <cellStyle name="20 % - Markeringsfarve4 6 3 2 2 2 3" xfId="30587"/>
    <cellStyle name="20 % - Markeringsfarve4 6 3 2 2 3" xfId="14245"/>
    <cellStyle name="20 % - Markeringsfarve4 6 3 2 2 4" xfId="25603"/>
    <cellStyle name="20 % - Markeringsfarve4 6 3 2 3" xfId="5099"/>
    <cellStyle name="20 % - Markeringsfarve4 6 3 2 3 2" xfId="10084"/>
    <cellStyle name="20 % - Markeringsfarve4 6 3 2 3 2 2" xfId="20891"/>
    <cellStyle name="20 % - Markeringsfarve4 6 3 2 3 2 3" xfId="32248"/>
    <cellStyle name="20 % - Markeringsfarve4 6 3 2 3 3" xfId="15906"/>
    <cellStyle name="20 % - Markeringsfarve4 6 3 2 3 4" xfId="27264"/>
    <cellStyle name="20 % - Markeringsfarve4 6 3 2 4" xfId="6761"/>
    <cellStyle name="20 % - Markeringsfarve4 6 3 2 4 2" xfId="17569"/>
    <cellStyle name="20 % - Markeringsfarve4 6 3 2 4 3" xfId="28926"/>
    <cellStyle name="20 % - Markeringsfarve4 6 3 2 5" xfId="12584"/>
    <cellStyle name="20 % - Markeringsfarve4 6 3 2 6" xfId="23942"/>
    <cellStyle name="20 % - Markeringsfarve4 6 3 3" xfId="2604"/>
    <cellStyle name="20 % - Markeringsfarve4 6 3 3 2" xfId="7592"/>
    <cellStyle name="20 % - Markeringsfarve4 6 3 3 2 2" xfId="18399"/>
    <cellStyle name="20 % - Markeringsfarve4 6 3 3 2 3" xfId="29756"/>
    <cellStyle name="20 % - Markeringsfarve4 6 3 3 3" xfId="13414"/>
    <cellStyle name="20 % - Markeringsfarve4 6 3 3 4" xfId="24772"/>
    <cellStyle name="20 % - Markeringsfarve4 6 3 4" xfId="4268"/>
    <cellStyle name="20 % - Markeringsfarve4 6 3 4 2" xfId="9253"/>
    <cellStyle name="20 % - Markeringsfarve4 6 3 4 2 2" xfId="20060"/>
    <cellStyle name="20 % - Markeringsfarve4 6 3 4 2 3" xfId="31417"/>
    <cellStyle name="20 % - Markeringsfarve4 6 3 4 3" xfId="15075"/>
    <cellStyle name="20 % - Markeringsfarve4 6 3 4 4" xfId="26433"/>
    <cellStyle name="20 % - Markeringsfarve4 6 3 5" xfId="5930"/>
    <cellStyle name="20 % - Markeringsfarve4 6 3 5 2" xfId="16738"/>
    <cellStyle name="20 % - Markeringsfarve4 6 3 5 3" xfId="28095"/>
    <cellStyle name="20 % - Markeringsfarve4 6 3 6" xfId="10917"/>
    <cellStyle name="20 % - Markeringsfarve4 6 3 6 2" xfId="21724"/>
    <cellStyle name="20 % - Markeringsfarve4 6 3 6 3" xfId="33081"/>
    <cellStyle name="20 % - Markeringsfarve4 6 3 7" xfId="11752"/>
    <cellStyle name="20 % - Markeringsfarve4 6 3 8" xfId="23111"/>
    <cellStyle name="20 % - Markeringsfarve4 6 4" xfId="1217"/>
    <cellStyle name="20 % - Markeringsfarve4 6 4 2" xfId="2882"/>
    <cellStyle name="20 % - Markeringsfarve4 6 4 2 2" xfId="7870"/>
    <cellStyle name="20 % - Markeringsfarve4 6 4 2 2 2" xfId="18677"/>
    <cellStyle name="20 % - Markeringsfarve4 6 4 2 2 3" xfId="30034"/>
    <cellStyle name="20 % - Markeringsfarve4 6 4 2 3" xfId="13692"/>
    <cellStyle name="20 % - Markeringsfarve4 6 4 2 4" xfId="25050"/>
    <cellStyle name="20 % - Markeringsfarve4 6 4 3" xfId="4546"/>
    <cellStyle name="20 % - Markeringsfarve4 6 4 3 2" xfId="9531"/>
    <cellStyle name="20 % - Markeringsfarve4 6 4 3 2 2" xfId="20338"/>
    <cellStyle name="20 % - Markeringsfarve4 6 4 3 2 3" xfId="31695"/>
    <cellStyle name="20 % - Markeringsfarve4 6 4 3 3" xfId="15353"/>
    <cellStyle name="20 % - Markeringsfarve4 6 4 3 4" xfId="26711"/>
    <cellStyle name="20 % - Markeringsfarve4 6 4 4" xfId="6208"/>
    <cellStyle name="20 % - Markeringsfarve4 6 4 4 2" xfId="17016"/>
    <cellStyle name="20 % - Markeringsfarve4 6 4 4 3" xfId="28373"/>
    <cellStyle name="20 % - Markeringsfarve4 6 4 5" xfId="12031"/>
    <cellStyle name="20 % - Markeringsfarve4 6 4 6" xfId="23389"/>
    <cellStyle name="20 % - Markeringsfarve4 6 5" xfId="2052"/>
    <cellStyle name="20 % - Markeringsfarve4 6 5 2" xfId="7040"/>
    <cellStyle name="20 % - Markeringsfarve4 6 5 2 2" xfId="17848"/>
    <cellStyle name="20 % - Markeringsfarve4 6 5 2 3" xfId="29205"/>
    <cellStyle name="20 % - Markeringsfarve4 6 5 3" xfId="12863"/>
    <cellStyle name="20 % - Markeringsfarve4 6 5 4" xfId="24221"/>
    <cellStyle name="20 % - Markeringsfarve4 6 6" xfId="3717"/>
    <cellStyle name="20 % - Markeringsfarve4 6 6 2" xfId="8702"/>
    <cellStyle name="20 % - Markeringsfarve4 6 6 2 2" xfId="19509"/>
    <cellStyle name="20 % - Markeringsfarve4 6 6 2 3" xfId="30866"/>
    <cellStyle name="20 % - Markeringsfarve4 6 6 3" xfId="14524"/>
    <cellStyle name="20 % - Markeringsfarve4 6 6 4" xfId="25882"/>
    <cellStyle name="20 % - Markeringsfarve4 6 7" xfId="5378"/>
    <cellStyle name="20 % - Markeringsfarve4 6 7 2" xfId="16187"/>
    <cellStyle name="20 % - Markeringsfarve4 6 7 3" xfId="27544"/>
    <cellStyle name="20 % - Markeringsfarve4 6 8" xfId="10363"/>
    <cellStyle name="20 % - Markeringsfarve4 6 8 2" xfId="21170"/>
    <cellStyle name="20 % - Markeringsfarve4 6 8 3" xfId="32527"/>
    <cellStyle name="20 % - Markeringsfarve4 6 9" xfId="11197"/>
    <cellStyle name="20 % - Markeringsfarve4 7" xfId="448"/>
    <cellStyle name="20 % - Markeringsfarve4 7 2" xfId="1278"/>
    <cellStyle name="20 % - Markeringsfarve4 7 2 2" xfId="2943"/>
    <cellStyle name="20 % - Markeringsfarve4 7 2 2 2" xfId="7931"/>
    <cellStyle name="20 % - Markeringsfarve4 7 2 2 2 2" xfId="18738"/>
    <cellStyle name="20 % - Markeringsfarve4 7 2 2 2 3" xfId="30095"/>
    <cellStyle name="20 % - Markeringsfarve4 7 2 2 3" xfId="13753"/>
    <cellStyle name="20 % - Markeringsfarve4 7 2 2 4" xfId="25111"/>
    <cellStyle name="20 % - Markeringsfarve4 7 2 3" xfId="4607"/>
    <cellStyle name="20 % - Markeringsfarve4 7 2 3 2" xfId="9592"/>
    <cellStyle name="20 % - Markeringsfarve4 7 2 3 2 2" xfId="20399"/>
    <cellStyle name="20 % - Markeringsfarve4 7 2 3 2 3" xfId="31756"/>
    <cellStyle name="20 % - Markeringsfarve4 7 2 3 3" xfId="15414"/>
    <cellStyle name="20 % - Markeringsfarve4 7 2 3 4" xfId="26772"/>
    <cellStyle name="20 % - Markeringsfarve4 7 2 4" xfId="6269"/>
    <cellStyle name="20 % - Markeringsfarve4 7 2 4 2" xfId="17077"/>
    <cellStyle name="20 % - Markeringsfarve4 7 2 4 3" xfId="28434"/>
    <cellStyle name="20 % - Markeringsfarve4 7 2 5" xfId="12092"/>
    <cellStyle name="20 % - Markeringsfarve4 7 2 6" xfId="23450"/>
    <cellStyle name="20 % - Markeringsfarve4 7 3" xfId="2114"/>
    <cellStyle name="20 % - Markeringsfarve4 7 3 2" xfId="7102"/>
    <cellStyle name="20 % - Markeringsfarve4 7 3 2 2" xfId="17909"/>
    <cellStyle name="20 % - Markeringsfarve4 7 3 2 3" xfId="29266"/>
    <cellStyle name="20 % - Markeringsfarve4 7 3 3" xfId="12924"/>
    <cellStyle name="20 % - Markeringsfarve4 7 3 4" xfId="24282"/>
    <cellStyle name="20 % - Markeringsfarve4 7 4" xfId="3778"/>
    <cellStyle name="20 % - Markeringsfarve4 7 4 2" xfId="8763"/>
    <cellStyle name="20 % - Markeringsfarve4 7 4 2 2" xfId="19570"/>
    <cellStyle name="20 % - Markeringsfarve4 7 4 2 3" xfId="30927"/>
    <cellStyle name="20 % - Markeringsfarve4 7 4 3" xfId="14585"/>
    <cellStyle name="20 % - Markeringsfarve4 7 4 4" xfId="25943"/>
    <cellStyle name="20 % - Markeringsfarve4 7 5" xfId="5440"/>
    <cellStyle name="20 % - Markeringsfarve4 7 5 2" xfId="16248"/>
    <cellStyle name="20 % - Markeringsfarve4 7 5 3" xfId="27605"/>
    <cellStyle name="20 % - Markeringsfarve4 7 6" xfId="10433"/>
    <cellStyle name="20 % - Markeringsfarve4 7 6 2" xfId="21240"/>
    <cellStyle name="20 % - Markeringsfarve4 7 6 3" xfId="32597"/>
    <cellStyle name="20 % - Markeringsfarve4 7 7" xfId="11259"/>
    <cellStyle name="20 % - Markeringsfarve4 7 8" xfId="22065"/>
    <cellStyle name="20 % - Markeringsfarve4 7 9" xfId="22619"/>
    <cellStyle name="20 % - Markeringsfarve4 8" xfId="720"/>
    <cellStyle name="20 % - Markeringsfarve4 8 2" xfId="1552"/>
    <cellStyle name="20 % - Markeringsfarve4 8 2 2" xfId="3217"/>
    <cellStyle name="20 % - Markeringsfarve4 8 2 2 2" xfId="8205"/>
    <cellStyle name="20 % - Markeringsfarve4 8 2 2 2 2" xfId="19012"/>
    <cellStyle name="20 % - Markeringsfarve4 8 2 2 2 3" xfId="30369"/>
    <cellStyle name="20 % - Markeringsfarve4 8 2 2 3" xfId="14027"/>
    <cellStyle name="20 % - Markeringsfarve4 8 2 2 4" xfId="25385"/>
    <cellStyle name="20 % - Markeringsfarve4 8 2 3" xfId="4881"/>
    <cellStyle name="20 % - Markeringsfarve4 8 2 3 2" xfId="9866"/>
    <cellStyle name="20 % - Markeringsfarve4 8 2 3 2 2" xfId="20673"/>
    <cellStyle name="20 % - Markeringsfarve4 8 2 3 2 3" xfId="32030"/>
    <cellStyle name="20 % - Markeringsfarve4 8 2 3 3" xfId="15688"/>
    <cellStyle name="20 % - Markeringsfarve4 8 2 3 4" xfId="27046"/>
    <cellStyle name="20 % - Markeringsfarve4 8 2 4" xfId="6543"/>
    <cellStyle name="20 % - Markeringsfarve4 8 2 4 2" xfId="17351"/>
    <cellStyle name="20 % - Markeringsfarve4 8 2 4 3" xfId="28708"/>
    <cellStyle name="20 % - Markeringsfarve4 8 2 5" xfId="12366"/>
    <cellStyle name="20 % - Markeringsfarve4 8 2 6" xfId="23724"/>
    <cellStyle name="20 % - Markeringsfarve4 8 3" xfId="2386"/>
    <cellStyle name="20 % - Markeringsfarve4 8 3 2" xfId="7374"/>
    <cellStyle name="20 % - Markeringsfarve4 8 3 2 2" xfId="18181"/>
    <cellStyle name="20 % - Markeringsfarve4 8 3 2 3" xfId="29538"/>
    <cellStyle name="20 % - Markeringsfarve4 8 3 3" xfId="13196"/>
    <cellStyle name="20 % - Markeringsfarve4 8 3 4" xfId="24554"/>
    <cellStyle name="20 % - Markeringsfarve4 8 4" xfId="4050"/>
    <cellStyle name="20 % - Markeringsfarve4 8 4 2" xfId="9035"/>
    <cellStyle name="20 % - Markeringsfarve4 8 4 2 2" xfId="19842"/>
    <cellStyle name="20 % - Markeringsfarve4 8 4 2 3" xfId="31199"/>
    <cellStyle name="20 % - Markeringsfarve4 8 4 3" xfId="14857"/>
    <cellStyle name="20 % - Markeringsfarve4 8 4 4" xfId="26215"/>
    <cellStyle name="20 % - Markeringsfarve4 8 5" xfId="5712"/>
    <cellStyle name="20 % - Markeringsfarve4 8 5 2" xfId="16520"/>
    <cellStyle name="20 % - Markeringsfarve4 8 5 3" xfId="27877"/>
    <cellStyle name="20 % - Markeringsfarve4 8 6" xfId="10699"/>
    <cellStyle name="20 % - Markeringsfarve4 8 6 2" xfId="21506"/>
    <cellStyle name="20 % - Markeringsfarve4 8 6 3" xfId="32863"/>
    <cellStyle name="20 % - Markeringsfarve4 8 7" xfId="11534"/>
    <cellStyle name="20 % - Markeringsfarve4 8 8" xfId="22893"/>
    <cellStyle name="20 % - Markeringsfarve4 9" xfId="999"/>
    <cellStyle name="20 % - Markeringsfarve4 9 2" xfId="2664"/>
    <cellStyle name="20 % - Markeringsfarve4 9 2 2" xfId="7652"/>
    <cellStyle name="20 % - Markeringsfarve4 9 2 2 2" xfId="18459"/>
    <cellStyle name="20 % - Markeringsfarve4 9 2 2 3" xfId="29816"/>
    <cellStyle name="20 % - Markeringsfarve4 9 2 3" xfId="13474"/>
    <cellStyle name="20 % - Markeringsfarve4 9 2 4" xfId="24832"/>
    <cellStyle name="20 % - Markeringsfarve4 9 3" xfId="4328"/>
    <cellStyle name="20 % - Markeringsfarve4 9 3 2" xfId="9313"/>
    <cellStyle name="20 % - Markeringsfarve4 9 3 2 2" xfId="20120"/>
    <cellStyle name="20 % - Markeringsfarve4 9 3 2 3" xfId="31477"/>
    <cellStyle name="20 % - Markeringsfarve4 9 3 3" xfId="15135"/>
    <cellStyle name="20 % - Markeringsfarve4 9 3 4" xfId="26493"/>
    <cellStyle name="20 % - Markeringsfarve4 9 4" xfId="5990"/>
    <cellStyle name="20 % - Markeringsfarve4 9 4 2" xfId="16798"/>
    <cellStyle name="20 % - Markeringsfarve4 9 4 3" xfId="28155"/>
    <cellStyle name="20 % - Markeringsfarve4 9 5" xfId="11813"/>
    <cellStyle name="20 % - Markeringsfarve4 9 6" xfId="23171"/>
    <cellStyle name="20 % - Markeringsfarve5" xfId="37" builtinId="46" customBuiltin="1"/>
    <cellStyle name="20 % - Markeringsfarve5 10" xfId="1001"/>
    <cellStyle name="20 % - Markeringsfarve5 10 2" xfId="2666"/>
    <cellStyle name="20 % - Markeringsfarve5 10 2 2" xfId="7654"/>
    <cellStyle name="20 % - Markeringsfarve5 10 2 2 2" xfId="18461"/>
    <cellStyle name="20 % - Markeringsfarve5 10 2 2 3" xfId="29818"/>
    <cellStyle name="20 % - Markeringsfarve5 10 2 3" xfId="13476"/>
    <cellStyle name="20 % - Markeringsfarve5 10 2 4" xfId="24834"/>
    <cellStyle name="20 % - Markeringsfarve5 10 3" xfId="4330"/>
    <cellStyle name="20 % - Markeringsfarve5 10 3 2" xfId="9315"/>
    <cellStyle name="20 % - Markeringsfarve5 10 3 2 2" xfId="20122"/>
    <cellStyle name="20 % - Markeringsfarve5 10 3 2 3" xfId="31479"/>
    <cellStyle name="20 % - Markeringsfarve5 10 3 3" xfId="15137"/>
    <cellStyle name="20 % - Markeringsfarve5 10 3 4" xfId="26495"/>
    <cellStyle name="20 % - Markeringsfarve5 10 4" xfId="5992"/>
    <cellStyle name="20 % - Markeringsfarve5 10 4 2" xfId="16800"/>
    <cellStyle name="20 % - Markeringsfarve5 10 4 3" xfId="28157"/>
    <cellStyle name="20 % - Markeringsfarve5 10 5" xfId="11815"/>
    <cellStyle name="20 % - Markeringsfarve5 10 6" xfId="23173"/>
    <cellStyle name="20 % - Markeringsfarve5 11" xfId="1836"/>
    <cellStyle name="20 % - Markeringsfarve5 11 2" xfId="6824"/>
    <cellStyle name="20 % - Markeringsfarve5 11 2 2" xfId="17632"/>
    <cellStyle name="20 % - Markeringsfarve5 11 2 3" xfId="28989"/>
    <cellStyle name="20 % - Markeringsfarve5 11 3" xfId="12647"/>
    <cellStyle name="20 % - Markeringsfarve5 11 4" xfId="24005"/>
    <cellStyle name="20 % - Markeringsfarve5 12" xfId="3501"/>
    <cellStyle name="20 % - Markeringsfarve5 12 2" xfId="8486"/>
    <cellStyle name="20 % - Markeringsfarve5 12 2 2" xfId="19293"/>
    <cellStyle name="20 % - Markeringsfarve5 12 2 3" xfId="30650"/>
    <cellStyle name="20 % - Markeringsfarve5 12 3" xfId="14308"/>
    <cellStyle name="20 % - Markeringsfarve5 12 4" xfId="25666"/>
    <cellStyle name="20 % - Markeringsfarve5 13" xfId="5162"/>
    <cellStyle name="20 % - Markeringsfarve5 13 2" xfId="15971"/>
    <cellStyle name="20 % - Markeringsfarve5 13 3" xfId="27328"/>
    <cellStyle name="20 % - Markeringsfarve5 14" xfId="10147"/>
    <cellStyle name="20 % - Markeringsfarve5 14 2" xfId="20954"/>
    <cellStyle name="20 % - Markeringsfarve5 14 3" xfId="32311"/>
    <cellStyle name="20 % - Markeringsfarve5 15" xfId="10981"/>
    <cellStyle name="20 % - Markeringsfarve5 16" xfId="21788"/>
    <cellStyle name="20 % - Markeringsfarve5 17" xfId="22341"/>
    <cellStyle name="20 % - Markeringsfarve5 18" xfId="33144"/>
    <cellStyle name="20 % - Markeringsfarve5 19" xfId="33414"/>
    <cellStyle name="20 % - Markeringsfarve5 2" xfId="74"/>
    <cellStyle name="20 % - Markeringsfarve5 2 10" xfId="3521"/>
    <cellStyle name="20 % - Markeringsfarve5 2 10 2" xfId="8506"/>
    <cellStyle name="20 % - Markeringsfarve5 2 10 2 2" xfId="19313"/>
    <cellStyle name="20 % - Markeringsfarve5 2 10 2 3" xfId="30670"/>
    <cellStyle name="20 % - Markeringsfarve5 2 10 3" xfId="14328"/>
    <cellStyle name="20 % - Markeringsfarve5 2 10 4" xfId="25686"/>
    <cellStyle name="20 % - Markeringsfarve5 2 11" xfId="5182"/>
    <cellStyle name="20 % - Markeringsfarve5 2 11 2" xfId="15991"/>
    <cellStyle name="20 % - Markeringsfarve5 2 11 3" xfId="27348"/>
    <cellStyle name="20 % - Markeringsfarve5 2 12" xfId="10166"/>
    <cellStyle name="20 % - Markeringsfarve5 2 12 2" xfId="20973"/>
    <cellStyle name="20 % - Markeringsfarve5 2 12 3" xfId="32330"/>
    <cellStyle name="20 % - Markeringsfarve5 2 13" xfId="11000"/>
    <cellStyle name="20 % - Markeringsfarve5 2 14" xfId="21807"/>
    <cellStyle name="20 % - Markeringsfarve5 2 15" xfId="22360"/>
    <cellStyle name="20 % - Markeringsfarve5 2 16" xfId="33163"/>
    <cellStyle name="20 % - Markeringsfarve5 2 17" xfId="33432"/>
    <cellStyle name="20 % - Markeringsfarve5 2 18" xfId="33703"/>
    <cellStyle name="20 % - Markeringsfarve5 2 2" xfId="203"/>
    <cellStyle name="20 % - Markeringsfarve5 2 2 10" xfId="21861"/>
    <cellStyle name="20 % - Markeringsfarve5 2 2 11" xfId="22414"/>
    <cellStyle name="20 % - Markeringsfarve5 2 2 12" xfId="33217"/>
    <cellStyle name="20 % - Markeringsfarve5 2 2 13" xfId="33492"/>
    <cellStyle name="20 % - Markeringsfarve5 2 2 14" xfId="33763"/>
    <cellStyle name="20 % - Markeringsfarve5 2 2 2" xfId="521"/>
    <cellStyle name="20 % - Markeringsfarve5 2 2 2 2" xfId="1353"/>
    <cellStyle name="20 % - Markeringsfarve5 2 2 2 2 2" xfId="3018"/>
    <cellStyle name="20 % - Markeringsfarve5 2 2 2 2 2 2" xfId="8006"/>
    <cellStyle name="20 % - Markeringsfarve5 2 2 2 2 2 2 2" xfId="18813"/>
    <cellStyle name="20 % - Markeringsfarve5 2 2 2 2 2 2 3" xfId="30170"/>
    <cellStyle name="20 % - Markeringsfarve5 2 2 2 2 2 3" xfId="13828"/>
    <cellStyle name="20 % - Markeringsfarve5 2 2 2 2 2 4" xfId="25186"/>
    <cellStyle name="20 % - Markeringsfarve5 2 2 2 2 3" xfId="4682"/>
    <cellStyle name="20 % - Markeringsfarve5 2 2 2 2 3 2" xfId="9667"/>
    <cellStyle name="20 % - Markeringsfarve5 2 2 2 2 3 2 2" xfId="20474"/>
    <cellStyle name="20 % - Markeringsfarve5 2 2 2 2 3 2 3" xfId="31831"/>
    <cellStyle name="20 % - Markeringsfarve5 2 2 2 2 3 3" xfId="15489"/>
    <cellStyle name="20 % - Markeringsfarve5 2 2 2 2 3 4" xfId="26847"/>
    <cellStyle name="20 % - Markeringsfarve5 2 2 2 2 4" xfId="6344"/>
    <cellStyle name="20 % - Markeringsfarve5 2 2 2 2 4 2" xfId="17152"/>
    <cellStyle name="20 % - Markeringsfarve5 2 2 2 2 4 3" xfId="28509"/>
    <cellStyle name="20 % - Markeringsfarve5 2 2 2 2 5" xfId="12167"/>
    <cellStyle name="20 % - Markeringsfarve5 2 2 2 2 6" xfId="23525"/>
    <cellStyle name="20 % - Markeringsfarve5 2 2 2 3" xfId="2187"/>
    <cellStyle name="20 % - Markeringsfarve5 2 2 2 3 2" xfId="7175"/>
    <cellStyle name="20 % - Markeringsfarve5 2 2 2 3 2 2" xfId="17982"/>
    <cellStyle name="20 % - Markeringsfarve5 2 2 2 3 2 3" xfId="29339"/>
    <cellStyle name="20 % - Markeringsfarve5 2 2 2 3 3" xfId="12997"/>
    <cellStyle name="20 % - Markeringsfarve5 2 2 2 3 4" xfId="24355"/>
    <cellStyle name="20 % - Markeringsfarve5 2 2 2 4" xfId="3851"/>
    <cellStyle name="20 % - Markeringsfarve5 2 2 2 4 2" xfId="8836"/>
    <cellStyle name="20 % - Markeringsfarve5 2 2 2 4 2 2" xfId="19643"/>
    <cellStyle name="20 % - Markeringsfarve5 2 2 2 4 2 3" xfId="31000"/>
    <cellStyle name="20 % - Markeringsfarve5 2 2 2 4 3" xfId="14658"/>
    <cellStyle name="20 % - Markeringsfarve5 2 2 2 4 4" xfId="26016"/>
    <cellStyle name="20 % - Markeringsfarve5 2 2 2 5" xfId="5513"/>
    <cellStyle name="20 % - Markeringsfarve5 2 2 2 5 2" xfId="16321"/>
    <cellStyle name="20 % - Markeringsfarve5 2 2 2 5 3" xfId="27678"/>
    <cellStyle name="20 % - Markeringsfarve5 2 2 2 6" xfId="10500"/>
    <cellStyle name="20 % - Markeringsfarve5 2 2 2 6 2" xfId="21307"/>
    <cellStyle name="20 % - Markeringsfarve5 2 2 2 6 3" xfId="32664"/>
    <cellStyle name="20 % - Markeringsfarve5 2 2 2 7" xfId="11334"/>
    <cellStyle name="20 % - Markeringsfarve5 2 2 2 8" xfId="22140"/>
    <cellStyle name="20 % - Markeringsfarve5 2 2 2 9" xfId="22694"/>
    <cellStyle name="20 % - Markeringsfarve5 2 2 3" xfId="795"/>
    <cellStyle name="20 % - Markeringsfarve5 2 2 3 2" xfId="1627"/>
    <cellStyle name="20 % - Markeringsfarve5 2 2 3 2 2" xfId="3292"/>
    <cellStyle name="20 % - Markeringsfarve5 2 2 3 2 2 2" xfId="8280"/>
    <cellStyle name="20 % - Markeringsfarve5 2 2 3 2 2 2 2" xfId="19087"/>
    <cellStyle name="20 % - Markeringsfarve5 2 2 3 2 2 2 3" xfId="30444"/>
    <cellStyle name="20 % - Markeringsfarve5 2 2 3 2 2 3" xfId="14102"/>
    <cellStyle name="20 % - Markeringsfarve5 2 2 3 2 2 4" xfId="25460"/>
    <cellStyle name="20 % - Markeringsfarve5 2 2 3 2 3" xfId="4956"/>
    <cellStyle name="20 % - Markeringsfarve5 2 2 3 2 3 2" xfId="9941"/>
    <cellStyle name="20 % - Markeringsfarve5 2 2 3 2 3 2 2" xfId="20748"/>
    <cellStyle name="20 % - Markeringsfarve5 2 2 3 2 3 2 3" xfId="32105"/>
    <cellStyle name="20 % - Markeringsfarve5 2 2 3 2 3 3" xfId="15763"/>
    <cellStyle name="20 % - Markeringsfarve5 2 2 3 2 3 4" xfId="27121"/>
    <cellStyle name="20 % - Markeringsfarve5 2 2 3 2 4" xfId="6618"/>
    <cellStyle name="20 % - Markeringsfarve5 2 2 3 2 4 2" xfId="17426"/>
    <cellStyle name="20 % - Markeringsfarve5 2 2 3 2 4 3" xfId="28783"/>
    <cellStyle name="20 % - Markeringsfarve5 2 2 3 2 5" xfId="12441"/>
    <cellStyle name="20 % - Markeringsfarve5 2 2 3 2 6" xfId="23799"/>
    <cellStyle name="20 % - Markeringsfarve5 2 2 3 3" xfId="2461"/>
    <cellStyle name="20 % - Markeringsfarve5 2 2 3 3 2" xfId="7449"/>
    <cellStyle name="20 % - Markeringsfarve5 2 2 3 3 2 2" xfId="18256"/>
    <cellStyle name="20 % - Markeringsfarve5 2 2 3 3 2 3" xfId="29613"/>
    <cellStyle name="20 % - Markeringsfarve5 2 2 3 3 3" xfId="13271"/>
    <cellStyle name="20 % - Markeringsfarve5 2 2 3 3 4" xfId="24629"/>
    <cellStyle name="20 % - Markeringsfarve5 2 2 3 4" xfId="4125"/>
    <cellStyle name="20 % - Markeringsfarve5 2 2 3 4 2" xfId="9110"/>
    <cellStyle name="20 % - Markeringsfarve5 2 2 3 4 2 2" xfId="19917"/>
    <cellStyle name="20 % - Markeringsfarve5 2 2 3 4 2 3" xfId="31274"/>
    <cellStyle name="20 % - Markeringsfarve5 2 2 3 4 3" xfId="14932"/>
    <cellStyle name="20 % - Markeringsfarve5 2 2 3 4 4" xfId="26290"/>
    <cellStyle name="20 % - Markeringsfarve5 2 2 3 5" xfId="5787"/>
    <cellStyle name="20 % - Markeringsfarve5 2 2 3 5 2" xfId="16595"/>
    <cellStyle name="20 % - Markeringsfarve5 2 2 3 5 3" xfId="27952"/>
    <cellStyle name="20 % - Markeringsfarve5 2 2 3 6" xfId="10774"/>
    <cellStyle name="20 % - Markeringsfarve5 2 2 3 6 2" xfId="21581"/>
    <cellStyle name="20 % - Markeringsfarve5 2 2 3 6 3" xfId="32938"/>
    <cellStyle name="20 % - Markeringsfarve5 2 2 3 7" xfId="11609"/>
    <cellStyle name="20 % - Markeringsfarve5 2 2 3 8" xfId="22968"/>
    <cellStyle name="20 % - Markeringsfarve5 2 2 4" xfId="1074"/>
    <cellStyle name="20 % - Markeringsfarve5 2 2 4 2" xfId="2739"/>
    <cellStyle name="20 % - Markeringsfarve5 2 2 4 2 2" xfId="7727"/>
    <cellStyle name="20 % - Markeringsfarve5 2 2 4 2 2 2" xfId="18534"/>
    <cellStyle name="20 % - Markeringsfarve5 2 2 4 2 2 3" xfId="29891"/>
    <cellStyle name="20 % - Markeringsfarve5 2 2 4 2 3" xfId="13549"/>
    <cellStyle name="20 % - Markeringsfarve5 2 2 4 2 4" xfId="24907"/>
    <cellStyle name="20 % - Markeringsfarve5 2 2 4 3" xfId="4403"/>
    <cellStyle name="20 % - Markeringsfarve5 2 2 4 3 2" xfId="9388"/>
    <cellStyle name="20 % - Markeringsfarve5 2 2 4 3 2 2" xfId="20195"/>
    <cellStyle name="20 % - Markeringsfarve5 2 2 4 3 2 3" xfId="31552"/>
    <cellStyle name="20 % - Markeringsfarve5 2 2 4 3 3" xfId="15210"/>
    <cellStyle name="20 % - Markeringsfarve5 2 2 4 3 4" xfId="26568"/>
    <cellStyle name="20 % - Markeringsfarve5 2 2 4 4" xfId="6065"/>
    <cellStyle name="20 % - Markeringsfarve5 2 2 4 4 2" xfId="16873"/>
    <cellStyle name="20 % - Markeringsfarve5 2 2 4 4 3" xfId="28230"/>
    <cellStyle name="20 % - Markeringsfarve5 2 2 4 5" xfId="11888"/>
    <cellStyle name="20 % - Markeringsfarve5 2 2 4 6" xfId="23246"/>
    <cellStyle name="20 % - Markeringsfarve5 2 2 5" xfId="1909"/>
    <cellStyle name="20 % - Markeringsfarve5 2 2 5 2" xfId="6897"/>
    <cellStyle name="20 % - Markeringsfarve5 2 2 5 2 2" xfId="17705"/>
    <cellStyle name="20 % - Markeringsfarve5 2 2 5 2 3" xfId="29062"/>
    <cellStyle name="20 % - Markeringsfarve5 2 2 5 3" xfId="12720"/>
    <cellStyle name="20 % - Markeringsfarve5 2 2 5 4" xfId="24078"/>
    <cellStyle name="20 % - Markeringsfarve5 2 2 6" xfId="3574"/>
    <cellStyle name="20 % - Markeringsfarve5 2 2 6 2" xfId="8559"/>
    <cellStyle name="20 % - Markeringsfarve5 2 2 6 2 2" xfId="19366"/>
    <cellStyle name="20 % - Markeringsfarve5 2 2 6 2 3" xfId="30723"/>
    <cellStyle name="20 % - Markeringsfarve5 2 2 6 3" xfId="14381"/>
    <cellStyle name="20 % - Markeringsfarve5 2 2 6 4" xfId="25739"/>
    <cellStyle name="20 % - Markeringsfarve5 2 2 7" xfId="5235"/>
    <cellStyle name="20 % - Markeringsfarve5 2 2 7 2" xfId="16044"/>
    <cellStyle name="20 % - Markeringsfarve5 2 2 7 3" xfId="27401"/>
    <cellStyle name="20 % - Markeringsfarve5 2 2 8" xfId="10220"/>
    <cellStyle name="20 % - Markeringsfarve5 2 2 8 2" xfId="21027"/>
    <cellStyle name="20 % - Markeringsfarve5 2 2 8 3" xfId="32384"/>
    <cellStyle name="20 % - Markeringsfarve5 2 2 9" xfId="11054"/>
    <cellStyle name="20 % - Markeringsfarve5 2 3" xfId="258"/>
    <cellStyle name="20 % - Markeringsfarve5 2 3 10" xfId="21915"/>
    <cellStyle name="20 % - Markeringsfarve5 2 3 11" xfId="22468"/>
    <cellStyle name="20 % - Markeringsfarve5 2 3 12" xfId="33271"/>
    <cellStyle name="20 % - Markeringsfarve5 2 3 13" xfId="33546"/>
    <cellStyle name="20 % - Markeringsfarve5 2 3 14" xfId="33817"/>
    <cellStyle name="20 % - Markeringsfarve5 2 3 2" xfId="575"/>
    <cellStyle name="20 % - Markeringsfarve5 2 3 2 2" xfId="1407"/>
    <cellStyle name="20 % - Markeringsfarve5 2 3 2 2 2" xfId="3072"/>
    <cellStyle name="20 % - Markeringsfarve5 2 3 2 2 2 2" xfId="8060"/>
    <cellStyle name="20 % - Markeringsfarve5 2 3 2 2 2 2 2" xfId="18867"/>
    <cellStyle name="20 % - Markeringsfarve5 2 3 2 2 2 2 3" xfId="30224"/>
    <cellStyle name="20 % - Markeringsfarve5 2 3 2 2 2 3" xfId="13882"/>
    <cellStyle name="20 % - Markeringsfarve5 2 3 2 2 2 4" xfId="25240"/>
    <cellStyle name="20 % - Markeringsfarve5 2 3 2 2 3" xfId="4736"/>
    <cellStyle name="20 % - Markeringsfarve5 2 3 2 2 3 2" xfId="9721"/>
    <cellStyle name="20 % - Markeringsfarve5 2 3 2 2 3 2 2" xfId="20528"/>
    <cellStyle name="20 % - Markeringsfarve5 2 3 2 2 3 2 3" xfId="31885"/>
    <cellStyle name="20 % - Markeringsfarve5 2 3 2 2 3 3" xfId="15543"/>
    <cellStyle name="20 % - Markeringsfarve5 2 3 2 2 3 4" xfId="26901"/>
    <cellStyle name="20 % - Markeringsfarve5 2 3 2 2 4" xfId="6398"/>
    <cellStyle name="20 % - Markeringsfarve5 2 3 2 2 4 2" xfId="17206"/>
    <cellStyle name="20 % - Markeringsfarve5 2 3 2 2 4 3" xfId="28563"/>
    <cellStyle name="20 % - Markeringsfarve5 2 3 2 2 5" xfId="12221"/>
    <cellStyle name="20 % - Markeringsfarve5 2 3 2 2 6" xfId="23579"/>
    <cellStyle name="20 % - Markeringsfarve5 2 3 2 3" xfId="2241"/>
    <cellStyle name="20 % - Markeringsfarve5 2 3 2 3 2" xfId="7229"/>
    <cellStyle name="20 % - Markeringsfarve5 2 3 2 3 2 2" xfId="18036"/>
    <cellStyle name="20 % - Markeringsfarve5 2 3 2 3 2 3" xfId="29393"/>
    <cellStyle name="20 % - Markeringsfarve5 2 3 2 3 3" xfId="13051"/>
    <cellStyle name="20 % - Markeringsfarve5 2 3 2 3 4" xfId="24409"/>
    <cellStyle name="20 % - Markeringsfarve5 2 3 2 4" xfId="3905"/>
    <cellStyle name="20 % - Markeringsfarve5 2 3 2 4 2" xfId="8890"/>
    <cellStyle name="20 % - Markeringsfarve5 2 3 2 4 2 2" xfId="19697"/>
    <cellStyle name="20 % - Markeringsfarve5 2 3 2 4 2 3" xfId="31054"/>
    <cellStyle name="20 % - Markeringsfarve5 2 3 2 4 3" xfId="14712"/>
    <cellStyle name="20 % - Markeringsfarve5 2 3 2 4 4" xfId="26070"/>
    <cellStyle name="20 % - Markeringsfarve5 2 3 2 5" xfId="5567"/>
    <cellStyle name="20 % - Markeringsfarve5 2 3 2 5 2" xfId="16375"/>
    <cellStyle name="20 % - Markeringsfarve5 2 3 2 5 3" xfId="27732"/>
    <cellStyle name="20 % - Markeringsfarve5 2 3 2 6" xfId="10554"/>
    <cellStyle name="20 % - Markeringsfarve5 2 3 2 6 2" xfId="21361"/>
    <cellStyle name="20 % - Markeringsfarve5 2 3 2 6 3" xfId="32718"/>
    <cellStyle name="20 % - Markeringsfarve5 2 3 2 7" xfId="11388"/>
    <cellStyle name="20 % - Markeringsfarve5 2 3 2 8" xfId="22194"/>
    <cellStyle name="20 % - Markeringsfarve5 2 3 2 9" xfId="22748"/>
    <cellStyle name="20 % - Markeringsfarve5 2 3 3" xfId="849"/>
    <cellStyle name="20 % - Markeringsfarve5 2 3 3 2" xfId="1681"/>
    <cellStyle name="20 % - Markeringsfarve5 2 3 3 2 2" xfId="3346"/>
    <cellStyle name="20 % - Markeringsfarve5 2 3 3 2 2 2" xfId="8334"/>
    <cellStyle name="20 % - Markeringsfarve5 2 3 3 2 2 2 2" xfId="19141"/>
    <cellStyle name="20 % - Markeringsfarve5 2 3 3 2 2 2 3" xfId="30498"/>
    <cellStyle name="20 % - Markeringsfarve5 2 3 3 2 2 3" xfId="14156"/>
    <cellStyle name="20 % - Markeringsfarve5 2 3 3 2 2 4" xfId="25514"/>
    <cellStyle name="20 % - Markeringsfarve5 2 3 3 2 3" xfId="5010"/>
    <cellStyle name="20 % - Markeringsfarve5 2 3 3 2 3 2" xfId="9995"/>
    <cellStyle name="20 % - Markeringsfarve5 2 3 3 2 3 2 2" xfId="20802"/>
    <cellStyle name="20 % - Markeringsfarve5 2 3 3 2 3 2 3" xfId="32159"/>
    <cellStyle name="20 % - Markeringsfarve5 2 3 3 2 3 3" xfId="15817"/>
    <cellStyle name="20 % - Markeringsfarve5 2 3 3 2 3 4" xfId="27175"/>
    <cellStyle name="20 % - Markeringsfarve5 2 3 3 2 4" xfId="6672"/>
    <cellStyle name="20 % - Markeringsfarve5 2 3 3 2 4 2" xfId="17480"/>
    <cellStyle name="20 % - Markeringsfarve5 2 3 3 2 4 3" xfId="28837"/>
    <cellStyle name="20 % - Markeringsfarve5 2 3 3 2 5" xfId="12495"/>
    <cellStyle name="20 % - Markeringsfarve5 2 3 3 2 6" xfId="23853"/>
    <cellStyle name="20 % - Markeringsfarve5 2 3 3 3" xfId="2515"/>
    <cellStyle name="20 % - Markeringsfarve5 2 3 3 3 2" xfId="7503"/>
    <cellStyle name="20 % - Markeringsfarve5 2 3 3 3 2 2" xfId="18310"/>
    <cellStyle name="20 % - Markeringsfarve5 2 3 3 3 2 3" xfId="29667"/>
    <cellStyle name="20 % - Markeringsfarve5 2 3 3 3 3" xfId="13325"/>
    <cellStyle name="20 % - Markeringsfarve5 2 3 3 3 4" xfId="24683"/>
    <cellStyle name="20 % - Markeringsfarve5 2 3 3 4" xfId="4179"/>
    <cellStyle name="20 % - Markeringsfarve5 2 3 3 4 2" xfId="9164"/>
    <cellStyle name="20 % - Markeringsfarve5 2 3 3 4 2 2" xfId="19971"/>
    <cellStyle name="20 % - Markeringsfarve5 2 3 3 4 2 3" xfId="31328"/>
    <cellStyle name="20 % - Markeringsfarve5 2 3 3 4 3" xfId="14986"/>
    <cellStyle name="20 % - Markeringsfarve5 2 3 3 4 4" xfId="26344"/>
    <cellStyle name="20 % - Markeringsfarve5 2 3 3 5" xfId="5841"/>
    <cellStyle name="20 % - Markeringsfarve5 2 3 3 5 2" xfId="16649"/>
    <cellStyle name="20 % - Markeringsfarve5 2 3 3 5 3" xfId="28006"/>
    <cellStyle name="20 % - Markeringsfarve5 2 3 3 6" xfId="10828"/>
    <cellStyle name="20 % - Markeringsfarve5 2 3 3 6 2" xfId="21635"/>
    <cellStyle name="20 % - Markeringsfarve5 2 3 3 6 3" xfId="32992"/>
    <cellStyle name="20 % - Markeringsfarve5 2 3 3 7" xfId="11663"/>
    <cellStyle name="20 % - Markeringsfarve5 2 3 3 8" xfId="23022"/>
    <cellStyle name="20 % - Markeringsfarve5 2 3 4" xfId="1128"/>
    <cellStyle name="20 % - Markeringsfarve5 2 3 4 2" xfId="2793"/>
    <cellStyle name="20 % - Markeringsfarve5 2 3 4 2 2" xfId="7781"/>
    <cellStyle name="20 % - Markeringsfarve5 2 3 4 2 2 2" xfId="18588"/>
    <cellStyle name="20 % - Markeringsfarve5 2 3 4 2 2 3" xfId="29945"/>
    <cellStyle name="20 % - Markeringsfarve5 2 3 4 2 3" xfId="13603"/>
    <cellStyle name="20 % - Markeringsfarve5 2 3 4 2 4" xfId="24961"/>
    <cellStyle name="20 % - Markeringsfarve5 2 3 4 3" xfId="4457"/>
    <cellStyle name="20 % - Markeringsfarve5 2 3 4 3 2" xfId="9442"/>
    <cellStyle name="20 % - Markeringsfarve5 2 3 4 3 2 2" xfId="20249"/>
    <cellStyle name="20 % - Markeringsfarve5 2 3 4 3 2 3" xfId="31606"/>
    <cellStyle name="20 % - Markeringsfarve5 2 3 4 3 3" xfId="15264"/>
    <cellStyle name="20 % - Markeringsfarve5 2 3 4 3 4" xfId="26622"/>
    <cellStyle name="20 % - Markeringsfarve5 2 3 4 4" xfId="6119"/>
    <cellStyle name="20 % - Markeringsfarve5 2 3 4 4 2" xfId="16927"/>
    <cellStyle name="20 % - Markeringsfarve5 2 3 4 4 3" xfId="28284"/>
    <cellStyle name="20 % - Markeringsfarve5 2 3 4 5" xfId="11942"/>
    <cellStyle name="20 % - Markeringsfarve5 2 3 4 6" xfId="23300"/>
    <cellStyle name="20 % - Markeringsfarve5 2 3 5" xfId="1963"/>
    <cellStyle name="20 % - Markeringsfarve5 2 3 5 2" xfId="6951"/>
    <cellStyle name="20 % - Markeringsfarve5 2 3 5 2 2" xfId="17759"/>
    <cellStyle name="20 % - Markeringsfarve5 2 3 5 2 3" xfId="29116"/>
    <cellStyle name="20 % - Markeringsfarve5 2 3 5 3" xfId="12774"/>
    <cellStyle name="20 % - Markeringsfarve5 2 3 5 4" xfId="24132"/>
    <cellStyle name="20 % - Markeringsfarve5 2 3 6" xfId="3628"/>
    <cellStyle name="20 % - Markeringsfarve5 2 3 6 2" xfId="8613"/>
    <cellStyle name="20 % - Markeringsfarve5 2 3 6 2 2" xfId="19420"/>
    <cellStyle name="20 % - Markeringsfarve5 2 3 6 2 3" xfId="30777"/>
    <cellStyle name="20 % - Markeringsfarve5 2 3 6 3" xfId="14435"/>
    <cellStyle name="20 % - Markeringsfarve5 2 3 6 4" xfId="25793"/>
    <cellStyle name="20 % - Markeringsfarve5 2 3 7" xfId="5289"/>
    <cellStyle name="20 % - Markeringsfarve5 2 3 7 2" xfId="16098"/>
    <cellStyle name="20 % - Markeringsfarve5 2 3 7 3" xfId="27455"/>
    <cellStyle name="20 % - Markeringsfarve5 2 3 8" xfId="10274"/>
    <cellStyle name="20 % - Markeringsfarve5 2 3 8 2" xfId="21081"/>
    <cellStyle name="20 % - Markeringsfarve5 2 3 8 3" xfId="32438"/>
    <cellStyle name="20 % - Markeringsfarve5 2 3 9" xfId="11108"/>
    <cellStyle name="20 % - Markeringsfarve5 2 4" xfId="313"/>
    <cellStyle name="20 % - Markeringsfarve5 2 4 10" xfId="21970"/>
    <cellStyle name="20 % - Markeringsfarve5 2 4 11" xfId="22523"/>
    <cellStyle name="20 % - Markeringsfarve5 2 4 12" xfId="33326"/>
    <cellStyle name="20 % - Markeringsfarve5 2 4 13" xfId="33601"/>
    <cellStyle name="20 % - Markeringsfarve5 2 4 14" xfId="33872"/>
    <cellStyle name="20 % - Markeringsfarve5 2 4 2" xfId="630"/>
    <cellStyle name="20 % - Markeringsfarve5 2 4 2 2" xfId="1462"/>
    <cellStyle name="20 % - Markeringsfarve5 2 4 2 2 2" xfId="3127"/>
    <cellStyle name="20 % - Markeringsfarve5 2 4 2 2 2 2" xfId="8115"/>
    <cellStyle name="20 % - Markeringsfarve5 2 4 2 2 2 2 2" xfId="18922"/>
    <cellStyle name="20 % - Markeringsfarve5 2 4 2 2 2 2 3" xfId="30279"/>
    <cellStyle name="20 % - Markeringsfarve5 2 4 2 2 2 3" xfId="13937"/>
    <cellStyle name="20 % - Markeringsfarve5 2 4 2 2 2 4" xfId="25295"/>
    <cellStyle name="20 % - Markeringsfarve5 2 4 2 2 3" xfId="4791"/>
    <cellStyle name="20 % - Markeringsfarve5 2 4 2 2 3 2" xfId="9776"/>
    <cellStyle name="20 % - Markeringsfarve5 2 4 2 2 3 2 2" xfId="20583"/>
    <cellStyle name="20 % - Markeringsfarve5 2 4 2 2 3 2 3" xfId="31940"/>
    <cellStyle name="20 % - Markeringsfarve5 2 4 2 2 3 3" xfId="15598"/>
    <cellStyle name="20 % - Markeringsfarve5 2 4 2 2 3 4" xfId="26956"/>
    <cellStyle name="20 % - Markeringsfarve5 2 4 2 2 4" xfId="6453"/>
    <cellStyle name="20 % - Markeringsfarve5 2 4 2 2 4 2" xfId="17261"/>
    <cellStyle name="20 % - Markeringsfarve5 2 4 2 2 4 3" xfId="28618"/>
    <cellStyle name="20 % - Markeringsfarve5 2 4 2 2 5" xfId="12276"/>
    <cellStyle name="20 % - Markeringsfarve5 2 4 2 2 6" xfId="23634"/>
    <cellStyle name="20 % - Markeringsfarve5 2 4 2 3" xfId="2296"/>
    <cellStyle name="20 % - Markeringsfarve5 2 4 2 3 2" xfId="7284"/>
    <cellStyle name="20 % - Markeringsfarve5 2 4 2 3 2 2" xfId="18091"/>
    <cellStyle name="20 % - Markeringsfarve5 2 4 2 3 2 3" xfId="29448"/>
    <cellStyle name="20 % - Markeringsfarve5 2 4 2 3 3" xfId="13106"/>
    <cellStyle name="20 % - Markeringsfarve5 2 4 2 3 4" xfId="24464"/>
    <cellStyle name="20 % - Markeringsfarve5 2 4 2 4" xfId="3960"/>
    <cellStyle name="20 % - Markeringsfarve5 2 4 2 4 2" xfId="8945"/>
    <cellStyle name="20 % - Markeringsfarve5 2 4 2 4 2 2" xfId="19752"/>
    <cellStyle name="20 % - Markeringsfarve5 2 4 2 4 2 3" xfId="31109"/>
    <cellStyle name="20 % - Markeringsfarve5 2 4 2 4 3" xfId="14767"/>
    <cellStyle name="20 % - Markeringsfarve5 2 4 2 4 4" xfId="26125"/>
    <cellStyle name="20 % - Markeringsfarve5 2 4 2 5" xfId="5622"/>
    <cellStyle name="20 % - Markeringsfarve5 2 4 2 5 2" xfId="16430"/>
    <cellStyle name="20 % - Markeringsfarve5 2 4 2 5 3" xfId="27787"/>
    <cellStyle name="20 % - Markeringsfarve5 2 4 2 6" xfId="10609"/>
    <cellStyle name="20 % - Markeringsfarve5 2 4 2 6 2" xfId="21416"/>
    <cellStyle name="20 % - Markeringsfarve5 2 4 2 6 3" xfId="32773"/>
    <cellStyle name="20 % - Markeringsfarve5 2 4 2 7" xfId="11443"/>
    <cellStyle name="20 % - Markeringsfarve5 2 4 2 8" xfId="22249"/>
    <cellStyle name="20 % - Markeringsfarve5 2 4 2 9" xfId="22803"/>
    <cellStyle name="20 % - Markeringsfarve5 2 4 3" xfId="904"/>
    <cellStyle name="20 % - Markeringsfarve5 2 4 3 2" xfId="1736"/>
    <cellStyle name="20 % - Markeringsfarve5 2 4 3 2 2" xfId="3401"/>
    <cellStyle name="20 % - Markeringsfarve5 2 4 3 2 2 2" xfId="8389"/>
    <cellStyle name="20 % - Markeringsfarve5 2 4 3 2 2 2 2" xfId="19196"/>
    <cellStyle name="20 % - Markeringsfarve5 2 4 3 2 2 2 3" xfId="30553"/>
    <cellStyle name="20 % - Markeringsfarve5 2 4 3 2 2 3" xfId="14211"/>
    <cellStyle name="20 % - Markeringsfarve5 2 4 3 2 2 4" xfId="25569"/>
    <cellStyle name="20 % - Markeringsfarve5 2 4 3 2 3" xfId="5065"/>
    <cellStyle name="20 % - Markeringsfarve5 2 4 3 2 3 2" xfId="10050"/>
    <cellStyle name="20 % - Markeringsfarve5 2 4 3 2 3 2 2" xfId="20857"/>
    <cellStyle name="20 % - Markeringsfarve5 2 4 3 2 3 2 3" xfId="32214"/>
    <cellStyle name="20 % - Markeringsfarve5 2 4 3 2 3 3" xfId="15872"/>
    <cellStyle name="20 % - Markeringsfarve5 2 4 3 2 3 4" xfId="27230"/>
    <cellStyle name="20 % - Markeringsfarve5 2 4 3 2 4" xfId="6727"/>
    <cellStyle name="20 % - Markeringsfarve5 2 4 3 2 4 2" xfId="17535"/>
    <cellStyle name="20 % - Markeringsfarve5 2 4 3 2 4 3" xfId="28892"/>
    <cellStyle name="20 % - Markeringsfarve5 2 4 3 2 5" xfId="12550"/>
    <cellStyle name="20 % - Markeringsfarve5 2 4 3 2 6" xfId="23908"/>
    <cellStyle name="20 % - Markeringsfarve5 2 4 3 3" xfId="2570"/>
    <cellStyle name="20 % - Markeringsfarve5 2 4 3 3 2" xfId="7558"/>
    <cellStyle name="20 % - Markeringsfarve5 2 4 3 3 2 2" xfId="18365"/>
    <cellStyle name="20 % - Markeringsfarve5 2 4 3 3 2 3" xfId="29722"/>
    <cellStyle name="20 % - Markeringsfarve5 2 4 3 3 3" xfId="13380"/>
    <cellStyle name="20 % - Markeringsfarve5 2 4 3 3 4" xfId="24738"/>
    <cellStyle name="20 % - Markeringsfarve5 2 4 3 4" xfId="4234"/>
    <cellStyle name="20 % - Markeringsfarve5 2 4 3 4 2" xfId="9219"/>
    <cellStyle name="20 % - Markeringsfarve5 2 4 3 4 2 2" xfId="20026"/>
    <cellStyle name="20 % - Markeringsfarve5 2 4 3 4 2 3" xfId="31383"/>
    <cellStyle name="20 % - Markeringsfarve5 2 4 3 4 3" xfId="15041"/>
    <cellStyle name="20 % - Markeringsfarve5 2 4 3 4 4" xfId="26399"/>
    <cellStyle name="20 % - Markeringsfarve5 2 4 3 5" xfId="5896"/>
    <cellStyle name="20 % - Markeringsfarve5 2 4 3 5 2" xfId="16704"/>
    <cellStyle name="20 % - Markeringsfarve5 2 4 3 5 3" xfId="28061"/>
    <cellStyle name="20 % - Markeringsfarve5 2 4 3 6" xfId="10883"/>
    <cellStyle name="20 % - Markeringsfarve5 2 4 3 6 2" xfId="21690"/>
    <cellStyle name="20 % - Markeringsfarve5 2 4 3 6 3" xfId="33047"/>
    <cellStyle name="20 % - Markeringsfarve5 2 4 3 7" xfId="11718"/>
    <cellStyle name="20 % - Markeringsfarve5 2 4 3 8" xfId="23077"/>
    <cellStyle name="20 % - Markeringsfarve5 2 4 4" xfId="1183"/>
    <cellStyle name="20 % - Markeringsfarve5 2 4 4 2" xfId="2848"/>
    <cellStyle name="20 % - Markeringsfarve5 2 4 4 2 2" xfId="7836"/>
    <cellStyle name="20 % - Markeringsfarve5 2 4 4 2 2 2" xfId="18643"/>
    <cellStyle name="20 % - Markeringsfarve5 2 4 4 2 2 3" xfId="30000"/>
    <cellStyle name="20 % - Markeringsfarve5 2 4 4 2 3" xfId="13658"/>
    <cellStyle name="20 % - Markeringsfarve5 2 4 4 2 4" xfId="25016"/>
    <cellStyle name="20 % - Markeringsfarve5 2 4 4 3" xfId="4512"/>
    <cellStyle name="20 % - Markeringsfarve5 2 4 4 3 2" xfId="9497"/>
    <cellStyle name="20 % - Markeringsfarve5 2 4 4 3 2 2" xfId="20304"/>
    <cellStyle name="20 % - Markeringsfarve5 2 4 4 3 2 3" xfId="31661"/>
    <cellStyle name="20 % - Markeringsfarve5 2 4 4 3 3" xfId="15319"/>
    <cellStyle name="20 % - Markeringsfarve5 2 4 4 3 4" xfId="26677"/>
    <cellStyle name="20 % - Markeringsfarve5 2 4 4 4" xfId="6174"/>
    <cellStyle name="20 % - Markeringsfarve5 2 4 4 4 2" xfId="16982"/>
    <cellStyle name="20 % - Markeringsfarve5 2 4 4 4 3" xfId="28339"/>
    <cellStyle name="20 % - Markeringsfarve5 2 4 4 5" xfId="11997"/>
    <cellStyle name="20 % - Markeringsfarve5 2 4 4 6" xfId="23355"/>
    <cellStyle name="20 % - Markeringsfarve5 2 4 5" xfId="2018"/>
    <cellStyle name="20 % - Markeringsfarve5 2 4 5 2" xfId="7006"/>
    <cellStyle name="20 % - Markeringsfarve5 2 4 5 2 2" xfId="17814"/>
    <cellStyle name="20 % - Markeringsfarve5 2 4 5 2 3" xfId="29171"/>
    <cellStyle name="20 % - Markeringsfarve5 2 4 5 3" xfId="12829"/>
    <cellStyle name="20 % - Markeringsfarve5 2 4 5 4" xfId="24187"/>
    <cellStyle name="20 % - Markeringsfarve5 2 4 6" xfId="3683"/>
    <cellStyle name="20 % - Markeringsfarve5 2 4 6 2" xfId="8668"/>
    <cellStyle name="20 % - Markeringsfarve5 2 4 6 2 2" xfId="19475"/>
    <cellStyle name="20 % - Markeringsfarve5 2 4 6 2 3" xfId="30832"/>
    <cellStyle name="20 % - Markeringsfarve5 2 4 6 3" xfId="14490"/>
    <cellStyle name="20 % - Markeringsfarve5 2 4 6 4" xfId="25848"/>
    <cellStyle name="20 % - Markeringsfarve5 2 4 7" xfId="5344"/>
    <cellStyle name="20 % - Markeringsfarve5 2 4 7 2" xfId="16153"/>
    <cellStyle name="20 % - Markeringsfarve5 2 4 7 3" xfId="27510"/>
    <cellStyle name="20 % - Markeringsfarve5 2 4 8" xfId="10329"/>
    <cellStyle name="20 % - Markeringsfarve5 2 4 8 2" xfId="21136"/>
    <cellStyle name="20 % - Markeringsfarve5 2 4 8 3" xfId="32493"/>
    <cellStyle name="20 % - Markeringsfarve5 2 4 9" xfId="11163"/>
    <cellStyle name="20 % - Markeringsfarve5 2 5" xfId="369"/>
    <cellStyle name="20 % - Markeringsfarve5 2 5 10" xfId="22026"/>
    <cellStyle name="20 % - Markeringsfarve5 2 5 11" xfId="22579"/>
    <cellStyle name="20 % - Markeringsfarve5 2 5 12" xfId="33382"/>
    <cellStyle name="20 % - Markeringsfarve5 2 5 13" xfId="33657"/>
    <cellStyle name="20 % - Markeringsfarve5 2 5 14" xfId="33928"/>
    <cellStyle name="20 % - Markeringsfarve5 2 5 2" xfId="686"/>
    <cellStyle name="20 % - Markeringsfarve5 2 5 2 2" xfId="1518"/>
    <cellStyle name="20 % - Markeringsfarve5 2 5 2 2 2" xfId="3183"/>
    <cellStyle name="20 % - Markeringsfarve5 2 5 2 2 2 2" xfId="8171"/>
    <cellStyle name="20 % - Markeringsfarve5 2 5 2 2 2 2 2" xfId="18978"/>
    <cellStyle name="20 % - Markeringsfarve5 2 5 2 2 2 2 3" xfId="30335"/>
    <cellStyle name="20 % - Markeringsfarve5 2 5 2 2 2 3" xfId="13993"/>
    <cellStyle name="20 % - Markeringsfarve5 2 5 2 2 2 4" xfId="25351"/>
    <cellStyle name="20 % - Markeringsfarve5 2 5 2 2 3" xfId="4847"/>
    <cellStyle name="20 % - Markeringsfarve5 2 5 2 2 3 2" xfId="9832"/>
    <cellStyle name="20 % - Markeringsfarve5 2 5 2 2 3 2 2" xfId="20639"/>
    <cellStyle name="20 % - Markeringsfarve5 2 5 2 2 3 2 3" xfId="31996"/>
    <cellStyle name="20 % - Markeringsfarve5 2 5 2 2 3 3" xfId="15654"/>
    <cellStyle name="20 % - Markeringsfarve5 2 5 2 2 3 4" xfId="27012"/>
    <cellStyle name="20 % - Markeringsfarve5 2 5 2 2 4" xfId="6509"/>
    <cellStyle name="20 % - Markeringsfarve5 2 5 2 2 4 2" xfId="17317"/>
    <cellStyle name="20 % - Markeringsfarve5 2 5 2 2 4 3" xfId="28674"/>
    <cellStyle name="20 % - Markeringsfarve5 2 5 2 2 5" xfId="12332"/>
    <cellStyle name="20 % - Markeringsfarve5 2 5 2 2 6" xfId="23690"/>
    <cellStyle name="20 % - Markeringsfarve5 2 5 2 3" xfId="2352"/>
    <cellStyle name="20 % - Markeringsfarve5 2 5 2 3 2" xfId="7340"/>
    <cellStyle name="20 % - Markeringsfarve5 2 5 2 3 2 2" xfId="18147"/>
    <cellStyle name="20 % - Markeringsfarve5 2 5 2 3 2 3" xfId="29504"/>
    <cellStyle name="20 % - Markeringsfarve5 2 5 2 3 3" xfId="13162"/>
    <cellStyle name="20 % - Markeringsfarve5 2 5 2 3 4" xfId="24520"/>
    <cellStyle name="20 % - Markeringsfarve5 2 5 2 4" xfId="4016"/>
    <cellStyle name="20 % - Markeringsfarve5 2 5 2 4 2" xfId="9001"/>
    <cellStyle name="20 % - Markeringsfarve5 2 5 2 4 2 2" xfId="19808"/>
    <cellStyle name="20 % - Markeringsfarve5 2 5 2 4 2 3" xfId="31165"/>
    <cellStyle name="20 % - Markeringsfarve5 2 5 2 4 3" xfId="14823"/>
    <cellStyle name="20 % - Markeringsfarve5 2 5 2 4 4" xfId="26181"/>
    <cellStyle name="20 % - Markeringsfarve5 2 5 2 5" xfId="5678"/>
    <cellStyle name="20 % - Markeringsfarve5 2 5 2 5 2" xfId="16486"/>
    <cellStyle name="20 % - Markeringsfarve5 2 5 2 5 3" xfId="27843"/>
    <cellStyle name="20 % - Markeringsfarve5 2 5 2 6" xfId="10665"/>
    <cellStyle name="20 % - Markeringsfarve5 2 5 2 6 2" xfId="21472"/>
    <cellStyle name="20 % - Markeringsfarve5 2 5 2 6 3" xfId="32829"/>
    <cellStyle name="20 % - Markeringsfarve5 2 5 2 7" xfId="11499"/>
    <cellStyle name="20 % - Markeringsfarve5 2 5 2 8" xfId="22305"/>
    <cellStyle name="20 % - Markeringsfarve5 2 5 2 9" xfId="22859"/>
    <cellStyle name="20 % - Markeringsfarve5 2 5 3" xfId="960"/>
    <cellStyle name="20 % - Markeringsfarve5 2 5 3 2" xfId="1792"/>
    <cellStyle name="20 % - Markeringsfarve5 2 5 3 2 2" xfId="3457"/>
    <cellStyle name="20 % - Markeringsfarve5 2 5 3 2 2 2" xfId="8445"/>
    <cellStyle name="20 % - Markeringsfarve5 2 5 3 2 2 2 2" xfId="19252"/>
    <cellStyle name="20 % - Markeringsfarve5 2 5 3 2 2 2 3" xfId="30609"/>
    <cellStyle name="20 % - Markeringsfarve5 2 5 3 2 2 3" xfId="14267"/>
    <cellStyle name="20 % - Markeringsfarve5 2 5 3 2 2 4" xfId="25625"/>
    <cellStyle name="20 % - Markeringsfarve5 2 5 3 2 3" xfId="5121"/>
    <cellStyle name="20 % - Markeringsfarve5 2 5 3 2 3 2" xfId="10106"/>
    <cellStyle name="20 % - Markeringsfarve5 2 5 3 2 3 2 2" xfId="20913"/>
    <cellStyle name="20 % - Markeringsfarve5 2 5 3 2 3 2 3" xfId="32270"/>
    <cellStyle name="20 % - Markeringsfarve5 2 5 3 2 3 3" xfId="15928"/>
    <cellStyle name="20 % - Markeringsfarve5 2 5 3 2 3 4" xfId="27286"/>
    <cellStyle name="20 % - Markeringsfarve5 2 5 3 2 4" xfId="6783"/>
    <cellStyle name="20 % - Markeringsfarve5 2 5 3 2 4 2" xfId="17591"/>
    <cellStyle name="20 % - Markeringsfarve5 2 5 3 2 4 3" xfId="28948"/>
    <cellStyle name="20 % - Markeringsfarve5 2 5 3 2 5" xfId="12606"/>
    <cellStyle name="20 % - Markeringsfarve5 2 5 3 2 6" xfId="23964"/>
    <cellStyle name="20 % - Markeringsfarve5 2 5 3 3" xfId="2626"/>
    <cellStyle name="20 % - Markeringsfarve5 2 5 3 3 2" xfId="7614"/>
    <cellStyle name="20 % - Markeringsfarve5 2 5 3 3 2 2" xfId="18421"/>
    <cellStyle name="20 % - Markeringsfarve5 2 5 3 3 2 3" xfId="29778"/>
    <cellStyle name="20 % - Markeringsfarve5 2 5 3 3 3" xfId="13436"/>
    <cellStyle name="20 % - Markeringsfarve5 2 5 3 3 4" xfId="24794"/>
    <cellStyle name="20 % - Markeringsfarve5 2 5 3 4" xfId="4290"/>
    <cellStyle name="20 % - Markeringsfarve5 2 5 3 4 2" xfId="9275"/>
    <cellStyle name="20 % - Markeringsfarve5 2 5 3 4 2 2" xfId="20082"/>
    <cellStyle name="20 % - Markeringsfarve5 2 5 3 4 2 3" xfId="31439"/>
    <cellStyle name="20 % - Markeringsfarve5 2 5 3 4 3" xfId="15097"/>
    <cellStyle name="20 % - Markeringsfarve5 2 5 3 4 4" xfId="26455"/>
    <cellStyle name="20 % - Markeringsfarve5 2 5 3 5" xfId="5952"/>
    <cellStyle name="20 % - Markeringsfarve5 2 5 3 5 2" xfId="16760"/>
    <cellStyle name="20 % - Markeringsfarve5 2 5 3 5 3" xfId="28117"/>
    <cellStyle name="20 % - Markeringsfarve5 2 5 3 6" xfId="10939"/>
    <cellStyle name="20 % - Markeringsfarve5 2 5 3 6 2" xfId="21746"/>
    <cellStyle name="20 % - Markeringsfarve5 2 5 3 6 3" xfId="33103"/>
    <cellStyle name="20 % - Markeringsfarve5 2 5 3 7" xfId="11774"/>
    <cellStyle name="20 % - Markeringsfarve5 2 5 3 8" xfId="23133"/>
    <cellStyle name="20 % - Markeringsfarve5 2 5 4" xfId="1239"/>
    <cellStyle name="20 % - Markeringsfarve5 2 5 4 2" xfId="2904"/>
    <cellStyle name="20 % - Markeringsfarve5 2 5 4 2 2" xfId="7892"/>
    <cellStyle name="20 % - Markeringsfarve5 2 5 4 2 2 2" xfId="18699"/>
    <cellStyle name="20 % - Markeringsfarve5 2 5 4 2 2 3" xfId="30056"/>
    <cellStyle name="20 % - Markeringsfarve5 2 5 4 2 3" xfId="13714"/>
    <cellStyle name="20 % - Markeringsfarve5 2 5 4 2 4" xfId="25072"/>
    <cellStyle name="20 % - Markeringsfarve5 2 5 4 3" xfId="4568"/>
    <cellStyle name="20 % - Markeringsfarve5 2 5 4 3 2" xfId="9553"/>
    <cellStyle name="20 % - Markeringsfarve5 2 5 4 3 2 2" xfId="20360"/>
    <cellStyle name="20 % - Markeringsfarve5 2 5 4 3 2 3" xfId="31717"/>
    <cellStyle name="20 % - Markeringsfarve5 2 5 4 3 3" xfId="15375"/>
    <cellStyle name="20 % - Markeringsfarve5 2 5 4 3 4" xfId="26733"/>
    <cellStyle name="20 % - Markeringsfarve5 2 5 4 4" xfId="6230"/>
    <cellStyle name="20 % - Markeringsfarve5 2 5 4 4 2" xfId="17038"/>
    <cellStyle name="20 % - Markeringsfarve5 2 5 4 4 3" xfId="28395"/>
    <cellStyle name="20 % - Markeringsfarve5 2 5 4 5" xfId="12053"/>
    <cellStyle name="20 % - Markeringsfarve5 2 5 4 6" xfId="23411"/>
    <cellStyle name="20 % - Markeringsfarve5 2 5 5" xfId="2074"/>
    <cellStyle name="20 % - Markeringsfarve5 2 5 5 2" xfId="7062"/>
    <cellStyle name="20 % - Markeringsfarve5 2 5 5 2 2" xfId="17870"/>
    <cellStyle name="20 % - Markeringsfarve5 2 5 5 2 3" xfId="29227"/>
    <cellStyle name="20 % - Markeringsfarve5 2 5 5 3" xfId="12885"/>
    <cellStyle name="20 % - Markeringsfarve5 2 5 5 4" xfId="24243"/>
    <cellStyle name="20 % - Markeringsfarve5 2 5 6" xfId="3739"/>
    <cellStyle name="20 % - Markeringsfarve5 2 5 6 2" xfId="8724"/>
    <cellStyle name="20 % - Markeringsfarve5 2 5 6 2 2" xfId="19531"/>
    <cellStyle name="20 % - Markeringsfarve5 2 5 6 2 3" xfId="30888"/>
    <cellStyle name="20 % - Markeringsfarve5 2 5 6 3" xfId="14546"/>
    <cellStyle name="20 % - Markeringsfarve5 2 5 6 4" xfId="25904"/>
    <cellStyle name="20 % - Markeringsfarve5 2 5 7" xfId="5400"/>
    <cellStyle name="20 % - Markeringsfarve5 2 5 7 2" xfId="16209"/>
    <cellStyle name="20 % - Markeringsfarve5 2 5 7 3" xfId="27566"/>
    <cellStyle name="20 % - Markeringsfarve5 2 5 8" xfId="10385"/>
    <cellStyle name="20 % - Markeringsfarve5 2 5 8 2" xfId="21192"/>
    <cellStyle name="20 % - Markeringsfarve5 2 5 8 3" xfId="32549"/>
    <cellStyle name="20 % - Markeringsfarve5 2 5 9" xfId="11219"/>
    <cellStyle name="20 % - Markeringsfarve5 2 6" xfId="469"/>
    <cellStyle name="20 % - Markeringsfarve5 2 6 2" xfId="1299"/>
    <cellStyle name="20 % - Markeringsfarve5 2 6 2 2" xfId="2964"/>
    <cellStyle name="20 % - Markeringsfarve5 2 6 2 2 2" xfId="7952"/>
    <cellStyle name="20 % - Markeringsfarve5 2 6 2 2 2 2" xfId="18759"/>
    <cellStyle name="20 % - Markeringsfarve5 2 6 2 2 2 3" xfId="30116"/>
    <cellStyle name="20 % - Markeringsfarve5 2 6 2 2 3" xfId="13774"/>
    <cellStyle name="20 % - Markeringsfarve5 2 6 2 2 4" xfId="25132"/>
    <cellStyle name="20 % - Markeringsfarve5 2 6 2 3" xfId="4628"/>
    <cellStyle name="20 % - Markeringsfarve5 2 6 2 3 2" xfId="9613"/>
    <cellStyle name="20 % - Markeringsfarve5 2 6 2 3 2 2" xfId="20420"/>
    <cellStyle name="20 % - Markeringsfarve5 2 6 2 3 2 3" xfId="31777"/>
    <cellStyle name="20 % - Markeringsfarve5 2 6 2 3 3" xfId="15435"/>
    <cellStyle name="20 % - Markeringsfarve5 2 6 2 3 4" xfId="26793"/>
    <cellStyle name="20 % - Markeringsfarve5 2 6 2 4" xfId="6290"/>
    <cellStyle name="20 % - Markeringsfarve5 2 6 2 4 2" xfId="17098"/>
    <cellStyle name="20 % - Markeringsfarve5 2 6 2 4 3" xfId="28455"/>
    <cellStyle name="20 % - Markeringsfarve5 2 6 2 5" xfId="12113"/>
    <cellStyle name="20 % - Markeringsfarve5 2 6 2 6" xfId="23471"/>
    <cellStyle name="20 % - Markeringsfarve5 2 6 3" xfId="2135"/>
    <cellStyle name="20 % - Markeringsfarve5 2 6 3 2" xfId="7123"/>
    <cellStyle name="20 % - Markeringsfarve5 2 6 3 2 2" xfId="17930"/>
    <cellStyle name="20 % - Markeringsfarve5 2 6 3 2 3" xfId="29287"/>
    <cellStyle name="20 % - Markeringsfarve5 2 6 3 3" xfId="12945"/>
    <cellStyle name="20 % - Markeringsfarve5 2 6 3 4" xfId="24303"/>
    <cellStyle name="20 % - Markeringsfarve5 2 6 4" xfId="3799"/>
    <cellStyle name="20 % - Markeringsfarve5 2 6 4 2" xfId="8784"/>
    <cellStyle name="20 % - Markeringsfarve5 2 6 4 2 2" xfId="19591"/>
    <cellStyle name="20 % - Markeringsfarve5 2 6 4 2 3" xfId="30948"/>
    <cellStyle name="20 % - Markeringsfarve5 2 6 4 3" xfId="14606"/>
    <cellStyle name="20 % - Markeringsfarve5 2 6 4 4" xfId="25964"/>
    <cellStyle name="20 % - Markeringsfarve5 2 6 5" xfId="5461"/>
    <cellStyle name="20 % - Markeringsfarve5 2 6 5 2" xfId="16269"/>
    <cellStyle name="20 % - Markeringsfarve5 2 6 5 3" xfId="27626"/>
    <cellStyle name="20 % - Markeringsfarve5 2 6 6" xfId="10434"/>
    <cellStyle name="20 % - Markeringsfarve5 2 6 6 2" xfId="21241"/>
    <cellStyle name="20 % - Markeringsfarve5 2 6 6 3" xfId="32598"/>
    <cellStyle name="20 % - Markeringsfarve5 2 6 7" xfId="11280"/>
    <cellStyle name="20 % - Markeringsfarve5 2 6 8" xfId="22086"/>
    <cellStyle name="20 % - Markeringsfarve5 2 6 9" xfId="22640"/>
    <cellStyle name="20 % - Markeringsfarve5 2 7" xfId="741"/>
    <cellStyle name="20 % - Markeringsfarve5 2 7 2" xfId="1573"/>
    <cellStyle name="20 % - Markeringsfarve5 2 7 2 2" xfId="3238"/>
    <cellStyle name="20 % - Markeringsfarve5 2 7 2 2 2" xfId="8226"/>
    <cellStyle name="20 % - Markeringsfarve5 2 7 2 2 2 2" xfId="19033"/>
    <cellStyle name="20 % - Markeringsfarve5 2 7 2 2 2 3" xfId="30390"/>
    <cellStyle name="20 % - Markeringsfarve5 2 7 2 2 3" xfId="14048"/>
    <cellStyle name="20 % - Markeringsfarve5 2 7 2 2 4" xfId="25406"/>
    <cellStyle name="20 % - Markeringsfarve5 2 7 2 3" xfId="4902"/>
    <cellStyle name="20 % - Markeringsfarve5 2 7 2 3 2" xfId="9887"/>
    <cellStyle name="20 % - Markeringsfarve5 2 7 2 3 2 2" xfId="20694"/>
    <cellStyle name="20 % - Markeringsfarve5 2 7 2 3 2 3" xfId="32051"/>
    <cellStyle name="20 % - Markeringsfarve5 2 7 2 3 3" xfId="15709"/>
    <cellStyle name="20 % - Markeringsfarve5 2 7 2 3 4" xfId="27067"/>
    <cellStyle name="20 % - Markeringsfarve5 2 7 2 4" xfId="6564"/>
    <cellStyle name="20 % - Markeringsfarve5 2 7 2 4 2" xfId="17372"/>
    <cellStyle name="20 % - Markeringsfarve5 2 7 2 4 3" xfId="28729"/>
    <cellStyle name="20 % - Markeringsfarve5 2 7 2 5" xfId="12387"/>
    <cellStyle name="20 % - Markeringsfarve5 2 7 2 6" xfId="23745"/>
    <cellStyle name="20 % - Markeringsfarve5 2 7 3" xfId="2407"/>
    <cellStyle name="20 % - Markeringsfarve5 2 7 3 2" xfId="7395"/>
    <cellStyle name="20 % - Markeringsfarve5 2 7 3 2 2" xfId="18202"/>
    <cellStyle name="20 % - Markeringsfarve5 2 7 3 2 3" xfId="29559"/>
    <cellStyle name="20 % - Markeringsfarve5 2 7 3 3" xfId="13217"/>
    <cellStyle name="20 % - Markeringsfarve5 2 7 3 4" xfId="24575"/>
    <cellStyle name="20 % - Markeringsfarve5 2 7 4" xfId="4071"/>
    <cellStyle name="20 % - Markeringsfarve5 2 7 4 2" xfId="9056"/>
    <cellStyle name="20 % - Markeringsfarve5 2 7 4 2 2" xfId="19863"/>
    <cellStyle name="20 % - Markeringsfarve5 2 7 4 2 3" xfId="31220"/>
    <cellStyle name="20 % - Markeringsfarve5 2 7 4 3" xfId="14878"/>
    <cellStyle name="20 % - Markeringsfarve5 2 7 4 4" xfId="26236"/>
    <cellStyle name="20 % - Markeringsfarve5 2 7 5" xfId="5733"/>
    <cellStyle name="20 % - Markeringsfarve5 2 7 5 2" xfId="16541"/>
    <cellStyle name="20 % - Markeringsfarve5 2 7 5 3" xfId="27898"/>
    <cellStyle name="20 % - Markeringsfarve5 2 7 6" xfId="10720"/>
    <cellStyle name="20 % - Markeringsfarve5 2 7 6 2" xfId="21527"/>
    <cellStyle name="20 % - Markeringsfarve5 2 7 6 3" xfId="32884"/>
    <cellStyle name="20 % - Markeringsfarve5 2 7 7" xfId="11555"/>
    <cellStyle name="20 % - Markeringsfarve5 2 7 8" xfId="22914"/>
    <cellStyle name="20 % - Markeringsfarve5 2 8" xfId="1020"/>
    <cellStyle name="20 % - Markeringsfarve5 2 8 2" xfId="2685"/>
    <cellStyle name="20 % - Markeringsfarve5 2 8 2 2" xfId="7673"/>
    <cellStyle name="20 % - Markeringsfarve5 2 8 2 2 2" xfId="18480"/>
    <cellStyle name="20 % - Markeringsfarve5 2 8 2 2 3" xfId="29837"/>
    <cellStyle name="20 % - Markeringsfarve5 2 8 2 3" xfId="13495"/>
    <cellStyle name="20 % - Markeringsfarve5 2 8 2 4" xfId="24853"/>
    <cellStyle name="20 % - Markeringsfarve5 2 8 3" xfId="4349"/>
    <cellStyle name="20 % - Markeringsfarve5 2 8 3 2" xfId="9334"/>
    <cellStyle name="20 % - Markeringsfarve5 2 8 3 2 2" xfId="20141"/>
    <cellStyle name="20 % - Markeringsfarve5 2 8 3 2 3" xfId="31498"/>
    <cellStyle name="20 % - Markeringsfarve5 2 8 3 3" xfId="15156"/>
    <cellStyle name="20 % - Markeringsfarve5 2 8 3 4" xfId="26514"/>
    <cellStyle name="20 % - Markeringsfarve5 2 8 4" xfId="6011"/>
    <cellStyle name="20 % - Markeringsfarve5 2 8 4 2" xfId="16819"/>
    <cellStyle name="20 % - Markeringsfarve5 2 8 4 3" xfId="28176"/>
    <cellStyle name="20 % - Markeringsfarve5 2 8 5" xfId="11834"/>
    <cellStyle name="20 % - Markeringsfarve5 2 8 6" xfId="23192"/>
    <cellStyle name="20 % - Markeringsfarve5 2 9" xfId="1856"/>
    <cellStyle name="20 % - Markeringsfarve5 2 9 2" xfId="6844"/>
    <cellStyle name="20 % - Markeringsfarve5 2 9 2 2" xfId="17652"/>
    <cellStyle name="20 % - Markeringsfarve5 2 9 2 3" xfId="29009"/>
    <cellStyle name="20 % - Markeringsfarve5 2 9 3" xfId="12667"/>
    <cellStyle name="20 % - Markeringsfarve5 2 9 4" xfId="24025"/>
    <cellStyle name="20 % - Markeringsfarve5 20" xfId="33685"/>
    <cellStyle name="20 % - Markeringsfarve5 3" xfId="102"/>
    <cellStyle name="20 % - Markeringsfarve5 3 10" xfId="3540"/>
    <cellStyle name="20 % - Markeringsfarve5 3 10 2" xfId="8525"/>
    <cellStyle name="20 % - Markeringsfarve5 3 10 2 2" xfId="19332"/>
    <cellStyle name="20 % - Markeringsfarve5 3 10 2 3" xfId="30689"/>
    <cellStyle name="20 % - Markeringsfarve5 3 10 3" xfId="14347"/>
    <cellStyle name="20 % - Markeringsfarve5 3 10 4" xfId="25705"/>
    <cellStyle name="20 % - Markeringsfarve5 3 11" xfId="5201"/>
    <cellStyle name="20 % - Markeringsfarve5 3 11 2" xfId="16010"/>
    <cellStyle name="20 % - Markeringsfarve5 3 11 3" xfId="27367"/>
    <cellStyle name="20 % - Markeringsfarve5 3 12" xfId="10185"/>
    <cellStyle name="20 % - Markeringsfarve5 3 12 2" xfId="20992"/>
    <cellStyle name="20 % - Markeringsfarve5 3 12 3" xfId="32349"/>
    <cellStyle name="20 % - Markeringsfarve5 3 13" xfId="11019"/>
    <cellStyle name="20 % - Markeringsfarve5 3 14" xfId="21826"/>
    <cellStyle name="20 % - Markeringsfarve5 3 15" xfId="22379"/>
    <cellStyle name="20 % - Markeringsfarve5 3 16" xfId="33182"/>
    <cellStyle name="20 % - Markeringsfarve5 3 17" xfId="33456"/>
    <cellStyle name="20 % - Markeringsfarve5 3 18" xfId="33727"/>
    <cellStyle name="20 % - Markeringsfarve5 3 2" xfId="222"/>
    <cellStyle name="20 % - Markeringsfarve5 3 2 10" xfId="21880"/>
    <cellStyle name="20 % - Markeringsfarve5 3 2 11" xfId="22433"/>
    <cellStyle name="20 % - Markeringsfarve5 3 2 12" xfId="33236"/>
    <cellStyle name="20 % - Markeringsfarve5 3 2 13" xfId="33511"/>
    <cellStyle name="20 % - Markeringsfarve5 3 2 14" xfId="33782"/>
    <cellStyle name="20 % - Markeringsfarve5 3 2 2" xfId="540"/>
    <cellStyle name="20 % - Markeringsfarve5 3 2 2 2" xfId="1372"/>
    <cellStyle name="20 % - Markeringsfarve5 3 2 2 2 2" xfId="3037"/>
    <cellStyle name="20 % - Markeringsfarve5 3 2 2 2 2 2" xfId="8025"/>
    <cellStyle name="20 % - Markeringsfarve5 3 2 2 2 2 2 2" xfId="18832"/>
    <cellStyle name="20 % - Markeringsfarve5 3 2 2 2 2 2 3" xfId="30189"/>
    <cellStyle name="20 % - Markeringsfarve5 3 2 2 2 2 3" xfId="13847"/>
    <cellStyle name="20 % - Markeringsfarve5 3 2 2 2 2 4" xfId="25205"/>
    <cellStyle name="20 % - Markeringsfarve5 3 2 2 2 3" xfId="4701"/>
    <cellStyle name="20 % - Markeringsfarve5 3 2 2 2 3 2" xfId="9686"/>
    <cellStyle name="20 % - Markeringsfarve5 3 2 2 2 3 2 2" xfId="20493"/>
    <cellStyle name="20 % - Markeringsfarve5 3 2 2 2 3 2 3" xfId="31850"/>
    <cellStyle name="20 % - Markeringsfarve5 3 2 2 2 3 3" xfId="15508"/>
    <cellStyle name="20 % - Markeringsfarve5 3 2 2 2 3 4" xfId="26866"/>
    <cellStyle name="20 % - Markeringsfarve5 3 2 2 2 4" xfId="6363"/>
    <cellStyle name="20 % - Markeringsfarve5 3 2 2 2 4 2" xfId="17171"/>
    <cellStyle name="20 % - Markeringsfarve5 3 2 2 2 4 3" xfId="28528"/>
    <cellStyle name="20 % - Markeringsfarve5 3 2 2 2 5" xfId="12186"/>
    <cellStyle name="20 % - Markeringsfarve5 3 2 2 2 6" xfId="23544"/>
    <cellStyle name="20 % - Markeringsfarve5 3 2 2 3" xfId="2206"/>
    <cellStyle name="20 % - Markeringsfarve5 3 2 2 3 2" xfId="7194"/>
    <cellStyle name="20 % - Markeringsfarve5 3 2 2 3 2 2" xfId="18001"/>
    <cellStyle name="20 % - Markeringsfarve5 3 2 2 3 2 3" xfId="29358"/>
    <cellStyle name="20 % - Markeringsfarve5 3 2 2 3 3" xfId="13016"/>
    <cellStyle name="20 % - Markeringsfarve5 3 2 2 3 4" xfId="24374"/>
    <cellStyle name="20 % - Markeringsfarve5 3 2 2 4" xfId="3870"/>
    <cellStyle name="20 % - Markeringsfarve5 3 2 2 4 2" xfId="8855"/>
    <cellStyle name="20 % - Markeringsfarve5 3 2 2 4 2 2" xfId="19662"/>
    <cellStyle name="20 % - Markeringsfarve5 3 2 2 4 2 3" xfId="31019"/>
    <cellStyle name="20 % - Markeringsfarve5 3 2 2 4 3" xfId="14677"/>
    <cellStyle name="20 % - Markeringsfarve5 3 2 2 4 4" xfId="26035"/>
    <cellStyle name="20 % - Markeringsfarve5 3 2 2 5" xfId="5532"/>
    <cellStyle name="20 % - Markeringsfarve5 3 2 2 5 2" xfId="16340"/>
    <cellStyle name="20 % - Markeringsfarve5 3 2 2 5 3" xfId="27697"/>
    <cellStyle name="20 % - Markeringsfarve5 3 2 2 6" xfId="10519"/>
    <cellStyle name="20 % - Markeringsfarve5 3 2 2 6 2" xfId="21326"/>
    <cellStyle name="20 % - Markeringsfarve5 3 2 2 6 3" xfId="32683"/>
    <cellStyle name="20 % - Markeringsfarve5 3 2 2 7" xfId="11353"/>
    <cellStyle name="20 % - Markeringsfarve5 3 2 2 8" xfId="22159"/>
    <cellStyle name="20 % - Markeringsfarve5 3 2 2 9" xfId="22713"/>
    <cellStyle name="20 % - Markeringsfarve5 3 2 3" xfId="814"/>
    <cellStyle name="20 % - Markeringsfarve5 3 2 3 2" xfId="1646"/>
    <cellStyle name="20 % - Markeringsfarve5 3 2 3 2 2" xfId="3311"/>
    <cellStyle name="20 % - Markeringsfarve5 3 2 3 2 2 2" xfId="8299"/>
    <cellStyle name="20 % - Markeringsfarve5 3 2 3 2 2 2 2" xfId="19106"/>
    <cellStyle name="20 % - Markeringsfarve5 3 2 3 2 2 2 3" xfId="30463"/>
    <cellStyle name="20 % - Markeringsfarve5 3 2 3 2 2 3" xfId="14121"/>
    <cellStyle name="20 % - Markeringsfarve5 3 2 3 2 2 4" xfId="25479"/>
    <cellStyle name="20 % - Markeringsfarve5 3 2 3 2 3" xfId="4975"/>
    <cellStyle name="20 % - Markeringsfarve5 3 2 3 2 3 2" xfId="9960"/>
    <cellStyle name="20 % - Markeringsfarve5 3 2 3 2 3 2 2" xfId="20767"/>
    <cellStyle name="20 % - Markeringsfarve5 3 2 3 2 3 2 3" xfId="32124"/>
    <cellStyle name="20 % - Markeringsfarve5 3 2 3 2 3 3" xfId="15782"/>
    <cellStyle name="20 % - Markeringsfarve5 3 2 3 2 3 4" xfId="27140"/>
    <cellStyle name="20 % - Markeringsfarve5 3 2 3 2 4" xfId="6637"/>
    <cellStyle name="20 % - Markeringsfarve5 3 2 3 2 4 2" xfId="17445"/>
    <cellStyle name="20 % - Markeringsfarve5 3 2 3 2 4 3" xfId="28802"/>
    <cellStyle name="20 % - Markeringsfarve5 3 2 3 2 5" xfId="12460"/>
    <cellStyle name="20 % - Markeringsfarve5 3 2 3 2 6" xfId="23818"/>
    <cellStyle name="20 % - Markeringsfarve5 3 2 3 3" xfId="2480"/>
    <cellStyle name="20 % - Markeringsfarve5 3 2 3 3 2" xfId="7468"/>
    <cellStyle name="20 % - Markeringsfarve5 3 2 3 3 2 2" xfId="18275"/>
    <cellStyle name="20 % - Markeringsfarve5 3 2 3 3 2 3" xfId="29632"/>
    <cellStyle name="20 % - Markeringsfarve5 3 2 3 3 3" xfId="13290"/>
    <cellStyle name="20 % - Markeringsfarve5 3 2 3 3 4" xfId="24648"/>
    <cellStyle name="20 % - Markeringsfarve5 3 2 3 4" xfId="4144"/>
    <cellStyle name="20 % - Markeringsfarve5 3 2 3 4 2" xfId="9129"/>
    <cellStyle name="20 % - Markeringsfarve5 3 2 3 4 2 2" xfId="19936"/>
    <cellStyle name="20 % - Markeringsfarve5 3 2 3 4 2 3" xfId="31293"/>
    <cellStyle name="20 % - Markeringsfarve5 3 2 3 4 3" xfId="14951"/>
    <cellStyle name="20 % - Markeringsfarve5 3 2 3 4 4" xfId="26309"/>
    <cellStyle name="20 % - Markeringsfarve5 3 2 3 5" xfId="5806"/>
    <cellStyle name="20 % - Markeringsfarve5 3 2 3 5 2" xfId="16614"/>
    <cellStyle name="20 % - Markeringsfarve5 3 2 3 5 3" xfId="27971"/>
    <cellStyle name="20 % - Markeringsfarve5 3 2 3 6" xfId="10793"/>
    <cellStyle name="20 % - Markeringsfarve5 3 2 3 6 2" xfId="21600"/>
    <cellStyle name="20 % - Markeringsfarve5 3 2 3 6 3" xfId="32957"/>
    <cellStyle name="20 % - Markeringsfarve5 3 2 3 7" xfId="11628"/>
    <cellStyle name="20 % - Markeringsfarve5 3 2 3 8" xfId="22987"/>
    <cellStyle name="20 % - Markeringsfarve5 3 2 4" xfId="1093"/>
    <cellStyle name="20 % - Markeringsfarve5 3 2 4 2" xfId="2758"/>
    <cellStyle name="20 % - Markeringsfarve5 3 2 4 2 2" xfId="7746"/>
    <cellStyle name="20 % - Markeringsfarve5 3 2 4 2 2 2" xfId="18553"/>
    <cellStyle name="20 % - Markeringsfarve5 3 2 4 2 2 3" xfId="29910"/>
    <cellStyle name="20 % - Markeringsfarve5 3 2 4 2 3" xfId="13568"/>
    <cellStyle name="20 % - Markeringsfarve5 3 2 4 2 4" xfId="24926"/>
    <cellStyle name="20 % - Markeringsfarve5 3 2 4 3" xfId="4422"/>
    <cellStyle name="20 % - Markeringsfarve5 3 2 4 3 2" xfId="9407"/>
    <cellStyle name="20 % - Markeringsfarve5 3 2 4 3 2 2" xfId="20214"/>
    <cellStyle name="20 % - Markeringsfarve5 3 2 4 3 2 3" xfId="31571"/>
    <cellStyle name="20 % - Markeringsfarve5 3 2 4 3 3" xfId="15229"/>
    <cellStyle name="20 % - Markeringsfarve5 3 2 4 3 4" xfId="26587"/>
    <cellStyle name="20 % - Markeringsfarve5 3 2 4 4" xfId="6084"/>
    <cellStyle name="20 % - Markeringsfarve5 3 2 4 4 2" xfId="16892"/>
    <cellStyle name="20 % - Markeringsfarve5 3 2 4 4 3" xfId="28249"/>
    <cellStyle name="20 % - Markeringsfarve5 3 2 4 5" xfId="11907"/>
    <cellStyle name="20 % - Markeringsfarve5 3 2 4 6" xfId="23265"/>
    <cellStyle name="20 % - Markeringsfarve5 3 2 5" xfId="1928"/>
    <cellStyle name="20 % - Markeringsfarve5 3 2 5 2" xfId="6916"/>
    <cellStyle name="20 % - Markeringsfarve5 3 2 5 2 2" xfId="17724"/>
    <cellStyle name="20 % - Markeringsfarve5 3 2 5 2 3" xfId="29081"/>
    <cellStyle name="20 % - Markeringsfarve5 3 2 5 3" xfId="12739"/>
    <cellStyle name="20 % - Markeringsfarve5 3 2 5 4" xfId="24097"/>
    <cellStyle name="20 % - Markeringsfarve5 3 2 6" xfId="3593"/>
    <cellStyle name="20 % - Markeringsfarve5 3 2 6 2" xfId="8578"/>
    <cellStyle name="20 % - Markeringsfarve5 3 2 6 2 2" xfId="19385"/>
    <cellStyle name="20 % - Markeringsfarve5 3 2 6 2 3" xfId="30742"/>
    <cellStyle name="20 % - Markeringsfarve5 3 2 6 3" xfId="14400"/>
    <cellStyle name="20 % - Markeringsfarve5 3 2 6 4" xfId="25758"/>
    <cellStyle name="20 % - Markeringsfarve5 3 2 7" xfId="5254"/>
    <cellStyle name="20 % - Markeringsfarve5 3 2 7 2" xfId="16063"/>
    <cellStyle name="20 % - Markeringsfarve5 3 2 7 3" xfId="27420"/>
    <cellStyle name="20 % - Markeringsfarve5 3 2 8" xfId="10239"/>
    <cellStyle name="20 % - Markeringsfarve5 3 2 8 2" xfId="21046"/>
    <cellStyle name="20 % - Markeringsfarve5 3 2 8 3" xfId="32403"/>
    <cellStyle name="20 % - Markeringsfarve5 3 2 9" xfId="11073"/>
    <cellStyle name="20 % - Markeringsfarve5 3 3" xfId="277"/>
    <cellStyle name="20 % - Markeringsfarve5 3 3 10" xfId="21934"/>
    <cellStyle name="20 % - Markeringsfarve5 3 3 11" xfId="22487"/>
    <cellStyle name="20 % - Markeringsfarve5 3 3 12" xfId="33290"/>
    <cellStyle name="20 % - Markeringsfarve5 3 3 13" xfId="33565"/>
    <cellStyle name="20 % - Markeringsfarve5 3 3 14" xfId="33836"/>
    <cellStyle name="20 % - Markeringsfarve5 3 3 2" xfId="594"/>
    <cellStyle name="20 % - Markeringsfarve5 3 3 2 2" xfId="1426"/>
    <cellStyle name="20 % - Markeringsfarve5 3 3 2 2 2" xfId="3091"/>
    <cellStyle name="20 % - Markeringsfarve5 3 3 2 2 2 2" xfId="8079"/>
    <cellStyle name="20 % - Markeringsfarve5 3 3 2 2 2 2 2" xfId="18886"/>
    <cellStyle name="20 % - Markeringsfarve5 3 3 2 2 2 2 3" xfId="30243"/>
    <cellStyle name="20 % - Markeringsfarve5 3 3 2 2 2 3" xfId="13901"/>
    <cellStyle name="20 % - Markeringsfarve5 3 3 2 2 2 4" xfId="25259"/>
    <cellStyle name="20 % - Markeringsfarve5 3 3 2 2 3" xfId="4755"/>
    <cellStyle name="20 % - Markeringsfarve5 3 3 2 2 3 2" xfId="9740"/>
    <cellStyle name="20 % - Markeringsfarve5 3 3 2 2 3 2 2" xfId="20547"/>
    <cellStyle name="20 % - Markeringsfarve5 3 3 2 2 3 2 3" xfId="31904"/>
    <cellStyle name="20 % - Markeringsfarve5 3 3 2 2 3 3" xfId="15562"/>
    <cellStyle name="20 % - Markeringsfarve5 3 3 2 2 3 4" xfId="26920"/>
    <cellStyle name="20 % - Markeringsfarve5 3 3 2 2 4" xfId="6417"/>
    <cellStyle name="20 % - Markeringsfarve5 3 3 2 2 4 2" xfId="17225"/>
    <cellStyle name="20 % - Markeringsfarve5 3 3 2 2 4 3" xfId="28582"/>
    <cellStyle name="20 % - Markeringsfarve5 3 3 2 2 5" xfId="12240"/>
    <cellStyle name="20 % - Markeringsfarve5 3 3 2 2 6" xfId="23598"/>
    <cellStyle name="20 % - Markeringsfarve5 3 3 2 3" xfId="2260"/>
    <cellStyle name="20 % - Markeringsfarve5 3 3 2 3 2" xfId="7248"/>
    <cellStyle name="20 % - Markeringsfarve5 3 3 2 3 2 2" xfId="18055"/>
    <cellStyle name="20 % - Markeringsfarve5 3 3 2 3 2 3" xfId="29412"/>
    <cellStyle name="20 % - Markeringsfarve5 3 3 2 3 3" xfId="13070"/>
    <cellStyle name="20 % - Markeringsfarve5 3 3 2 3 4" xfId="24428"/>
    <cellStyle name="20 % - Markeringsfarve5 3 3 2 4" xfId="3924"/>
    <cellStyle name="20 % - Markeringsfarve5 3 3 2 4 2" xfId="8909"/>
    <cellStyle name="20 % - Markeringsfarve5 3 3 2 4 2 2" xfId="19716"/>
    <cellStyle name="20 % - Markeringsfarve5 3 3 2 4 2 3" xfId="31073"/>
    <cellStyle name="20 % - Markeringsfarve5 3 3 2 4 3" xfId="14731"/>
    <cellStyle name="20 % - Markeringsfarve5 3 3 2 4 4" xfId="26089"/>
    <cellStyle name="20 % - Markeringsfarve5 3 3 2 5" xfId="5586"/>
    <cellStyle name="20 % - Markeringsfarve5 3 3 2 5 2" xfId="16394"/>
    <cellStyle name="20 % - Markeringsfarve5 3 3 2 5 3" xfId="27751"/>
    <cellStyle name="20 % - Markeringsfarve5 3 3 2 6" xfId="10573"/>
    <cellStyle name="20 % - Markeringsfarve5 3 3 2 6 2" xfId="21380"/>
    <cellStyle name="20 % - Markeringsfarve5 3 3 2 6 3" xfId="32737"/>
    <cellStyle name="20 % - Markeringsfarve5 3 3 2 7" xfId="11407"/>
    <cellStyle name="20 % - Markeringsfarve5 3 3 2 8" xfId="22213"/>
    <cellStyle name="20 % - Markeringsfarve5 3 3 2 9" xfId="22767"/>
    <cellStyle name="20 % - Markeringsfarve5 3 3 3" xfId="868"/>
    <cellStyle name="20 % - Markeringsfarve5 3 3 3 2" xfId="1700"/>
    <cellStyle name="20 % - Markeringsfarve5 3 3 3 2 2" xfId="3365"/>
    <cellStyle name="20 % - Markeringsfarve5 3 3 3 2 2 2" xfId="8353"/>
    <cellStyle name="20 % - Markeringsfarve5 3 3 3 2 2 2 2" xfId="19160"/>
    <cellStyle name="20 % - Markeringsfarve5 3 3 3 2 2 2 3" xfId="30517"/>
    <cellStyle name="20 % - Markeringsfarve5 3 3 3 2 2 3" xfId="14175"/>
    <cellStyle name="20 % - Markeringsfarve5 3 3 3 2 2 4" xfId="25533"/>
    <cellStyle name="20 % - Markeringsfarve5 3 3 3 2 3" xfId="5029"/>
    <cellStyle name="20 % - Markeringsfarve5 3 3 3 2 3 2" xfId="10014"/>
    <cellStyle name="20 % - Markeringsfarve5 3 3 3 2 3 2 2" xfId="20821"/>
    <cellStyle name="20 % - Markeringsfarve5 3 3 3 2 3 2 3" xfId="32178"/>
    <cellStyle name="20 % - Markeringsfarve5 3 3 3 2 3 3" xfId="15836"/>
    <cellStyle name="20 % - Markeringsfarve5 3 3 3 2 3 4" xfId="27194"/>
    <cellStyle name="20 % - Markeringsfarve5 3 3 3 2 4" xfId="6691"/>
    <cellStyle name="20 % - Markeringsfarve5 3 3 3 2 4 2" xfId="17499"/>
    <cellStyle name="20 % - Markeringsfarve5 3 3 3 2 4 3" xfId="28856"/>
    <cellStyle name="20 % - Markeringsfarve5 3 3 3 2 5" xfId="12514"/>
    <cellStyle name="20 % - Markeringsfarve5 3 3 3 2 6" xfId="23872"/>
    <cellStyle name="20 % - Markeringsfarve5 3 3 3 3" xfId="2534"/>
    <cellStyle name="20 % - Markeringsfarve5 3 3 3 3 2" xfId="7522"/>
    <cellStyle name="20 % - Markeringsfarve5 3 3 3 3 2 2" xfId="18329"/>
    <cellStyle name="20 % - Markeringsfarve5 3 3 3 3 2 3" xfId="29686"/>
    <cellStyle name="20 % - Markeringsfarve5 3 3 3 3 3" xfId="13344"/>
    <cellStyle name="20 % - Markeringsfarve5 3 3 3 3 4" xfId="24702"/>
    <cellStyle name="20 % - Markeringsfarve5 3 3 3 4" xfId="4198"/>
    <cellStyle name="20 % - Markeringsfarve5 3 3 3 4 2" xfId="9183"/>
    <cellStyle name="20 % - Markeringsfarve5 3 3 3 4 2 2" xfId="19990"/>
    <cellStyle name="20 % - Markeringsfarve5 3 3 3 4 2 3" xfId="31347"/>
    <cellStyle name="20 % - Markeringsfarve5 3 3 3 4 3" xfId="15005"/>
    <cellStyle name="20 % - Markeringsfarve5 3 3 3 4 4" xfId="26363"/>
    <cellStyle name="20 % - Markeringsfarve5 3 3 3 5" xfId="5860"/>
    <cellStyle name="20 % - Markeringsfarve5 3 3 3 5 2" xfId="16668"/>
    <cellStyle name="20 % - Markeringsfarve5 3 3 3 5 3" xfId="28025"/>
    <cellStyle name="20 % - Markeringsfarve5 3 3 3 6" xfId="10847"/>
    <cellStyle name="20 % - Markeringsfarve5 3 3 3 6 2" xfId="21654"/>
    <cellStyle name="20 % - Markeringsfarve5 3 3 3 6 3" xfId="33011"/>
    <cellStyle name="20 % - Markeringsfarve5 3 3 3 7" xfId="11682"/>
    <cellStyle name="20 % - Markeringsfarve5 3 3 3 8" xfId="23041"/>
    <cellStyle name="20 % - Markeringsfarve5 3 3 4" xfId="1147"/>
    <cellStyle name="20 % - Markeringsfarve5 3 3 4 2" xfId="2812"/>
    <cellStyle name="20 % - Markeringsfarve5 3 3 4 2 2" xfId="7800"/>
    <cellStyle name="20 % - Markeringsfarve5 3 3 4 2 2 2" xfId="18607"/>
    <cellStyle name="20 % - Markeringsfarve5 3 3 4 2 2 3" xfId="29964"/>
    <cellStyle name="20 % - Markeringsfarve5 3 3 4 2 3" xfId="13622"/>
    <cellStyle name="20 % - Markeringsfarve5 3 3 4 2 4" xfId="24980"/>
    <cellStyle name="20 % - Markeringsfarve5 3 3 4 3" xfId="4476"/>
    <cellStyle name="20 % - Markeringsfarve5 3 3 4 3 2" xfId="9461"/>
    <cellStyle name="20 % - Markeringsfarve5 3 3 4 3 2 2" xfId="20268"/>
    <cellStyle name="20 % - Markeringsfarve5 3 3 4 3 2 3" xfId="31625"/>
    <cellStyle name="20 % - Markeringsfarve5 3 3 4 3 3" xfId="15283"/>
    <cellStyle name="20 % - Markeringsfarve5 3 3 4 3 4" xfId="26641"/>
    <cellStyle name="20 % - Markeringsfarve5 3 3 4 4" xfId="6138"/>
    <cellStyle name="20 % - Markeringsfarve5 3 3 4 4 2" xfId="16946"/>
    <cellStyle name="20 % - Markeringsfarve5 3 3 4 4 3" xfId="28303"/>
    <cellStyle name="20 % - Markeringsfarve5 3 3 4 5" xfId="11961"/>
    <cellStyle name="20 % - Markeringsfarve5 3 3 4 6" xfId="23319"/>
    <cellStyle name="20 % - Markeringsfarve5 3 3 5" xfId="1982"/>
    <cellStyle name="20 % - Markeringsfarve5 3 3 5 2" xfId="6970"/>
    <cellStyle name="20 % - Markeringsfarve5 3 3 5 2 2" xfId="17778"/>
    <cellStyle name="20 % - Markeringsfarve5 3 3 5 2 3" xfId="29135"/>
    <cellStyle name="20 % - Markeringsfarve5 3 3 5 3" xfId="12793"/>
    <cellStyle name="20 % - Markeringsfarve5 3 3 5 4" xfId="24151"/>
    <cellStyle name="20 % - Markeringsfarve5 3 3 6" xfId="3647"/>
    <cellStyle name="20 % - Markeringsfarve5 3 3 6 2" xfId="8632"/>
    <cellStyle name="20 % - Markeringsfarve5 3 3 6 2 2" xfId="19439"/>
    <cellStyle name="20 % - Markeringsfarve5 3 3 6 2 3" xfId="30796"/>
    <cellStyle name="20 % - Markeringsfarve5 3 3 6 3" xfId="14454"/>
    <cellStyle name="20 % - Markeringsfarve5 3 3 6 4" xfId="25812"/>
    <cellStyle name="20 % - Markeringsfarve5 3 3 7" xfId="5308"/>
    <cellStyle name="20 % - Markeringsfarve5 3 3 7 2" xfId="16117"/>
    <cellStyle name="20 % - Markeringsfarve5 3 3 7 3" xfId="27474"/>
    <cellStyle name="20 % - Markeringsfarve5 3 3 8" xfId="10293"/>
    <cellStyle name="20 % - Markeringsfarve5 3 3 8 2" xfId="21100"/>
    <cellStyle name="20 % - Markeringsfarve5 3 3 8 3" xfId="32457"/>
    <cellStyle name="20 % - Markeringsfarve5 3 3 9" xfId="11127"/>
    <cellStyle name="20 % - Markeringsfarve5 3 4" xfId="332"/>
    <cellStyle name="20 % - Markeringsfarve5 3 4 10" xfId="21989"/>
    <cellStyle name="20 % - Markeringsfarve5 3 4 11" xfId="22542"/>
    <cellStyle name="20 % - Markeringsfarve5 3 4 12" xfId="33345"/>
    <cellStyle name="20 % - Markeringsfarve5 3 4 13" xfId="33620"/>
    <cellStyle name="20 % - Markeringsfarve5 3 4 14" xfId="33891"/>
    <cellStyle name="20 % - Markeringsfarve5 3 4 2" xfId="649"/>
    <cellStyle name="20 % - Markeringsfarve5 3 4 2 2" xfId="1481"/>
    <cellStyle name="20 % - Markeringsfarve5 3 4 2 2 2" xfId="3146"/>
    <cellStyle name="20 % - Markeringsfarve5 3 4 2 2 2 2" xfId="8134"/>
    <cellStyle name="20 % - Markeringsfarve5 3 4 2 2 2 2 2" xfId="18941"/>
    <cellStyle name="20 % - Markeringsfarve5 3 4 2 2 2 2 3" xfId="30298"/>
    <cellStyle name="20 % - Markeringsfarve5 3 4 2 2 2 3" xfId="13956"/>
    <cellStyle name="20 % - Markeringsfarve5 3 4 2 2 2 4" xfId="25314"/>
    <cellStyle name="20 % - Markeringsfarve5 3 4 2 2 3" xfId="4810"/>
    <cellStyle name="20 % - Markeringsfarve5 3 4 2 2 3 2" xfId="9795"/>
    <cellStyle name="20 % - Markeringsfarve5 3 4 2 2 3 2 2" xfId="20602"/>
    <cellStyle name="20 % - Markeringsfarve5 3 4 2 2 3 2 3" xfId="31959"/>
    <cellStyle name="20 % - Markeringsfarve5 3 4 2 2 3 3" xfId="15617"/>
    <cellStyle name="20 % - Markeringsfarve5 3 4 2 2 3 4" xfId="26975"/>
    <cellStyle name="20 % - Markeringsfarve5 3 4 2 2 4" xfId="6472"/>
    <cellStyle name="20 % - Markeringsfarve5 3 4 2 2 4 2" xfId="17280"/>
    <cellStyle name="20 % - Markeringsfarve5 3 4 2 2 4 3" xfId="28637"/>
    <cellStyle name="20 % - Markeringsfarve5 3 4 2 2 5" xfId="12295"/>
    <cellStyle name="20 % - Markeringsfarve5 3 4 2 2 6" xfId="23653"/>
    <cellStyle name="20 % - Markeringsfarve5 3 4 2 3" xfId="2315"/>
    <cellStyle name="20 % - Markeringsfarve5 3 4 2 3 2" xfId="7303"/>
    <cellStyle name="20 % - Markeringsfarve5 3 4 2 3 2 2" xfId="18110"/>
    <cellStyle name="20 % - Markeringsfarve5 3 4 2 3 2 3" xfId="29467"/>
    <cellStyle name="20 % - Markeringsfarve5 3 4 2 3 3" xfId="13125"/>
    <cellStyle name="20 % - Markeringsfarve5 3 4 2 3 4" xfId="24483"/>
    <cellStyle name="20 % - Markeringsfarve5 3 4 2 4" xfId="3979"/>
    <cellStyle name="20 % - Markeringsfarve5 3 4 2 4 2" xfId="8964"/>
    <cellStyle name="20 % - Markeringsfarve5 3 4 2 4 2 2" xfId="19771"/>
    <cellStyle name="20 % - Markeringsfarve5 3 4 2 4 2 3" xfId="31128"/>
    <cellStyle name="20 % - Markeringsfarve5 3 4 2 4 3" xfId="14786"/>
    <cellStyle name="20 % - Markeringsfarve5 3 4 2 4 4" xfId="26144"/>
    <cellStyle name="20 % - Markeringsfarve5 3 4 2 5" xfId="5641"/>
    <cellStyle name="20 % - Markeringsfarve5 3 4 2 5 2" xfId="16449"/>
    <cellStyle name="20 % - Markeringsfarve5 3 4 2 5 3" xfId="27806"/>
    <cellStyle name="20 % - Markeringsfarve5 3 4 2 6" xfId="10628"/>
    <cellStyle name="20 % - Markeringsfarve5 3 4 2 6 2" xfId="21435"/>
    <cellStyle name="20 % - Markeringsfarve5 3 4 2 6 3" xfId="32792"/>
    <cellStyle name="20 % - Markeringsfarve5 3 4 2 7" xfId="11462"/>
    <cellStyle name="20 % - Markeringsfarve5 3 4 2 8" xfId="22268"/>
    <cellStyle name="20 % - Markeringsfarve5 3 4 2 9" xfId="22822"/>
    <cellStyle name="20 % - Markeringsfarve5 3 4 3" xfId="923"/>
    <cellStyle name="20 % - Markeringsfarve5 3 4 3 2" xfId="1755"/>
    <cellStyle name="20 % - Markeringsfarve5 3 4 3 2 2" xfId="3420"/>
    <cellStyle name="20 % - Markeringsfarve5 3 4 3 2 2 2" xfId="8408"/>
    <cellStyle name="20 % - Markeringsfarve5 3 4 3 2 2 2 2" xfId="19215"/>
    <cellStyle name="20 % - Markeringsfarve5 3 4 3 2 2 2 3" xfId="30572"/>
    <cellStyle name="20 % - Markeringsfarve5 3 4 3 2 2 3" xfId="14230"/>
    <cellStyle name="20 % - Markeringsfarve5 3 4 3 2 2 4" xfId="25588"/>
    <cellStyle name="20 % - Markeringsfarve5 3 4 3 2 3" xfId="5084"/>
    <cellStyle name="20 % - Markeringsfarve5 3 4 3 2 3 2" xfId="10069"/>
    <cellStyle name="20 % - Markeringsfarve5 3 4 3 2 3 2 2" xfId="20876"/>
    <cellStyle name="20 % - Markeringsfarve5 3 4 3 2 3 2 3" xfId="32233"/>
    <cellStyle name="20 % - Markeringsfarve5 3 4 3 2 3 3" xfId="15891"/>
    <cellStyle name="20 % - Markeringsfarve5 3 4 3 2 3 4" xfId="27249"/>
    <cellStyle name="20 % - Markeringsfarve5 3 4 3 2 4" xfId="6746"/>
    <cellStyle name="20 % - Markeringsfarve5 3 4 3 2 4 2" xfId="17554"/>
    <cellStyle name="20 % - Markeringsfarve5 3 4 3 2 4 3" xfId="28911"/>
    <cellStyle name="20 % - Markeringsfarve5 3 4 3 2 5" xfId="12569"/>
    <cellStyle name="20 % - Markeringsfarve5 3 4 3 2 6" xfId="23927"/>
    <cellStyle name="20 % - Markeringsfarve5 3 4 3 3" xfId="2589"/>
    <cellStyle name="20 % - Markeringsfarve5 3 4 3 3 2" xfId="7577"/>
    <cellStyle name="20 % - Markeringsfarve5 3 4 3 3 2 2" xfId="18384"/>
    <cellStyle name="20 % - Markeringsfarve5 3 4 3 3 2 3" xfId="29741"/>
    <cellStyle name="20 % - Markeringsfarve5 3 4 3 3 3" xfId="13399"/>
    <cellStyle name="20 % - Markeringsfarve5 3 4 3 3 4" xfId="24757"/>
    <cellStyle name="20 % - Markeringsfarve5 3 4 3 4" xfId="4253"/>
    <cellStyle name="20 % - Markeringsfarve5 3 4 3 4 2" xfId="9238"/>
    <cellStyle name="20 % - Markeringsfarve5 3 4 3 4 2 2" xfId="20045"/>
    <cellStyle name="20 % - Markeringsfarve5 3 4 3 4 2 3" xfId="31402"/>
    <cellStyle name="20 % - Markeringsfarve5 3 4 3 4 3" xfId="15060"/>
    <cellStyle name="20 % - Markeringsfarve5 3 4 3 4 4" xfId="26418"/>
    <cellStyle name="20 % - Markeringsfarve5 3 4 3 5" xfId="5915"/>
    <cellStyle name="20 % - Markeringsfarve5 3 4 3 5 2" xfId="16723"/>
    <cellStyle name="20 % - Markeringsfarve5 3 4 3 5 3" xfId="28080"/>
    <cellStyle name="20 % - Markeringsfarve5 3 4 3 6" xfId="10902"/>
    <cellStyle name="20 % - Markeringsfarve5 3 4 3 6 2" xfId="21709"/>
    <cellStyle name="20 % - Markeringsfarve5 3 4 3 6 3" xfId="33066"/>
    <cellStyle name="20 % - Markeringsfarve5 3 4 3 7" xfId="11737"/>
    <cellStyle name="20 % - Markeringsfarve5 3 4 3 8" xfId="23096"/>
    <cellStyle name="20 % - Markeringsfarve5 3 4 4" xfId="1202"/>
    <cellStyle name="20 % - Markeringsfarve5 3 4 4 2" xfId="2867"/>
    <cellStyle name="20 % - Markeringsfarve5 3 4 4 2 2" xfId="7855"/>
    <cellStyle name="20 % - Markeringsfarve5 3 4 4 2 2 2" xfId="18662"/>
    <cellStyle name="20 % - Markeringsfarve5 3 4 4 2 2 3" xfId="30019"/>
    <cellStyle name="20 % - Markeringsfarve5 3 4 4 2 3" xfId="13677"/>
    <cellStyle name="20 % - Markeringsfarve5 3 4 4 2 4" xfId="25035"/>
    <cellStyle name="20 % - Markeringsfarve5 3 4 4 3" xfId="4531"/>
    <cellStyle name="20 % - Markeringsfarve5 3 4 4 3 2" xfId="9516"/>
    <cellStyle name="20 % - Markeringsfarve5 3 4 4 3 2 2" xfId="20323"/>
    <cellStyle name="20 % - Markeringsfarve5 3 4 4 3 2 3" xfId="31680"/>
    <cellStyle name="20 % - Markeringsfarve5 3 4 4 3 3" xfId="15338"/>
    <cellStyle name="20 % - Markeringsfarve5 3 4 4 3 4" xfId="26696"/>
    <cellStyle name="20 % - Markeringsfarve5 3 4 4 4" xfId="6193"/>
    <cellStyle name="20 % - Markeringsfarve5 3 4 4 4 2" xfId="17001"/>
    <cellStyle name="20 % - Markeringsfarve5 3 4 4 4 3" xfId="28358"/>
    <cellStyle name="20 % - Markeringsfarve5 3 4 4 5" xfId="12016"/>
    <cellStyle name="20 % - Markeringsfarve5 3 4 4 6" xfId="23374"/>
    <cellStyle name="20 % - Markeringsfarve5 3 4 5" xfId="2037"/>
    <cellStyle name="20 % - Markeringsfarve5 3 4 5 2" xfId="7025"/>
    <cellStyle name="20 % - Markeringsfarve5 3 4 5 2 2" xfId="17833"/>
    <cellStyle name="20 % - Markeringsfarve5 3 4 5 2 3" xfId="29190"/>
    <cellStyle name="20 % - Markeringsfarve5 3 4 5 3" xfId="12848"/>
    <cellStyle name="20 % - Markeringsfarve5 3 4 5 4" xfId="24206"/>
    <cellStyle name="20 % - Markeringsfarve5 3 4 6" xfId="3702"/>
    <cellStyle name="20 % - Markeringsfarve5 3 4 6 2" xfId="8687"/>
    <cellStyle name="20 % - Markeringsfarve5 3 4 6 2 2" xfId="19494"/>
    <cellStyle name="20 % - Markeringsfarve5 3 4 6 2 3" xfId="30851"/>
    <cellStyle name="20 % - Markeringsfarve5 3 4 6 3" xfId="14509"/>
    <cellStyle name="20 % - Markeringsfarve5 3 4 6 4" xfId="25867"/>
    <cellStyle name="20 % - Markeringsfarve5 3 4 7" xfId="5363"/>
    <cellStyle name="20 % - Markeringsfarve5 3 4 7 2" xfId="16172"/>
    <cellStyle name="20 % - Markeringsfarve5 3 4 7 3" xfId="27529"/>
    <cellStyle name="20 % - Markeringsfarve5 3 4 8" xfId="10348"/>
    <cellStyle name="20 % - Markeringsfarve5 3 4 8 2" xfId="21155"/>
    <cellStyle name="20 % - Markeringsfarve5 3 4 8 3" xfId="32512"/>
    <cellStyle name="20 % - Markeringsfarve5 3 4 9" xfId="11182"/>
    <cellStyle name="20 % - Markeringsfarve5 3 5" xfId="388"/>
    <cellStyle name="20 % - Markeringsfarve5 3 5 10" xfId="22045"/>
    <cellStyle name="20 % - Markeringsfarve5 3 5 11" xfId="22598"/>
    <cellStyle name="20 % - Markeringsfarve5 3 5 12" xfId="33401"/>
    <cellStyle name="20 % - Markeringsfarve5 3 5 13" xfId="33676"/>
    <cellStyle name="20 % - Markeringsfarve5 3 5 14" xfId="33947"/>
    <cellStyle name="20 % - Markeringsfarve5 3 5 2" xfId="705"/>
    <cellStyle name="20 % - Markeringsfarve5 3 5 2 2" xfId="1537"/>
    <cellStyle name="20 % - Markeringsfarve5 3 5 2 2 2" xfId="3202"/>
    <cellStyle name="20 % - Markeringsfarve5 3 5 2 2 2 2" xfId="8190"/>
    <cellStyle name="20 % - Markeringsfarve5 3 5 2 2 2 2 2" xfId="18997"/>
    <cellStyle name="20 % - Markeringsfarve5 3 5 2 2 2 2 3" xfId="30354"/>
    <cellStyle name="20 % - Markeringsfarve5 3 5 2 2 2 3" xfId="14012"/>
    <cellStyle name="20 % - Markeringsfarve5 3 5 2 2 2 4" xfId="25370"/>
    <cellStyle name="20 % - Markeringsfarve5 3 5 2 2 3" xfId="4866"/>
    <cellStyle name="20 % - Markeringsfarve5 3 5 2 2 3 2" xfId="9851"/>
    <cellStyle name="20 % - Markeringsfarve5 3 5 2 2 3 2 2" xfId="20658"/>
    <cellStyle name="20 % - Markeringsfarve5 3 5 2 2 3 2 3" xfId="32015"/>
    <cellStyle name="20 % - Markeringsfarve5 3 5 2 2 3 3" xfId="15673"/>
    <cellStyle name="20 % - Markeringsfarve5 3 5 2 2 3 4" xfId="27031"/>
    <cellStyle name="20 % - Markeringsfarve5 3 5 2 2 4" xfId="6528"/>
    <cellStyle name="20 % - Markeringsfarve5 3 5 2 2 4 2" xfId="17336"/>
    <cellStyle name="20 % - Markeringsfarve5 3 5 2 2 4 3" xfId="28693"/>
    <cellStyle name="20 % - Markeringsfarve5 3 5 2 2 5" xfId="12351"/>
    <cellStyle name="20 % - Markeringsfarve5 3 5 2 2 6" xfId="23709"/>
    <cellStyle name="20 % - Markeringsfarve5 3 5 2 3" xfId="2371"/>
    <cellStyle name="20 % - Markeringsfarve5 3 5 2 3 2" xfId="7359"/>
    <cellStyle name="20 % - Markeringsfarve5 3 5 2 3 2 2" xfId="18166"/>
    <cellStyle name="20 % - Markeringsfarve5 3 5 2 3 2 3" xfId="29523"/>
    <cellStyle name="20 % - Markeringsfarve5 3 5 2 3 3" xfId="13181"/>
    <cellStyle name="20 % - Markeringsfarve5 3 5 2 3 4" xfId="24539"/>
    <cellStyle name="20 % - Markeringsfarve5 3 5 2 4" xfId="4035"/>
    <cellStyle name="20 % - Markeringsfarve5 3 5 2 4 2" xfId="9020"/>
    <cellStyle name="20 % - Markeringsfarve5 3 5 2 4 2 2" xfId="19827"/>
    <cellStyle name="20 % - Markeringsfarve5 3 5 2 4 2 3" xfId="31184"/>
    <cellStyle name="20 % - Markeringsfarve5 3 5 2 4 3" xfId="14842"/>
    <cellStyle name="20 % - Markeringsfarve5 3 5 2 4 4" xfId="26200"/>
    <cellStyle name="20 % - Markeringsfarve5 3 5 2 5" xfId="5697"/>
    <cellStyle name="20 % - Markeringsfarve5 3 5 2 5 2" xfId="16505"/>
    <cellStyle name="20 % - Markeringsfarve5 3 5 2 5 3" xfId="27862"/>
    <cellStyle name="20 % - Markeringsfarve5 3 5 2 6" xfId="10684"/>
    <cellStyle name="20 % - Markeringsfarve5 3 5 2 6 2" xfId="21491"/>
    <cellStyle name="20 % - Markeringsfarve5 3 5 2 6 3" xfId="32848"/>
    <cellStyle name="20 % - Markeringsfarve5 3 5 2 7" xfId="11518"/>
    <cellStyle name="20 % - Markeringsfarve5 3 5 2 8" xfId="22324"/>
    <cellStyle name="20 % - Markeringsfarve5 3 5 2 9" xfId="22878"/>
    <cellStyle name="20 % - Markeringsfarve5 3 5 3" xfId="979"/>
    <cellStyle name="20 % - Markeringsfarve5 3 5 3 2" xfId="1811"/>
    <cellStyle name="20 % - Markeringsfarve5 3 5 3 2 2" xfId="3476"/>
    <cellStyle name="20 % - Markeringsfarve5 3 5 3 2 2 2" xfId="8464"/>
    <cellStyle name="20 % - Markeringsfarve5 3 5 3 2 2 2 2" xfId="19271"/>
    <cellStyle name="20 % - Markeringsfarve5 3 5 3 2 2 2 3" xfId="30628"/>
    <cellStyle name="20 % - Markeringsfarve5 3 5 3 2 2 3" xfId="14286"/>
    <cellStyle name="20 % - Markeringsfarve5 3 5 3 2 2 4" xfId="25644"/>
    <cellStyle name="20 % - Markeringsfarve5 3 5 3 2 3" xfId="5140"/>
    <cellStyle name="20 % - Markeringsfarve5 3 5 3 2 3 2" xfId="10125"/>
    <cellStyle name="20 % - Markeringsfarve5 3 5 3 2 3 2 2" xfId="20932"/>
    <cellStyle name="20 % - Markeringsfarve5 3 5 3 2 3 2 3" xfId="32289"/>
    <cellStyle name="20 % - Markeringsfarve5 3 5 3 2 3 3" xfId="15947"/>
    <cellStyle name="20 % - Markeringsfarve5 3 5 3 2 3 4" xfId="27305"/>
    <cellStyle name="20 % - Markeringsfarve5 3 5 3 2 4" xfId="6802"/>
    <cellStyle name="20 % - Markeringsfarve5 3 5 3 2 4 2" xfId="17610"/>
    <cellStyle name="20 % - Markeringsfarve5 3 5 3 2 4 3" xfId="28967"/>
    <cellStyle name="20 % - Markeringsfarve5 3 5 3 2 5" xfId="12625"/>
    <cellStyle name="20 % - Markeringsfarve5 3 5 3 2 6" xfId="23983"/>
    <cellStyle name="20 % - Markeringsfarve5 3 5 3 3" xfId="2645"/>
    <cellStyle name="20 % - Markeringsfarve5 3 5 3 3 2" xfId="7633"/>
    <cellStyle name="20 % - Markeringsfarve5 3 5 3 3 2 2" xfId="18440"/>
    <cellStyle name="20 % - Markeringsfarve5 3 5 3 3 2 3" xfId="29797"/>
    <cellStyle name="20 % - Markeringsfarve5 3 5 3 3 3" xfId="13455"/>
    <cellStyle name="20 % - Markeringsfarve5 3 5 3 3 4" xfId="24813"/>
    <cellStyle name="20 % - Markeringsfarve5 3 5 3 4" xfId="4309"/>
    <cellStyle name="20 % - Markeringsfarve5 3 5 3 4 2" xfId="9294"/>
    <cellStyle name="20 % - Markeringsfarve5 3 5 3 4 2 2" xfId="20101"/>
    <cellStyle name="20 % - Markeringsfarve5 3 5 3 4 2 3" xfId="31458"/>
    <cellStyle name="20 % - Markeringsfarve5 3 5 3 4 3" xfId="15116"/>
    <cellStyle name="20 % - Markeringsfarve5 3 5 3 4 4" xfId="26474"/>
    <cellStyle name="20 % - Markeringsfarve5 3 5 3 5" xfId="5971"/>
    <cellStyle name="20 % - Markeringsfarve5 3 5 3 5 2" xfId="16779"/>
    <cellStyle name="20 % - Markeringsfarve5 3 5 3 5 3" xfId="28136"/>
    <cellStyle name="20 % - Markeringsfarve5 3 5 3 6" xfId="10958"/>
    <cellStyle name="20 % - Markeringsfarve5 3 5 3 6 2" xfId="21765"/>
    <cellStyle name="20 % - Markeringsfarve5 3 5 3 6 3" xfId="33122"/>
    <cellStyle name="20 % - Markeringsfarve5 3 5 3 7" xfId="11793"/>
    <cellStyle name="20 % - Markeringsfarve5 3 5 3 8" xfId="23152"/>
    <cellStyle name="20 % - Markeringsfarve5 3 5 4" xfId="1258"/>
    <cellStyle name="20 % - Markeringsfarve5 3 5 4 2" xfId="2923"/>
    <cellStyle name="20 % - Markeringsfarve5 3 5 4 2 2" xfId="7911"/>
    <cellStyle name="20 % - Markeringsfarve5 3 5 4 2 2 2" xfId="18718"/>
    <cellStyle name="20 % - Markeringsfarve5 3 5 4 2 2 3" xfId="30075"/>
    <cellStyle name="20 % - Markeringsfarve5 3 5 4 2 3" xfId="13733"/>
    <cellStyle name="20 % - Markeringsfarve5 3 5 4 2 4" xfId="25091"/>
    <cellStyle name="20 % - Markeringsfarve5 3 5 4 3" xfId="4587"/>
    <cellStyle name="20 % - Markeringsfarve5 3 5 4 3 2" xfId="9572"/>
    <cellStyle name="20 % - Markeringsfarve5 3 5 4 3 2 2" xfId="20379"/>
    <cellStyle name="20 % - Markeringsfarve5 3 5 4 3 2 3" xfId="31736"/>
    <cellStyle name="20 % - Markeringsfarve5 3 5 4 3 3" xfId="15394"/>
    <cellStyle name="20 % - Markeringsfarve5 3 5 4 3 4" xfId="26752"/>
    <cellStyle name="20 % - Markeringsfarve5 3 5 4 4" xfId="6249"/>
    <cellStyle name="20 % - Markeringsfarve5 3 5 4 4 2" xfId="17057"/>
    <cellStyle name="20 % - Markeringsfarve5 3 5 4 4 3" xfId="28414"/>
    <cellStyle name="20 % - Markeringsfarve5 3 5 4 5" xfId="12072"/>
    <cellStyle name="20 % - Markeringsfarve5 3 5 4 6" xfId="23430"/>
    <cellStyle name="20 % - Markeringsfarve5 3 5 5" xfId="2093"/>
    <cellStyle name="20 % - Markeringsfarve5 3 5 5 2" xfId="7081"/>
    <cellStyle name="20 % - Markeringsfarve5 3 5 5 2 2" xfId="17889"/>
    <cellStyle name="20 % - Markeringsfarve5 3 5 5 2 3" xfId="29246"/>
    <cellStyle name="20 % - Markeringsfarve5 3 5 5 3" xfId="12904"/>
    <cellStyle name="20 % - Markeringsfarve5 3 5 5 4" xfId="24262"/>
    <cellStyle name="20 % - Markeringsfarve5 3 5 6" xfId="3758"/>
    <cellStyle name="20 % - Markeringsfarve5 3 5 6 2" xfId="8743"/>
    <cellStyle name="20 % - Markeringsfarve5 3 5 6 2 2" xfId="19550"/>
    <cellStyle name="20 % - Markeringsfarve5 3 5 6 2 3" xfId="30907"/>
    <cellStyle name="20 % - Markeringsfarve5 3 5 6 3" xfId="14565"/>
    <cellStyle name="20 % - Markeringsfarve5 3 5 6 4" xfId="25923"/>
    <cellStyle name="20 % - Markeringsfarve5 3 5 7" xfId="5419"/>
    <cellStyle name="20 % - Markeringsfarve5 3 5 7 2" xfId="16228"/>
    <cellStyle name="20 % - Markeringsfarve5 3 5 7 3" xfId="27585"/>
    <cellStyle name="20 % - Markeringsfarve5 3 5 8" xfId="10404"/>
    <cellStyle name="20 % - Markeringsfarve5 3 5 8 2" xfId="21211"/>
    <cellStyle name="20 % - Markeringsfarve5 3 5 8 3" xfId="32568"/>
    <cellStyle name="20 % - Markeringsfarve5 3 5 9" xfId="11238"/>
    <cellStyle name="20 % - Markeringsfarve5 3 6" xfId="488"/>
    <cellStyle name="20 % - Markeringsfarve5 3 6 2" xfId="1318"/>
    <cellStyle name="20 % - Markeringsfarve5 3 6 2 2" xfId="2983"/>
    <cellStyle name="20 % - Markeringsfarve5 3 6 2 2 2" xfId="7971"/>
    <cellStyle name="20 % - Markeringsfarve5 3 6 2 2 2 2" xfId="18778"/>
    <cellStyle name="20 % - Markeringsfarve5 3 6 2 2 2 3" xfId="30135"/>
    <cellStyle name="20 % - Markeringsfarve5 3 6 2 2 3" xfId="13793"/>
    <cellStyle name="20 % - Markeringsfarve5 3 6 2 2 4" xfId="25151"/>
    <cellStyle name="20 % - Markeringsfarve5 3 6 2 3" xfId="4647"/>
    <cellStyle name="20 % - Markeringsfarve5 3 6 2 3 2" xfId="9632"/>
    <cellStyle name="20 % - Markeringsfarve5 3 6 2 3 2 2" xfId="20439"/>
    <cellStyle name="20 % - Markeringsfarve5 3 6 2 3 2 3" xfId="31796"/>
    <cellStyle name="20 % - Markeringsfarve5 3 6 2 3 3" xfId="15454"/>
    <cellStyle name="20 % - Markeringsfarve5 3 6 2 3 4" xfId="26812"/>
    <cellStyle name="20 % - Markeringsfarve5 3 6 2 4" xfId="6309"/>
    <cellStyle name="20 % - Markeringsfarve5 3 6 2 4 2" xfId="17117"/>
    <cellStyle name="20 % - Markeringsfarve5 3 6 2 4 3" xfId="28474"/>
    <cellStyle name="20 % - Markeringsfarve5 3 6 2 5" xfId="12132"/>
    <cellStyle name="20 % - Markeringsfarve5 3 6 2 6" xfId="23490"/>
    <cellStyle name="20 % - Markeringsfarve5 3 6 3" xfId="2154"/>
    <cellStyle name="20 % - Markeringsfarve5 3 6 3 2" xfId="7142"/>
    <cellStyle name="20 % - Markeringsfarve5 3 6 3 2 2" xfId="17949"/>
    <cellStyle name="20 % - Markeringsfarve5 3 6 3 2 3" xfId="29306"/>
    <cellStyle name="20 % - Markeringsfarve5 3 6 3 3" xfId="12964"/>
    <cellStyle name="20 % - Markeringsfarve5 3 6 3 4" xfId="24322"/>
    <cellStyle name="20 % - Markeringsfarve5 3 6 4" xfId="3818"/>
    <cellStyle name="20 % - Markeringsfarve5 3 6 4 2" xfId="8803"/>
    <cellStyle name="20 % - Markeringsfarve5 3 6 4 2 2" xfId="19610"/>
    <cellStyle name="20 % - Markeringsfarve5 3 6 4 2 3" xfId="30967"/>
    <cellStyle name="20 % - Markeringsfarve5 3 6 4 3" xfId="14625"/>
    <cellStyle name="20 % - Markeringsfarve5 3 6 4 4" xfId="25983"/>
    <cellStyle name="20 % - Markeringsfarve5 3 6 5" xfId="5480"/>
    <cellStyle name="20 % - Markeringsfarve5 3 6 5 2" xfId="16288"/>
    <cellStyle name="20 % - Markeringsfarve5 3 6 5 3" xfId="27645"/>
    <cellStyle name="20 % - Markeringsfarve5 3 6 6" xfId="10465"/>
    <cellStyle name="20 % - Markeringsfarve5 3 6 6 2" xfId="21272"/>
    <cellStyle name="20 % - Markeringsfarve5 3 6 6 3" xfId="32629"/>
    <cellStyle name="20 % - Markeringsfarve5 3 6 7" xfId="11299"/>
    <cellStyle name="20 % - Markeringsfarve5 3 6 8" xfId="22105"/>
    <cellStyle name="20 % - Markeringsfarve5 3 6 9" xfId="22659"/>
    <cellStyle name="20 % - Markeringsfarve5 3 7" xfId="760"/>
    <cellStyle name="20 % - Markeringsfarve5 3 7 2" xfId="1592"/>
    <cellStyle name="20 % - Markeringsfarve5 3 7 2 2" xfId="3257"/>
    <cellStyle name="20 % - Markeringsfarve5 3 7 2 2 2" xfId="8245"/>
    <cellStyle name="20 % - Markeringsfarve5 3 7 2 2 2 2" xfId="19052"/>
    <cellStyle name="20 % - Markeringsfarve5 3 7 2 2 2 3" xfId="30409"/>
    <cellStyle name="20 % - Markeringsfarve5 3 7 2 2 3" xfId="14067"/>
    <cellStyle name="20 % - Markeringsfarve5 3 7 2 2 4" xfId="25425"/>
    <cellStyle name="20 % - Markeringsfarve5 3 7 2 3" xfId="4921"/>
    <cellStyle name="20 % - Markeringsfarve5 3 7 2 3 2" xfId="9906"/>
    <cellStyle name="20 % - Markeringsfarve5 3 7 2 3 2 2" xfId="20713"/>
    <cellStyle name="20 % - Markeringsfarve5 3 7 2 3 2 3" xfId="32070"/>
    <cellStyle name="20 % - Markeringsfarve5 3 7 2 3 3" xfId="15728"/>
    <cellStyle name="20 % - Markeringsfarve5 3 7 2 3 4" xfId="27086"/>
    <cellStyle name="20 % - Markeringsfarve5 3 7 2 4" xfId="6583"/>
    <cellStyle name="20 % - Markeringsfarve5 3 7 2 4 2" xfId="17391"/>
    <cellStyle name="20 % - Markeringsfarve5 3 7 2 4 3" xfId="28748"/>
    <cellStyle name="20 % - Markeringsfarve5 3 7 2 5" xfId="12406"/>
    <cellStyle name="20 % - Markeringsfarve5 3 7 2 6" xfId="23764"/>
    <cellStyle name="20 % - Markeringsfarve5 3 7 3" xfId="2426"/>
    <cellStyle name="20 % - Markeringsfarve5 3 7 3 2" xfId="7414"/>
    <cellStyle name="20 % - Markeringsfarve5 3 7 3 2 2" xfId="18221"/>
    <cellStyle name="20 % - Markeringsfarve5 3 7 3 2 3" xfId="29578"/>
    <cellStyle name="20 % - Markeringsfarve5 3 7 3 3" xfId="13236"/>
    <cellStyle name="20 % - Markeringsfarve5 3 7 3 4" xfId="24594"/>
    <cellStyle name="20 % - Markeringsfarve5 3 7 4" xfId="4090"/>
    <cellStyle name="20 % - Markeringsfarve5 3 7 4 2" xfId="9075"/>
    <cellStyle name="20 % - Markeringsfarve5 3 7 4 2 2" xfId="19882"/>
    <cellStyle name="20 % - Markeringsfarve5 3 7 4 2 3" xfId="31239"/>
    <cellStyle name="20 % - Markeringsfarve5 3 7 4 3" xfId="14897"/>
    <cellStyle name="20 % - Markeringsfarve5 3 7 4 4" xfId="26255"/>
    <cellStyle name="20 % - Markeringsfarve5 3 7 5" xfId="5752"/>
    <cellStyle name="20 % - Markeringsfarve5 3 7 5 2" xfId="16560"/>
    <cellStyle name="20 % - Markeringsfarve5 3 7 5 3" xfId="27917"/>
    <cellStyle name="20 % - Markeringsfarve5 3 7 6" xfId="10739"/>
    <cellStyle name="20 % - Markeringsfarve5 3 7 6 2" xfId="21546"/>
    <cellStyle name="20 % - Markeringsfarve5 3 7 6 3" xfId="32903"/>
    <cellStyle name="20 % - Markeringsfarve5 3 7 7" xfId="11574"/>
    <cellStyle name="20 % - Markeringsfarve5 3 7 8" xfId="22933"/>
    <cellStyle name="20 % - Markeringsfarve5 3 8" xfId="1039"/>
    <cellStyle name="20 % - Markeringsfarve5 3 8 2" xfId="2704"/>
    <cellStyle name="20 % - Markeringsfarve5 3 8 2 2" xfId="7692"/>
    <cellStyle name="20 % - Markeringsfarve5 3 8 2 2 2" xfId="18499"/>
    <cellStyle name="20 % - Markeringsfarve5 3 8 2 2 3" xfId="29856"/>
    <cellStyle name="20 % - Markeringsfarve5 3 8 2 3" xfId="13514"/>
    <cellStyle name="20 % - Markeringsfarve5 3 8 2 4" xfId="24872"/>
    <cellStyle name="20 % - Markeringsfarve5 3 8 3" xfId="4368"/>
    <cellStyle name="20 % - Markeringsfarve5 3 8 3 2" xfId="9353"/>
    <cellStyle name="20 % - Markeringsfarve5 3 8 3 2 2" xfId="20160"/>
    <cellStyle name="20 % - Markeringsfarve5 3 8 3 2 3" xfId="31517"/>
    <cellStyle name="20 % - Markeringsfarve5 3 8 3 3" xfId="15175"/>
    <cellStyle name="20 % - Markeringsfarve5 3 8 3 4" xfId="26533"/>
    <cellStyle name="20 % - Markeringsfarve5 3 8 4" xfId="6030"/>
    <cellStyle name="20 % - Markeringsfarve5 3 8 4 2" xfId="16838"/>
    <cellStyle name="20 % - Markeringsfarve5 3 8 4 3" xfId="28195"/>
    <cellStyle name="20 % - Markeringsfarve5 3 8 5" xfId="11853"/>
    <cellStyle name="20 % - Markeringsfarve5 3 8 6" xfId="23211"/>
    <cellStyle name="20 % - Markeringsfarve5 3 9" xfId="1875"/>
    <cellStyle name="20 % - Markeringsfarve5 3 9 2" xfId="6863"/>
    <cellStyle name="20 % - Markeringsfarve5 3 9 2 2" xfId="17671"/>
    <cellStyle name="20 % - Markeringsfarve5 3 9 2 3" xfId="29028"/>
    <cellStyle name="20 % - Markeringsfarve5 3 9 3" xfId="12686"/>
    <cellStyle name="20 % - Markeringsfarve5 3 9 4" xfId="24044"/>
    <cellStyle name="20 % - Markeringsfarve5 4" xfId="185"/>
    <cellStyle name="20 % - Markeringsfarve5 4 10" xfId="21843"/>
    <cellStyle name="20 % - Markeringsfarve5 4 11" xfId="22396"/>
    <cellStyle name="20 % - Markeringsfarve5 4 12" xfId="33199"/>
    <cellStyle name="20 % - Markeringsfarve5 4 13" xfId="33472"/>
    <cellStyle name="20 % - Markeringsfarve5 4 14" xfId="33743"/>
    <cellStyle name="20 % - Markeringsfarve5 4 2" xfId="505"/>
    <cellStyle name="20 % - Markeringsfarve5 4 2 2" xfId="1335"/>
    <cellStyle name="20 % - Markeringsfarve5 4 2 2 2" xfId="3000"/>
    <cellStyle name="20 % - Markeringsfarve5 4 2 2 2 2" xfId="7988"/>
    <cellStyle name="20 % - Markeringsfarve5 4 2 2 2 2 2" xfId="18795"/>
    <cellStyle name="20 % - Markeringsfarve5 4 2 2 2 2 3" xfId="30152"/>
    <cellStyle name="20 % - Markeringsfarve5 4 2 2 2 3" xfId="13810"/>
    <cellStyle name="20 % - Markeringsfarve5 4 2 2 2 4" xfId="25168"/>
    <cellStyle name="20 % - Markeringsfarve5 4 2 2 3" xfId="4664"/>
    <cellStyle name="20 % - Markeringsfarve5 4 2 2 3 2" xfId="9649"/>
    <cellStyle name="20 % - Markeringsfarve5 4 2 2 3 2 2" xfId="20456"/>
    <cellStyle name="20 % - Markeringsfarve5 4 2 2 3 2 3" xfId="31813"/>
    <cellStyle name="20 % - Markeringsfarve5 4 2 2 3 3" xfId="15471"/>
    <cellStyle name="20 % - Markeringsfarve5 4 2 2 3 4" xfId="26829"/>
    <cellStyle name="20 % - Markeringsfarve5 4 2 2 4" xfId="6326"/>
    <cellStyle name="20 % - Markeringsfarve5 4 2 2 4 2" xfId="17134"/>
    <cellStyle name="20 % - Markeringsfarve5 4 2 2 4 3" xfId="28491"/>
    <cellStyle name="20 % - Markeringsfarve5 4 2 2 5" xfId="12149"/>
    <cellStyle name="20 % - Markeringsfarve5 4 2 2 6" xfId="23507"/>
    <cellStyle name="20 % - Markeringsfarve5 4 2 3" xfId="2171"/>
    <cellStyle name="20 % - Markeringsfarve5 4 2 3 2" xfId="7159"/>
    <cellStyle name="20 % - Markeringsfarve5 4 2 3 2 2" xfId="17966"/>
    <cellStyle name="20 % - Markeringsfarve5 4 2 3 2 3" xfId="29323"/>
    <cellStyle name="20 % - Markeringsfarve5 4 2 3 3" xfId="12981"/>
    <cellStyle name="20 % - Markeringsfarve5 4 2 3 4" xfId="24339"/>
    <cellStyle name="20 % - Markeringsfarve5 4 2 4" xfId="3835"/>
    <cellStyle name="20 % - Markeringsfarve5 4 2 4 2" xfId="8820"/>
    <cellStyle name="20 % - Markeringsfarve5 4 2 4 2 2" xfId="19627"/>
    <cellStyle name="20 % - Markeringsfarve5 4 2 4 2 3" xfId="30984"/>
    <cellStyle name="20 % - Markeringsfarve5 4 2 4 3" xfId="14642"/>
    <cellStyle name="20 % - Markeringsfarve5 4 2 4 4" xfId="26000"/>
    <cellStyle name="20 % - Markeringsfarve5 4 2 5" xfId="5497"/>
    <cellStyle name="20 % - Markeringsfarve5 4 2 5 2" xfId="16305"/>
    <cellStyle name="20 % - Markeringsfarve5 4 2 5 3" xfId="27662"/>
    <cellStyle name="20 % - Markeringsfarve5 4 2 6" xfId="10482"/>
    <cellStyle name="20 % - Markeringsfarve5 4 2 6 2" xfId="21289"/>
    <cellStyle name="20 % - Markeringsfarve5 4 2 6 3" xfId="32646"/>
    <cellStyle name="20 % - Markeringsfarve5 4 2 7" xfId="11316"/>
    <cellStyle name="20 % - Markeringsfarve5 4 2 8" xfId="22122"/>
    <cellStyle name="20 % - Markeringsfarve5 4 2 9" xfId="22676"/>
    <cellStyle name="20 % - Markeringsfarve5 4 3" xfId="777"/>
    <cellStyle name="20 % - Markeringsfarve5 4 3 2" xfId="1609"/>
    <cellStyle name="20 % - Markeringsfarve5 4 3 2 2" xfId="3274"/>
    <cellStyle name="20 % - Markeringsfarve5 4 3 2 2 2" xfId="8262"/>
    <cellStyle name="20 % - Markeringsfarve5 4 3 2 2 2 2" xfId="19069"/>
    <cellStyle name="20 % - Markeringsfarve5 4 3 2 2 2 3" xfId="30426"/>
    <cellStyle name="20 % - Markeringsfarve5 4 3 2 2 3" xfId="14084"/>
    <cellStyle name="20 % - Markeringsfarve5 4 3 2 2 4" xfId="25442"/>
    <cellStyle name="20 % - Markeringsfarve5 4 3 2 3" xfId="4938"/>
    <cellStyle name="20 % - Markeringsfarve5 4 3 2 3 2" xfId="9923"/>
    <cellStyle name="20 % - Markeringsfarve5 4 3 2 3 2 2" xfId="20730"/>
    <cellStyle name="20 % - Markeringsfarve5 4 3 2 3 2 3" xfId="32087"/>
    <cellStyle name="20 % - Markeringsfarve5 4 3 2 3 3" xfId="15745"/>
    <cellStyle name="20 % - Markeringsfarve5 4 3 2 3 4" xfId="27103"/>
    <cellStyle name="20 % - Markeringsfarve5 4 3 2 4" xfId="6600"/>
    <cellStyle name="20 % - Markeringsfarve5 4 3 2 4 2" xfId="17408"/>
    <cellStyle name="20 % - Markeringsfarve5 4 3 2 4 3" xfId="28765"/>
    <cellStyle name="20 % - Markeringsfarve5 4 3 2 5" xfId="12423"/>
    <cellStyle name="20 % - Markeringsfarve5 4 3 2 6" xfId="23781"/>
    <cellStyle name="20 % - Markeringsfarve5 4 3 3" xfId="2443"/>
    <cellStyle name="20 % - Markeringsfarve5 4 3 3 2" xfId="7431"/>
    <cellStyle name="20 % - Markeringsfarve5 4 3 3 2 2" xfId="18238"/>
    <cellStyle name="20 % - Markeringsfarve5 4 3 3 2 3" xfId="29595"/>
    <cellStyle name="20 % - Markeringsfarve5 4 3 3 3" xfId="13253"/>
    <cellStyle name="20 % - Markeringsfarve5 4 3 3 4" xfId="24611"/>
    <cellStyle name="20 % - Markeringsfarve5 4 3 4" xfId="4107"/>
    <cellStyle name="20 % - Markeringsfarve5 4 3 4 2" xfId="9092"/>
    <cellStyle name="20 % - Markeringsfarve5 4 3 4 2 2" xfId="19899"/>
    <cellStyle name="20 % - Markeringsfarve5 4 3 4 2 3" xfId="31256"/>
    <cellStyle name="20 % - Markeringsfarve5 4 3 4 3" xfId="14914"/>
    <cellStyle name="20 % - Markeringsfarve5 4 3 4 4" xfId="26272"/>
    <cellStyle name="20 % - Markeringsfarve5 4 3 5" xfId="5769"/>
    <cellStyle name="20 % - Markeringsfarve5 4 3 5 2" xfId="16577"/>
    <cellStyle name="20 % - Markeringsfarve5 4 3 5 3" xfId="27934"/>
    <cellStyle name="20 % - Markeringsfarve5 4 3 6" xfId="10756"/>
    <cellStyle name="20 % - Markeringsfarve5 4 3 6 2" xfId="21563"/>
    <cellStyle name="20 % - Markeringsfarve5 4 3 6 3" xfId="32920"/>
    <cellStyle name="20 % - Markeringsfarve5 4 3 7" xfId="11591"/>
    <cellStyle name="20 % - Markeringsfarve5 4 3 8" xfId="22950"/>
    <cellStyle name="20 % - Markeringsfarve5 4 4" xfId="1056"/>
    <cellStyle name="20 % - Markeringsfarve5 4 4 2" xfId="2721"/>
    <cellStyle name="20 % - Markeringsfarve5 4 4 2 2" xfId="7709"/>
    <cellStyle name="20 % - Markeringsfarve5 4 4 2 2 2" xfId="18516"/>
    <cellStyle name="20 % - Markeringsfarve5 4 4 2 2 3" xfId="29873"/>
    <cellStyle name="20 % - Markeringsfarve5 4 4 2 3" xfId="13531"/>
    <cellStyle name="20 % - Markeringsfarve5 4 4 2 4" xfId="24889"/>
    <cellStyle name="20 % - Markeringsfarve5 4 4 3" xfId="4385"/>
    <cellStyle name="20 % - Markeringsfarve5 4 4 3 2" xfId="9370"/>
    <cellStyle name="20 % - Markeringsfarve5 4 4 3 2 2" xfId="20177"/>
    <cellStyle name="20 % - Markeringsfarve5 4 4 3 2 3" xfId="31534"/>
    <cellStyle name="20 % - Markeringsfarve5 4 4 3 3" xfId="15192"/>
    <cellStyle name="20 % - Markeringsfarve5 4 4 3 4" xfId="26550"/>
    <cellStyle name="20 % - Markeringsfarve5 4 4 4" xfId="6047"/>
    <cellStyle name="20 % - Markeringsfarve5 4 4 4 2" xfId="16855"/>
    <cellStyle name="20 % - Markeringsfarve5 4 4 4 3" xfId="28212"/>
    <cellStyle name="20 % - Markeringsfarve5 4 4 5" xfId="11870"/>
    <cellStyle name="20 % - Markeringsfarve5 4 4 6" xfId="23228"/>
    <cellStyle name="20 % - Markeringsfarve5 4 5" xfId="1891"/>
    <cellStyle name="20 % - Markeringsfarve5 4 5 2" xfId="6879"/>
    <cellStyle name="20 % - Markeringsfarve5 4 5 2 2" xfId="17687"/>
    <cellStyle name="20 % - Markeringsfarve5 4 5 2 3" xfId="29044"/>
    <cellStyle name="20 % - Markeringsfarve5 4 5 3" xfId="12702"/>
    <cellStyle name="20 % - Markeringsfarve5 4 5 4" xfId="24060"/>
    <cellStyle name="20 % - Markeringsfarve5 4 6" xfId="3556"/>
    <cellStyle name="20 % - Markeringsfarve5 4 6 2" xfId="8541"/>
    <cellStyle name="20 % - Markeringsfarve5 4 6 2 2" xfId="19348"/>
    <cellStyle name="20 % - Markeringsfarve5 4 6 2 3" xfId="30705"/>
    <cellStyle name="20 % - Markeringsfarve5 4 6 3" xfId="14363"/>
    <cellStyle name="20 % - Markeringsfarve5 4 6 4" xfId="25721"/>
    <cellStyle name="20 % - Markeringsfarve5 4 7" xfId="5217"/>
    <cellStyle name="20 % - Markeringsfarve5 4 7 2" xfId="16026"/>
    <cellStyle name="20 % - Markeringsfarve5 4 7 3" xfId="27383"/>
    <cellStyle name="20 % - Markeringsfarve5 4 8" xfId="10202"/>
    <cellStyle name="20 % - Markeringsfarve5 4 8 2" xfId="21009"/>
    <cellStyle name="20 % - Markeringsfarve5 4 8 3" xfId="32366"/>
    <cellStyle name="20 % - Markeringsfarve5 4 9" xfId="11036"/>
    <cellStyle name="20 % - Markeringsfarve5 5" xfId="238"/>
    <cellStyle name="20 % - Markeringsfarve5 5 10" xfId="21896"/>
    <cellStyle name="20 % - Markeringsfarve5 5 11" xfId="22449"/>
    <cellStyle name="20 % - Markeringsfarve5 5 12" xfId="33252"/>
    <cellStyle name="20 % - Markeringsfarve5 5 13" xfId="33527"/>
    <cellStyle name="20 % - Markeringsfarve5 5 14" xfId="33798"/>
    <cellStyle name="20 % - Markeringsfarve5 5 2" xfId="556"/>
    <cellStyle name="20 % - Markeringsfarve5 5 2 2" xfId="1388"/>
    <cellStyle name="20 % - Markeringsfarve5 5 2 2 2" xfId="3053"/>
    <cellStyle name="20 % - Markeringsfarve5 5 2 2 2 2" xfId="8041"/>
    <cellStyle name="20 % - Markeringsfarve5 5 2 2 2 2 2" xfId="18848"/>
    <cellStyle name="20 % - Markeringsfarve5 5 2 2 2 2 3" xfId="30205"/>
    <cellStyle name="20 % - Markeringsfarve5 5 2 2 2 3" xfId="13863"/>
    <cellStyle name="20 % - Markeringsfarve5 5 2 2 2 4" xfId="25221"/>
    <cellStyle name="20 % - Markeringsfarve5 5 2 2 3" xfId="4717"/>
    <cellStyle name="20 % - Markeringsfarve5 5 2 2 3 2" xfId="9702"/>
    <cellStyle name="20 % - Markeringsfarve5 5 2 2 3 2 2" xfId="20509"/>
    <cellStyle name="20 % - Markeringsfarve5 5 2 2 3 2 3" xfId="31866"/>
    <cellStyle name="20 % - Markeringsfarve5 5 2 2 3 3" xfId="15524"/>
    <cellStyle name="20 % - Markeringsfarve5 5 2 2 3 4" xfId="26882"/>
    <cellStyle name="20 % - Markeringsfarve5 5 2 2 4" xfId="6379"/>
    <cellStyle name="20 % - Markeringsfarve5 5 2 2 4 2" xfId="17187"/>
    <cellStyle name="20 % - Markeringsfarve5 5 2 2 4 3" xfId="28544"/>
    <cellStyle name="20 % - Markeringsfarve5 5 2 2 5" xfId="12202"/>
    <cellStyle name="20 % - Markeringsfarve5 5 2 2 6" xfId="23560"/>
    <cellStyle name="20 % - Markeringsfarve5 5 2 3" xfId="2222"/>
    <cellStyle name="20 % - Markeringsfarve5 5 2 3 2" xfId="7210"/>
    <cellStyle name="20 % - Markeringsfarve5 5 2 3 2 2" xfId="18017"/>
    <cellStyle name="20 % - Markeringsfarve5 5 2 3 2 3" xfId="29374"/>
    <cellStyle name="20 % - Markeringsfarve5 5 2 3 3" xfId="13032"/>
    <cellStyle name="20 % - Markeringsfarve5 5 2 3 4" xfId="24390"/>
    <cellStyle name="20 % - Markeringsfarve5 5 2 4" xfId="3886"/>
    <cellStyle name="20 % - Markeringsfarve5 5 2 4 2" xfId="8871"/>
    <cellStyle name="20 % - Markeringsfarve5 5 2 4 2 2" xfId="19678"/>
    <cellStyle name="20 % - Markeringsfarve5 5 2 4 2 3" xfId="31035"/>
    <cellStyle name="20 % - Markeringsfarve5 5 2 4 3" xfId="14693"/>
    <cellStyle name="20 % - Markeringsfarve5 5 2 4 4" xfId="26051"/>
    <cellStyle name="20 % - Markeringsfarve5 5 2 5" xfId="5548"/>
    <cellStyle name="20 % - Markeringsfarve5 5 2 5 2" xfId="16356"/>
    <cellStyle name="20 % - Markeringsfarve5 5 2 5 3" xfId="27713"/>
    <cellStyle name="20 % - Markeringsfarve5 5 2 6" xfId="10535"/>
    <cellStyle name="20 % - Markeringsfarve5 5 2 6 2" xfId="21342"/>
    <cellStyle name="20 % - Markeringsfarve5 5 2 6 3" xfId="32699"/>
    <cellStyle name="20 % - Markeringsfarve5 5 2 7" xfId="11369"/>
    <cellStyle name="20 % - Markeringsfarve5 5 2 8" xfId="22175"/>
    <cellStyle name="20 % - Markeringsfarve5 5 2 9" xfId="22729"/>
    <cellStyle name="20 % - Markeringsfarve5 5 3" xfId="830"/>
    <cellStyle name="20 % - Markeringsfarve5 5 3 2" xfId="1662"/>
    <cellStyle name="20 % - Markeringsfarve5 5 3 2 2" xfId="3327"/>
    <cellStyle name="20 % - Markeringsfarve5 5 3 2 2 2" xfId="8315"/>
    <cellStyle name="20 % - Markeringsfarve5 5 3 2 2 2 2" xfId="19122"/>
    <cellStyle name="20 % - Markeringsfarve5 5 3 2 2 2 3" xfId="30479"/>
    <cellStyle name="20 % - Markeringsfarve5 5 3 2 2 3" xfId="14137"/>
    <cellStyle name="20 % - Markeringsfarve5 5 3 2 2 4" xfId="25495"/>
    <cellStyle name="20 % - Markeringsfarve5 5 3 2 3" xfId="4991"/>
    <cellStyle name="20 % - Markeringsfarve5 5 3 2 3 2" xfId="9976"/>
    <cellStyle name="20 % - Markeringsfarve5 5 3 2 3 2 2" xfId="20783"/>
    <cellStyle name="20 % - Markeringsfarve5 5 3 2 3 2 3" xfId="32140"/>
    <cellStyle name="20 % - Markeringsfarve5 5 3 2 3 3" xfId="15798"/>
    <cellStyle name="20 % - Markeringsfarve5 5 3 2 3 4" xfId="27156"/>
    <cellStyle name="20 % - Markeringsfarve5 5 3 2 4" xfId="6653"/>
    <cellStyle name="20 % - Markeringsfarve5 5 3 2 4 2" xfId="17461"/>
    <cellStyle name="20 % - Markeringsfarve5 5 3 2 4 3" xfId="28818"/>
    <cellStyle name="20 % - Markeringsfarve5 5 3 2 5" xfId="12476"/>
    <cellStyle name="20 % - Markeringsfarve5 5 3 2 6" xfId="23834"/>
    <cellStyle name="20 % - Markeringsfarve5 5 3 3" xfId="2496"/>
    <cellStyle name="20 % - Markeringsfarve5 5 3 3 2" xfId="7484"/>
    <cellStyle name="20 % - Markeringsfarve5 5 3 3 2 2" xfId="18291"/>
    <cellStyle name="20 % - Markeringsfarve5 5 3 3 2 3" xfId="29648"/>
    <cellStyle name="20 % - Markeringsfarve5 5 3 3 3" xfId="13306"/>
    <cellStyle name="20 % - Markeringsfarve5 5 3 3 4" xfId="24664"/>
    <cellStyle name="20 % - Markeringsfarve5 5 3 4" xfId="4160"/>
    <cellStyle name="20 % - Markeringsfarve5 5 3 4 2" xfId="9145"/>
    <cellStyle name="20 % - Markeringsfarve5 5 3 4 2 2" xfId="19952"/>
    <cellStyle name="20 % - Markeringsfarve5 5 3 4 2 3" xfId="31309"/>
    <cellStyle name="20 % - Markeringsfarve5 5 3 4 3" xfId="14967"/>
    <cellStyle name="20 % - Markeringsfarve5 5 3 4 4" xfId="26325"/>
    <cellStyle name="20 % - Markeringsfarve5 5 3 5" xfId="5822"/>
    <cellStyle name="20 % - Markeringsfarve5 5 3 5 2" xfId="16630"/>
    <cellStyle name="20 % - Markeringsfarve5 5 3 5 3" xfId="27987"/>
    <cellStyle name="20 % - Markeringsfarve5 5 3 6" xfId="10809"/>
    <cellStyle name="20 % - Markeringsfarve5 5 3 6 2" xfId="21616"/>
    <cellStyle name="20 % - Markeringsfarve5 5 3 6 3" xfId="32973"/>
    <cellStyle name="20 % - Markeringsfarve5 5 3 7" xfId="11644"/>
    <cellStyle name="20 % - Markeringsfarve5 5 3 8" xfId="23003"/>
    <cellStyle name="20 % - Markeringsfarve5 5 4" xfId="1109"/>
    <cellStyle name="20 % - Markeringsfarve5 5 4 2" xfId="2774"/>
    <cellStyle name="20 % - Markeringsfarve5 5 4 2 2" xfId="7762"/>
    <cellStyle name="20 % - Markeringsfarve5 5 4 2 2 2" xfId="18569"/>
    <cellStyle name="20 % - Markeringsfarve5 5 4 2 2 3" xfId="29926"/>
    <cellStyle name="20 % - Markeringsfarve5 5 4 2 3" xfId="13584"/>
    <cellStyle name="20 % - Markeringsfarve5 5 4 2 4" xfId="24942"/>
    <cellStyle name="20 % - Markeringsfarve5 5 4 3" xfId="4438"/>
    <cellStyle name="20 % - Markeringsfarve5 5 4 3 2" xfId="9423"/>
    <cellStyle name="20 % - Markeringsfarve5 5 4 3 2 2" xfId="20230"/>
    <cellStyle name="20 % - Markeringsfarve5 5 4 3 2 3" xfId="31587"/>
    <cellStyle name="20 % - Markeringsfarve5 5 4 3 3" xfId="15245"/>
    <cellStyle name="20 % - Markeringsfarve5 5 4 3 4" xfId="26603"/>
    <cellStyle name="20 % - Markeringsfarve5 5 4 4" xfId="6100"/>
    <cellStyle name="20 % - Markeringsfarve5 5 4 4 2" xfId="16908"/>
    <cellStyle name="20 % - Markeringsfarve5 5 4 4 3" xfId="28265"/>
    <cellStyle name="20 % - Markeringsfarve5 5 4 5" xfId="11923"/>
    <cellStyle name="20 % - Markeringsfarve5 5 4 6" xfId="23281"/>
    <cellStyle name="20 % - Markeringsfarve5 5 5" xfId="1944"/>
    <cellStyle name="20 % - Markeringsfarve5 5 5 2" xfId="6932"/>
    <cellStyle name="20 % - Markeringsfarve5 5 5 2 2" xfId="17740"/>
    <cellStyle name="20 % - Markeringsfarve5 5 5 2 3" xfId="29097"/>
    <cellStyle name="20 % - Markeringsfarve5 5 5 3" xfId="12755"/>
    <cellStyle name="20 % - Markeringsfarve5 5 5 4" xfId="24113"/>
    <cellStyle name="20 % - Markeringsfarve5 5 6" xfId="3609"/>
    <cellStyle name="20 % - Markeringsfarve5 5 6 2" xfId="8594"/>
    <cellStyle name="20 % - Markeringsfarve5 5 6 2 2" xfId="19401"/>
    <cellStyle name="20 % - Markeringsfarve5 5 6 2 3" xfId="30758"/>
    <cellStyle name="20 % - Markeringsfarve5 5 6 3" xfId="14416"/>
    <cellStyle name="20 % - Markeringsfarve5 5 6 4" xfId="25774"/>
    <cellStyle name="20 % - Markeringsfarve5 5 7" xfId="5270"/>
    <cellStyle name="20 % - Markeringsfarve5 5 7 2" xfId="16079"/>
    <cellStyle name="20 % - Markeringsfarve5 5 7 3" xfId="27436"/>
    <cellStyle name="20 % - Markeringsfarve5 5 8" xfId="10255"/>
    <cellStyle name="20 % - Markeringsfarve5 5 8 2" xfId="21062"/>
    <cellStyle name="20 % - Markeringsfarve5 5 8 3" xfId="32419"/>
    <cellStyle name="20 % - Markeringsfarve5 5 9" xfId="11089"/>
    <cellStyle name="20 % - Markeringsfarve5 6" xfId="294"/>
    <cellStyle name="20 % - Markeringsfarve5 6 10" xfId="21951"/>
    <cellStyle name="20 % - Markeringsfarve5 6 11" xfId="22504"/>
    <cellStyle name="20 % - Markeringsfarve5 6 12" xfId="33307"/>
    <cellStyle name="20 % - Markeringsfarve5 6 13" xfId="33582"/>
    <cellStyle name="20 % - Markeringsfarve5 6 14" xfId="33853"/>
    <cellStyle name="20 % - Markeringsfarve5 6 2" xfId="611"/>
    <cellStyle name="20 % - Markeringsfarve5 6 2 2" xfId="1443"/>
    <cellStyle name="20 % - Markeringsfarve5 6 2 2 2" xfId="3108"/>
    <cellStyle name="20 % - Markeringsfarve5 6 2 2 2 2" xfId="8096"/>
    <cellStyle name="20 % - Markeringsfarve5 6 2 2 2 2 2" xfId="18903"/>
    <cellStyle name="20 % - Markeringsfarve5 6 2 2 2 2 3" xfId="30260"/>
    <cellStyle name="20 % - Markeringsfarve5 6 2 2 2 3" xfId="13918"/>
    <cellStyle name="20 % - Markeringsfarve5 6 2 2 2 4" xfId="25276"/>
    <cellStyle name="20 % - Markeringsfarve5 6 2 2 3" xfId="4772"/>
    <cellStyle name="20 % - Markeringsfarve5 6 2 2 3 2" xfId="9757"/>
    <cellStyle name="20 % - Markeringsfarve5 6 2 2 3 2 2" xfId="20564"/>
    <cellStyle name="20 % - Markeringsfarve5 6 2 2 3 2 3" xfId="31921"/>
    <cellStyle name="20 % - Markeringsfarve5 6 2 2 3 3" xfId="15579"/>
    <cellStyle name="20 % - Markeringsfarve5 6 2 2 3 4" xfId="26937"/>
    <cellStyle name="20 % - Markeringsfarve5 6 2 2 4" xfId="6434"/>
    <cellStyle name="20 % - Markeringsfarve5 6 2 2 4 2" xfId="17242"/>
    <cellStyle name="20 % - Markeringsfarve5 6 2 2 4 3" xfId="28599"/>
    <cellStyle name="20 % - Markeringsfarve5 6 2 2 5" xfId="12257"/>
    <cellStyle name="20 % - Markeringsfarve5 6 2 2 6" xfId="23615"/>
    <cellStyle name="20 % - Markeringsfarve5 6 2 3" xfId="2277"/>
    <cellStyle name="20 % - Markeringsfarve5 6 2 3 2" xfId="7265"/>
    <cellStyle name="20 % - Markeringsfarve5 6 2 3 2 2" xfId="18072"/>
    <cellStyle name="20 % - Markeringsfarve5 6 2 3 2 3" xfId="29429"/>
    <cellStyle name="20 % - Markeringsfarve5 6 2 3 3" xfId="13087"/>
    <cellStyle name="20 % - Markeringsfarve5 6 2 3 4" xfId="24445"/>
    <cellStyle name="20 % - Markeringsfarve5 6 2 4" xfId="3941"/>
    <cellStyle name="20 % - Markeringsfarve5 6 2 4 2" xfId="8926"/>
    <cellStyle name="20 % - Markeringsfarve5 6 2 4 2 2" xfId="19733"/>
    <cellStyle name="20 % - Markeringsfarve5 6 2 4 2 3" xfId="31090"/>
    <cellStyle name="20 % - Markeringsfarve5 6 2 4 3" xfId="14748"/>
    <cellStyle name="20 % - Markeringsfarve5 6 2 4 4" xfId="26106"/>
    <cellStyle name="20 % - Markeringsfarve5 6 2 5" xfId="5603"/>
    <cellStyle name="20 % - Markeringsfarve5 6 2 5 2" xfId="16411"/>
    <cellStyle name="20 % - Markeringsfarve5 6 2 5 3" xfId="27768"/>
    <cellStyle name="20 % - Markeringsfarve5 6 2 6" xfId="10590"/>
    <cellStyle name="20 % - Markeringsfarve5 6 2 6 2" xfId="21397"/>
    <cellStyle name="20 % - Markeringsfarve5 6 2 6 3" xfId="32754"/>
    <cellStyle name="20 % - Markeringsfarve5 6 2 7" xfId="11424"/>
    <cellStyle name="20 % - Markeringsfarve5 6 2 8" xfId="22230"/>
    <cellStyle name="20 % - Markeringsfarve5 6 2 9" xfId="22784"/>
    <cellStyle name="20 % - Markeringsfarve5 6 3" xfId="885"/>
    <cellStyle name="20 % - Markeringsfarve5 6 3 2" xfId="1717"/>
    <cellStyle name="20 % - Markeringsfarve5 6 3 2 2" xfId="3382"/>
    <cellStyle name="20 % - Markeringsfarve5 6 3 2 2 2" xfId="8370"/>
    <cellStyle name="20 % - Markeringsfarve5 6 3 2 2 2 2" xfId="19177"/>
    <cellStyle name="20 % - Markeringsfarve5 6 3 2 2 2 3" xfId="30534"/>
    <cellStyle name="20 % - Markeringsfarve5 6 3 2 2 3" xfId="14192"/>
    <cellStyle name="20 % - Markeringsfarve5 6 3 2 2 4" xfId="25550"/>
    <cellStyle name="20 % - Markeringsfarve5 6 3 2 3" xfId="5046"/>
    <cellStyle name="20 % - Markeringsfarve5 6 3 2 3 2" xfId="10031"/>
    <cellStyle name="20 % - Markeringsfarve5 6 3 2 3 2 2" xfId="20838"/>
    <cellStyle name="20 % - Markeringsfarve5 6 3 2 3 2 3" xfId="32195"/>
    <cellStyle name="20 % - Markeringsfarve5 6 3 2 3 3" xfId="15853"/>
    <cellStyle name="20 % - Markeringsfarve5 6 3 2 3 4" xfId="27211"/>
    <cellStyle name="20 % - Markeringsfarve5 6 3 2 4" xfId="6708"/>
    <cellStyle name="20 % - Markeringsfarve5 6 3 2 4 2" xfId="17516"/>
    <cellStyle name="20 % - Markeringsfarve5 6 3 2 4 3" xfId="28873"/>
    <cellStyle name="20 % - Markeringsfarve5 6 3 2 5" xfId="12531"/>
    <cellStyle name="20 % - Markeringsfarve5 6 3 2 6" xfId="23889"/>
    <cellStyle name="20 % - Markeringsfarve5 6 3 3" xfId="2551"/>
    <cellStyle name="20 % - Markeringsfarve5 6 3 3 2" xfId="7539"/>
    <cellStyle name="20 % - Markeringsfarve5 6 3 3 2 2" xfId="18346"/>
    <cellStyle name="20 % - Markeringsfarve5 6 3 3 2 3" xfId="29703"/>
    <cellStyle name="20 % - Markeringsfarve5 6 3 3 3" xfId="13361"/>
    <cellStyle name="20 % - Markeringsfarve5 6 3 3 4" xfId="24719"/>
    <cellStyle name="20 % - Markeringsfarve5 6 3 4" xfId="4215"/>
    <cellStyle name="20 % - Markeringsfarve5 6 3 4 2" xfId="9200"/>
    <cellStyle name="20 % - Markeringsfarve5 6 3 4 2 2" xfId="20007"/>
    <cellStyle name="20 % - Markeringsfarve5 6 3 4 2 3" xfId="31364"/>
    <cellStyle name="20 % - Markeringsfarve5 6 3 4 3" xfId="15022"/>
    <cellStyle name="20 % - Markeringsfarve5 6 3 4 4" xfId="26380"/>
    <cellStyle name="20 % - Markeringsfarve5 6 3 5" xfId="5877"/>
    <cellStyle name="20 % - Markeringsfarve5 6 3 5 2" xfId="16685"/>
    <cellStyle name="20 % - Markeringsfarve5 6 3 5 3" xfId="28042"/>
    <cellStyle name="20 % - Markeringsfarve5 6 3 6" xfId="10864"/>
    <cellStyle name="20 % - Markeringsfarve5 6 3 6 2" xfId="21671"/>
    <cellStyle name="20 % - Markeringsfarve5 6 3 6 3" xfId="33028"/>
    <cellStyle name="20 % - Markeringsfarve5 6 3 7" xfId="11699"/>
    <cellStyle name="20 % - Markeringsfarve5 6 3 8" xfId="23058"/>
    <cellStyle name="20 % - Markeringsfarve5 6 4" xfId="1164"/>
    <cellStyle name="20 % - Markeringsfarve5 6 4 2" xfId="2829"/>
    <cellStyle name="20 % - Markeringsfarve5 6 4 2 2" xfId="7817"/>
    <cellStyle name="20 % - Markeringsfarve5 6 4 2 2 2" xfId="18624"/>
    <cellStyle name="20 % - Markeringsfarve5 6 4 2 2 3" xfId="29981"/>
    <cellStyle name="20 % - Markeringsfarve5 6 4 2 3" xfId="13639"/>
    <cellStyle name="20 % - Markeringsfarve5 6 4 2 4" xfId="24997"/>
    <cellStyle name="20 % - Markeringsfarve5 6 4 3" xfId="4493"/>
    <cellStyle name="20 % - Markeringsfarve5 6 4 3 2" xfId="9478"/>
    <cellStyle name="20 % - Markeringsfarve5 6 4 3 2 2" xfId="20285"/>
    <cellStyle name="20 % - Markeringsfarve5 6 4 3 2 3" xfId="31642"/>
    <cellStyle name="20 % - Markeringsfarve5 6 4 3 3" xfId="15300"/>
    <cellStyle name="20 % - Markeringsfarve5 6 4 3 4" xfId="26658"/>
    <cellStyle name="20 % - Markeringsfarve5 6 4 4" xfId="6155"/>
    <cellStyle name="20 % - Markeringsfarve5 6 4 4 2" xfId="16963"/>
    <cellStyle name="20 % - Markeringsfarve5 6 4 4 3" xfId="28320"/>
    <cellStyle name="20 % - Markeringsfarve5 6 4 5" xfId="11978"/>
    <cellStyle name="20 % - Markeringsfarve5 6 4 6" xfId="23336"/>
    <cellStyle name="20 % - Markeringsfarve5 6 5" xfId="1999"/>
    <cellStyle name="20 % - Markeringsfarve5 6 5 2" xfId="6987"/>
    <cellStyle name="20 % - Markeringsfarve5 6 5 2 2" xfId="17795"/>
    <cellStyle name="20 % - Markeringsfarve5 6 5 2 3" xfId="29152"/>
    <cellStyle name="20 % - Markeringsfarve5 6 5 3" xfId="12810"/>
    <cellStyle name="20 % - Markeringsfarve5 6 5 4" xfId="24168"/>
    <cellStyle name="20 % - Markeringsfarve5 6 6" xfId="3664"/>
    <cellStyle name="20 % - Markeringsfarve5 6 6 2" xfId="8649"/>
    <cellStyle name="20 % - Markeringsfarve5 6 6 2 2" xfId="19456"/>
    <cellStyle name="20 % - Markeringsfarve5 6 6 2 3" xfId="30813"/>
    <cellStyle name="20 % - Markeringsfarve5 6 6 3" xfId="14471"/>
    <cellStyle name="20 % - Markeringsfarve5 6 6 4" xfId="25829"/>
    <cellStyle name="20 % - Markeringsfarve5 6 7" xfId="5325"/>
    <cellStyle name="20 % - Markeringsfarve5 6 7 2" xfId="16134"/>
    <cellStyle name="20 % - Markeringsfarve5 6 7 3" xfId="27491"/>
    <cellStyle name="20 % - Markeringsfarve5 6 8" xfId="10310"/>
    <cellStyle name="20 % - Markeringsfarve5 6 8 2" xfId="21117"/>
    <cellStyle name="20 % - Markeringsfarve5 6 8 3" xfId="32474"/>
    <cellStyle name="20 % - Markeringsfarve5 6 9" xfId="11144"/>
    <cellStyle name="20 % - Markeringsfarve5 7" xfId="349"/>
    <cellStyle name="20 % - Markeringsfarve5 7 10" xfId="22006"/>
    <cellStyle name="20 % - Markeringsfarve5 7 11" xfId="22559"/>
    <cellStyle name="20 % - Markeringsfarve5 7 12" xfId="33362"/>
    <cellStyle name="20 % - Markeringsfarve5 7 13" xfId="33637"/>
    <cellStyle name="20 % - Markeringsfarve5 7 14" xfId="33908"/>
    <cellStyle name="20 % - Markeringsfarve5 7 2" xfId="666"/>
    <cellStyle name="20 % - Markeringsfarve5 7 2 2" xfId="1498"/>
    <cellStyle name="20 % - Markeringsfarve5 7 2 2 2" xfId="3163"/>
    <cellStyle name="20 % - Markeringsfarve5 7 2 2 2 2" xfId="8151"/>
    <cellStyle name="20 % - Markeringsfarve5 7 2 2 2 2 2" xfId="18958"/>
    <cellStyle name="20 % - Markeringsfarve5 7 2 2 2 2 3" xfId="30315"/>
    <cellStyle name="20 % - Markeringsfarve5 7 2 2 2 3" xfId="13973"/>
    <cellStyle name="20 % - Markeringsfarve5 7 2 2 2 4" xfId="25331"/>
    <cellStyle name="20 % - Markeringsfarve5 7 2 2 3" xfId="4827"/>
    <cellStyle name="20 % - Markeringsfarve5 7 2 2 3 2" xfId="9812"/>
    <cellStyle name="20 % - Markeringsfarve5 7 2 2 3 2 2" xfId="20619"/>
    <cellStyle name="20 % - Markeringsfarve5 7 2 2 3 2 3" xfId="31976"/>
    <cellStyle name="20 % - Markeringsfarve5 7 2 2 3 3" xfId="15634"/>
    <cellStyle name="20 % - Markeringsfarve5 7 2 2 3 4" xfId="26992"/>
    <cellStyle name="20 % - Markeringsfarve5 7 2 2 4" xfId="6489"/>
    <cellStyle name="20 % - Markeringsfarve5 7 2 2 4 2" xfId="17297"/>
    <cellStyle name="20 % - Markeringsfarve5 7 2 2 4 3" xfId="28654"/>
    <cellStyle name="20 % - Markeringsfarve5 7 2 2 5" xfId="12312"/>
    <cellStyle name="20 % - Markeringsfarve5 7 2 2 6" xfId="23670"/>
    <cellStyle name="20 % - Markeringsfarve5 7 2 3" xfId="2332"/>
    <cellStyle name="20 % - Markeringsfarve5 7 2 3 2" xfId="7320"/>
    <cellStyle name="20 % - Markeringsfarve5 7 2 3 2 2" xfId="18127"/>
    <cellStyle name="20 % - Markeringsfarve5 7 2 3 2 3" xfId="29484"/>
    <cellStyle name="20 % - Markeringsfarve5 7 2 3 3" xfId="13142"/>
    <cellStyle name="20 % - Markeringsfarve5 7 2 3 4" xfId="24500"/>
    <cellStyle name="20 % - Markeringsfarve5 7 2 4" xfId="3996"/>
    <cellStyle name="20 % - Markeringsfarve5 7 2 4 2" xfId="8981"/>
    <cellStyle name="20 % - Markeringsfarve5 7 2 4 2 2" xfId="19788"/>
    <cellStyle name="20 % - Markeringsfarve5 7 2 4 2 3" xfId="31145"/>
    <cellStyle name="20 % - Markeringsfarve5 7 2 4 3" xfId="14803"/>
    <cellStyle name="20 % - Markeringsfarve5 7 2 4 4" xfId="26161"/>
    <cellStyle name="20 % - Markeringsfarve5 7 2 5" xfId="5658"/>
    <cellStyle name="20 % - Markeringsfarve5 7 2 5 2" xfId="16466"/>
    <cellStyle name="20 % - Markeringsfarve5 7 2 5 3" xfId="27823"/>
    <cellStyle name="20 % - Markeringsfarve5 7 2 6" xfId="10645"/>
    <cellStyle name="20 % - Markeringsfarve5 7 2 6 2" xfId="21452"/>
    <cellStyle name="20 % - Markeringsfarve5 7 2 6 3" xfId="32809"/>
    <cellStyle name="20 % - Markeringsfarve5 7 2 7" xfId="11479"/>
    <cellStyle name="20 % - Markeringsfarve5 7 2 8" xfId="22285"/>
    <cellStyle name="20 % - Markeringsfarve5 7 2 9" xfId="22839"/>
    <cellStyle name="20 % - Markeringsfarve5 7 3" xfId="940"/>
    <cellStyle name="20 % - Markeringsfarve5 7 3 2" xfId="1772"/>
    <cellStyle name="20 % - Markeringsfarve5 7 3 2 2" xfId="3437"/>
    <cellStyle name="20 % - Markeringsfarve5 7 3 2 2 2" xfId="8425"/>
    <cellStyle name="20 % - Markeringsfarve5 7 3 2 2 2 2" xfId="19232"/>
    <cellStyle name="20 % - Markeringsfarve5 7 3 2 2 2 3" xfId="30589"/>
    <cellStyle name="20 % - Markeringsfarve5 7 3 2 2 3" xfId="14247"/>
    <cellStyle name="20 % - Markeringsfarve5 7 3 2 2 4" xfId="25605"/>
    <cellStyle name="20 % - Markeringsfarve5 7 3 2 3" xfId="5101"/>
    <cellStyle name="20 % - Markeringsfarve5 7 3 2 3 2" xfId="10086"/>
    <cellStyle name="20 % - Markeringsfarve5 7 3 2 3 2 2" xfId="20893"/>
    <cellStyle name="20 % - Markeringsfarve5 7 3 2 3 2 3" xfId="32250"/>
    <cellStyle name="20 % - Markeringsfarve5 7 3 2 3 3" xfId="15908"/>
    <cellStyle name="20 % - Markeringsfarve5 7 3 2 3 4" xfId="27266"/>
    <cellStyle name="20 % - Markeringsfarve5 7 3 2 4" xfId="6763"/>
    <cellStyle name="20 % - Markeringsfarve5 7 3 2 4 2" xfId="17571"/>
    <cellStyle name="20 % - Markeringsfarve5 7 3 2 4 3" xfId="28928"/>
    <cellStyle name="20 % - Markeringsfarve5 7 3 2 5" xfId="12586"/>
    <cellStyle name="20 % - Markeringsfarve5 7 3 2 6" xfId="23944"/>
    <cellStyle name="20 % - Markeringsfarve5 7 3 3" xfId="2606"/>
    <cellStyle name="20 % - Markeringsfarve5 7 3 3 2" xfId="7594"/>
    <cellStyle name="20 % - Markeringsfarve5 7 3 3 2 2" xfId="18401"/>
    <cellStyle name="20 % - Markeringsfarve5 7 3 3 2 3" xfId="29758"/>
    <cellStyle name="20 % - Markeringsfarve5 7 3 3 3" xfId="13416"/>
    <cellStyle name="20 % - Markeringsfarve5 7 3 3 4" xfId="24774"/>
    <cellStyle name="20 % - Markeringsfarve5 7 3 4" xfId="4270"/>
    <cellStyle name="20 % - Markeringsfarve5 7 3 4 2" xfId="9255"/>
    <cellStyle name="20 % - Markeringsfarve5 7 3 4 2 2" xfId="20062"/>
    <cellStyle name="20 % - Markeringsfarve5 7 3 4 2 3" xfId="31419"/>
    <cellStyle name="20 % - Markeringsfarve5 7 3 4 3" xfId="15077"/>
    <cellStyle name="20 % - Markeringsfarve5 7 3 4 4" xfId="26435"/>
    <cellStyle name="20 % - Markeringsfarve5 7 3 5" xfId="5932"/>
    <cellStyle name="20 % - Markeringsfarve5 7 3 5 2" xfId="16740"/>
    <cellStyle name="20 % - Markeringsfarve5 7 3 5 3" xfId="28097"/>
    <cellStyle name="20 % - Markeringsfarve5 7 3 6" xfId="10919"/>
    <cellStyle name="20 % - Markeringsfarve5 7 3 6 2" xfId="21726"/>
    <cellStyle name="20 % - Markeringsfarve5 7 3 6 3" xfId="33083"/>
    <cellStyle name="20 % - Markeringsfarve5 7 3 7" xfId="11754"/>
    <cellStyle name="20 % - Markeringsfarve5 7 3 8" xfId="23113"/>
    <cellStyle name="20 % - Markeringsfarve5 7 4" xfId="1219"/>
    <cellStyle name="20 % - Markeringsfarve5 7 4 2" xfId="2884"/>
    <cellStyle name="20 % - Markeringsfarve5 7 4 2 2" xfId="7872"/>
    <cellStyle name="20 % - Markeringsfarve5 7 4 2 2 2" xfId="18679"/>
    <cellStyle name="20 % - Markeringsfarve5 7 4 2 2 3" xfId="30036"/>
    <cellStyle name="20 % - Markeringsfarve5 7 4 2 3" xfId="13694"/>
    <cellStyle name="20 % - Markeringsfarve5 7 4 2 4" xfId="25052"/>
    <cellStyle name="20 % - Markeringsfarve5 7 4 3" xfId="4548"/>
    <cellStyle name="20 % - Markeringsfarve5 7 4 3 2" xfId="9533"/>
    <cellStyle name="20 % - Markeringsfarve5 7 4 3 2 2" xfId="20340"/>
    <cellStyle name="20 % - Markeringsfarve5 7 4 3 2 3" xfId="31697"/>
    <cellStyle name="20 % - Markeringsfarve5 7 4 3 3" xfId="15355"/>
    <cellStyle name="20 % - Markeringsfarve5 7 4 3 4" xfId="26713"/>
    <cellStyle name="20 % - Markeringsfarve5 7 4 4" xfId="6210"/>
    <cellStyle name="20 % - Markeringsfarve5 7 4 4 2" xfId="17018"/>
    <cellStyle name="20 % - Markeringsfarve5 7 4 4 3" xfId="28375"/>
    <cellStyle name="20 % - Markeringsfarve5 7 4 5" xfId="12033"/>
    <cellStyle name="20 % - Markeringsfarve5 7 4 6" xfId="23391"/>
    <cellStyle name="20 % - Markeringsfarve5 7 5" xfId="2054"/>
    <cellStyle name="20 % - Markeringsfarve5 7 5 2" xfId="7042"/>
    <cellStyle name="20 % - Markeringsfarve5 7 5 2 2" xfId="17850"/>
    <cellStyle name="20 % - Markeringsfarve5 7 5 2 3" xfId="29207"/>
    <cellStyle name="20 % - Markeringsfarve5 7 5 3" xfId="12865"/>
    <cellStyle name="20 % - Markeringsfarve5 7 5 4" xfId="24223"/>
    <cellStyle name="20 % - Markeringsfarve5 7 6" xfId="3719"/>
    <cellStyle name="20 % - Markeringsfarve5 7 6 2" xfId="8704"/>
    <cellStyle name="20 % - Markeringsfarve5 7 6 2 2" xfId="19511"/>
    <cellStyle name="20 % - Markeringsfarve5 7 6 2 3" xfId="30868"/>
    <cellStyle name="20 % - Markeringsfarve5 7 6 3" xfId="14526"/>
    <cellStyle name="20 % - Markeringsfarve5 7 6 4" xfId="25884"/>
    <cellStyle name="20 % - Markeringsfarve5 7 7" xfId="5380"/>
    <cellStyle name="20 % - Markeringsfarve5 7 7 2" xfId="16189"/>
    <cellStyle name="20 % - Markeringsfarve5 7 7 3" xfId="27546"/>
    <cellStyle name="20 % - Markeringsfarve5 7 8" xfId="10365"/>
    <cellStyle name="20 % - Markeringsfarve5 7 8 2" xfId="21172"/>
    <cellStyle name="20 % - Markeringsfarve5 7 8 3" xfId="32529"/>
    <cellStyle name="20 % - Markeringsfarve5 7 9" xfId="11199"/>
    <cellStyle name="20 % - Markeringsfarve5 8" xfId="450"/>
    <cellStyle name="20 % - Markeringsfarve5 8 2" xfId="1280"/>
    <cellStyle name="20 % - Markeringsfarve5 8 2 2" xfId="2945"/>
    <cellStyle name="20 % - Markeringsfarve5 8 2 2 2" xfId="7933"/>
    <cellStyle name="20 % - Markeringsfarve5 8 2 2 2 2" xfId="18740"/>
    <cellStyle name="20 % - Markeringsfarve5 8 2 2 2 3" xfId="30097"/>
    <cellStyle name="20 % - Markeringsfarve5 8 2 2 3" xfId="13755"/>
    <cellStyle name="20 % - Markeringsfarve5 8 2 2 4" xfId="25113"/>
    <cellStyle name="20 % - Markeringsfarve5 8 2 3" xfId="4609"/>
    <cellStyle name="20 % - Markeringsfarve5 8 2 3 2" xfId="9594"/>
    <cellStyle name="20 % - Markeringsfarve5 8 2 3 2 2" xfId="20401"/>
    <cellStyle name="20 % - Markeringsfarve5 8 2 3 2 3" xfId="31758"/>
    <cellStyle name="20 % - Markeringsfarve5 8 2 3 3" xfId="15416"/>
    <cellStyle name="20 % - Markeringsfarve5 8 2 3 4" xfId="26774"/>
    <cellStyle name="20 % - Markeringsfarve5 8 2 4" xfId="6271"/>
    <cellStyle name="20 % - Markeringsfarve5 8 2 4 2" xfId="17079"/>
    <cellStyle name="20 % - Markeringsfarve5 8 2 4 3" xfId="28436"/>
    <cellStyle name="20 % - Markeringsfarve5 8 2 5" xfId="12094"/>
    <cellStyle name="20 % - Markeringsfarve5 8 2 6" xfId="23452"/>
    <cellStyle name="20 % - Markeringsfarve5 8 3" xfId="2116"/>
    <cellStyle name="20 % - Markeringsfarve5 8 3 2" xfId="7104"/>
    <cellStyle name="20 % - Markeringsfarve5 8 3 2 2" xfId="17911"/>
    <cellStyle name="20 % - Markeringsfarve5 8 3 2 3" xfId="29268"/>
    <cellStyle name="20 % - Markeringsfarve5 8 3 3" xfId="12926"/>
    <cellStyle name="20 % - Markeringsfarve5 8 3 4" xfId="24284"/>
    <cellStyle name="20 % - Markeringsfarve5 8 4" xfId="3780"/>
    <cellStyle name="20 % - Markeringsfarve5 8 4 2" xfId="8765"/>
    <cellStyle name="20 % - Markeringsfarve5 8 4 2 2" xfId="19572"/>
    <cellStyle name="20 % - Markeringsfarve5 8 4 2 3" xfId="30929"/>
    <cellStyle name="20 % - Markeringsfarve5 8 4 3" xfId="14587"/>
    <cellStyle name="20 % - Markeringsfarve5 8 4 4" xfId="25945"/>
    <cellStyle name="20 % - Markeringsfarve5 8 5" xfId="5442"/>
    <cellStyle name="20 % - Markeringsfarve5 8 5 2" xfId="16250"/>
    <cellStyle name="20 % - Markeringsfarve5 8 5 3" xfId="27607"/>
    <cellStyle name="20 % - Markeringsfarve5 8 6" xfId="10421"/>
    <cellStyle name="20 % - Markeringsfarve5 8 6 2" xfId="21228"/>
    <cellStyle name="20 % - Markeringsfarve5 8 6 3" xfId="32585"/>
    <cellStyle name="20 % - Markeringsfarve5 8 7" xfId="11261"/>
    <cellStyle name="20 % - Markeringsfarve5 8 8" xfId="22067"/>
    <cellStyle name="20 % - Markeringsfarve5 8 9" xfId="22621"/>
    <cellStyle name="20 % - Markeringsfarve5 9" xfId="722"/>
    <cellStyle name="20 % - Markeringsfarve5 9 2" xfId="1554"/>
    <cellStyle name="20 % - Markeringsfarve5 9 2 2" xfId="3219"/>
    <cellStyle name="20 % - Markeringsfarve5 9 2 2 2" xfId="8207"/>
    <cellStyle name="20 % - Markeringsfarve5 9 2 2 2 2" xfId="19014"/>
    <cellStyle name="20 % - Markeringsfarve5 9 2 2 2 3" xfId="30371"/>
    <cellStyle name="20 % - Markeringsfarve5 9 2 2 3" xfId="14029"/>
    <cellStyle name="20 % - Markeringsfarve5 9 2 2 4" xfId="25387"/>
    <cellStyle name="20 % - Markeringsfarve5 9 2 3" xfId="4883"/>
    <cellStyle name="20 % - Markeringsfarve5 9 2 3 2" xfId="9868"/>
    <cellStyle name="20 % - Markeringsfarve5 9 2 3 2 2" xfId="20675"/>
    <cellStyle name="20 % - Markeringsfarve5 9 2 3 2 3" xfId="32032"/>
    <cellStyle name="20 % - Markeringsfarve5 9 2 3 3" xfId="15690"/>
    <cellStyle name="20 % - Markeringsfarve5 9 2 3 4" xfId="27048"/>
    <cellStyle name="20 % - Markeringsfarve5 9 2 4" xfId="6545"/>
    <cellStyle name="20 % - Markeringsfarve5 9 2 4 2" xfId="17353"/>
    <cellStyle name="20 % - Markeringsfarve5 9 2 4 3" xfId="28710"/>
    <cellStyle name="20 % - Markeringsfarve5 9 2 5" xfId="12368"/>
    <cellStyle name="20 % - Markeringsfarve5 9 2 6" xfId="23726"/>
    <cellStyle name="20 % - Markeringsfarve5 9 3" xfId="2388"/>
    <cellStyle name="20 % - Markeringsfarve5 9 3 2" xfId="7376"/>
    <cellStyle name="20 % - Markeringsfarve5 9 3 2 2" xfId="18183"/>
    <cellStyle name="20 % - Markeringsfarve5 9 3 2 3" xfId="29540"/>
    <cellStyle name="20 % - Markeringsfarve5 9 3 3" xfId="13198"/>
    <cellStyle name="20 % - Markeringsfarve5 9 3 4" xfId="24556"/>
    <cellStyle name="20 % - Markeringsfarve5 9 4" xfId="4052"/>
    <cellStyle name="20 % - Markeringsfarve5 9 4 2" xfId="9037"/>
    <cellStyle name="20 % - Markeringsfarve5 9 4 2 2" xfId="19844"/>
    <cellStyle name="20 % - Markeringsfarve5 9 4 2 3" xfId="31201"/>
    <cellStyle name="20 % - Markeringsfarve5 9 4 3" xfId="14859"/>
    <cellStyle name="20 % - Markeringsfarve5 9 4 4" xfId="26217"/>
    <cellStyle name="20 % - Markeringsfarve5 9 5" xfId="5714"/>
    <cellStyle name="20 % - Markeringsfarve5 9 5 2" xfId="16522"/>
    <cellStyle name="20 % - Markeringsfarve5 9 5 3" xfId="27879"/>
    <cellStyle name="20 % - Markeringsfarve5 9 6" xfId="10701"/>
    <cellStyle name="20 % - Markeringsfarve5 9 6 2" xfId="21508"/>
    <cellStyle name="20 % - Markeringsfarve5 9 6 3" xfId="32865"/>
    <cellStyle name="20 % - Markeringsfarve5 9 7" xfId="11536"/>
    <cellStyle name="20 % - Markeringsfarve5 9 8" xfId="22895"/>
    <cellStyle name="20 % - Markeringsfarve6" xfId="41" builtinId="50" customBuiltin="1"/>
    <cellStyle name="20 % - Markeringsfarve6 10" xfId="1003"/>
    <cellStyle name="20 % - Markeringsfarve6 10 2" xfId="2668"/>
    <cellStyle name="20 % - Markeringsfarve6 10 2 2" xfId="7656"/>
    <cellStyle name="20 % - Markeringsfarve6 10 2 2 2" xfId="18463"/>
    <cellStyle name="20 % - Markeringsfarve6 10 2 2 3" xfId="29820"/>
    <cellStyle name="20 % - Markeringsfarve6 10 2 3" xfId="13478"/>
    <cellStyle name="20 % - Markeringsfarve6 10 2 4" xfId="24836"/>
    <cellStyle name="20 % - Markeringsfarve6 10 3" xfId="4332"/>
    <cellStyle name="20 % - Markeringsfarve6 10 3 2" xfId="9317"/>
    <cellStyle name="20 % - Markeringsfarve6 10 3 2 2" xfId="20124"/>
    <cellStyle name="20 % - Markeringsfarve6 10 3 2 3" xfId="31481"/>
    <cellStyle name="20 % - Markeringsfarve6 10 3 3" xfId="15139"/>
    <cellStyle name="20 % - Markeringsfarve6 10 3 4" xfId="26497"/>
    <cellStyle name="20 % - Markeringsfarve6 10 4" xfId="5994"/>
    <cellStyle name="20 % - Markeringsfarve6 10 4 2" xfId="16802"/>
    <cellStyle name="20 % - Markeringsfarve6 10 4 3" xfId="28159"/>
    <cellStyle name="20 % - Markeringsfarve6 10 5" xfId="11817"/>
    <cellStyle name="20 % - Markeringsfarve6 10 6" xfId="23175"/>
    <cellStyle name="20 % - Markeringsfarve6 11" xfId="1838"/>
    <cellStyle name="20 % - Markeringsfarve6 11 2" xfId="6826"/>
    <cellStyle name="20 % - Markeringsfarve6 11 2 2" xfId="17634"/>
    <cellStyle name="20 % - Markeringsfarve6 11 2 3" xfId="28991"/>
    <cellStyle name="20 % - Markeringsfarve6 11 3" xfId="12649"/>
    <cellStyle name="20 % - Markeringsfarve6 11 4" xfId="24007"/>
    <cellStyle name="20 % - Markeringsfarve6 12" xfId="3503"/>
    <cellStyle name="20 % - Markeringsfarve6 12 2" xfId="8488"/>
    <cellStyle name="20 % - Markeringsfarve6 12 2 2" xfId="19295"/>
    <cellStyle name="20 % - Markeringsfarve6 12 2 3" xfId="30652"/>
    <cellStyle name="20 % - Markeringsfarve6 12 3" xfId="14310"/>
    <cellStyle name="20 % - Markeringsfarve6 12 4" xfId="25668"/>
    <cellStyle name="20 % - Markeringsfarve6 13" xfId="5164"/>
    <cellStyle name="20 % - Markeringsfarve6 13 2" xfId="15973"/>
    <cellStyle name="20 % - Markeringsfarve6 13 3" xfId="27330"/>
    <cellStyle name="20 % - Markeringsfarve6 14" xfId="10149"/>
    <cellStyle name="20 % - Markeringsfarve6 14 2" xfId="20956"/>
    <cellStyle name="20 % - Markeringsfarve6 14 3" xfId="32313"/>
    <cellStyle name="20 % - Markeringsfarve6 15" xfId="10983"/>
    <cellStyle name="20 % - Markeringsfarve6 16" xfId="21790"/>
    <cellStyle name="20 % - Markeringsfarve6 17" xfId="22343"/>
    <cellStyle name="20 % - Markeringsfarve6 18" xfId="33146"/>
    <cellStyle name="20 % - Markeringsfarve6 19" xfId="33415"/>
    <cellStyle name="20 % - Markeringsfarve6 2" xfId="76"/>
    <cellStyle name="20 % - Markeringsfarve6 2 10" xfId="3523"/>
    <cellStyle name="20 % - Markeringsfarve6 2 10 2" xfId="8508"/>
    <cellStyle name="20 % - Markeringsfarve6 2 10 2 2" xfId="19315"/>
    <cellStyle name="20 % - Markeringsfarve6 2 10 2 3" xfId="30672"/>
    <cellStyle name="20 % - Markeringsfarve6 2 10 3" xfId="14330"/>
    <cellStyle name="20 % - Markeringsfarve6 2 10 4" xfId="25688"/>
    <cellStyle name="20 % - Markeringsfarve6 2 11" xfId="5184"/>
    <cellStyle name="20 % - Markeringsfarve6 2 11 2" xfId="15993"/>
    <cellStyle name="20 % - Markeringsfarve6 2 11 3" xfId="27350"/>
    <cellStyle name="20 % - Markeringsfarve6 2 12" xfId="10168"/>
    <cellStyle name="20 % - Markeringsfarve6 2 12 2" xfId="20975"/>
    <cellStyle name="20 % - Markeringsfarve6 2 12 3" xfId="32332"/>
    <cellStyle name="20 % - Markeringsfarve6 2 13" xfId="11002"/>
    <cellStyle name="20 % - Markeringsfarve6 2 14" xfId="21809"/>
    <cellStyle name="20 % - Markeringsfarve6 2 15" xfId="22362"/>
    <cellStyle name="20 % - Markeringsfarve6 2 16" xfId="33165"/>
    <cellStyle name="20 % - Markeringsfarve6 2 17" xfId="33434"/>
    <cellStyle name="20 % - Markeringsfarve6 2 18" xfId="33705"/>
    <cellStyle name="20 % - Markeringsfarve6 2 2" xfId="205"/>
    <cellStyle name="20 % - Markeringsfarve6 2 2 10" xfId="21863"/>
    <cellStyle name="20 % - Markeringsfarve6 2 2 11" xfId="22416"/>
    <cellStyle name="20 % - Markeringsfarve6 2 2 12" xfId="33219"/>
    <cellStyle name="20 % - Markeringsfarve6 2 2 13" xfId="33494"/>
    <cellStyle name="20 % - Markeringsfarve6 2 2 14" xfId="33765"/>
    <cellStyle name="20 % - Markeringsfarve6 2 2 2" xfId="523"/>
    <cellStyle name="20 % - Markeringsfarve6 2 2 2 2" xfId="1355"/>
    <cellStyle name="20 % - Markeringsfarve6 2 2 2 2 2" xfId="3020"/>
    <cellStyle name="20 % - Markeringsfarve6 2 2 2 2 2 2" xfId="8008"/>
    <cellStyle name="20 % - Markeringsfarve6 2 2 2 2 2 2 2" xfId="18815"/>
    <cellStyle name="20 % - Markeringsfarve6 2 2 2 2 2 2 3" xfId="30172"/>
    <cellStyle name="20 % - Markeringsfarve6 2 2 2 2 2 3" xfId="13830"/>
    <cellStyle name="20 % - Markeringsfarve6 2 2 2 2 2 4" xfId="25188"/>
    <cellStyle name="20 % - Markeringsfarve6 2 2 2 2 3" xfId="4684"/>
    <cellStyle name="20 % - Markeringsfarve6 2 2 2 2 3 2" xfId="9669"/>
    <cellStyle name="20 % - Markeringsfarve6 2 2 2 2 3 2 2" xfId="20476"/>
    <cellStyle name="20 % - Markeringsfarve6 2 2 2 2 3 2 3" xfId="31833"/>
    <cellStyle name="20 % - Markeringsfarve6 2 2 2 2 3 3" xfId="15491"/>
    <cellStyle name="20 % - Markeringsfarve6 2 2 2 2 3 4" xfId="26849"/>
    <cellStyle name="20 % - Markeringsfarve6 2 2 2 2 4" xfId="6346"/>
    <cellStyle name="20 % - Markeringsfarve6 2 2 2 2 4 2" xfId="17154"/>
    <cellStyle name="20 % - Markeringsfarve6 2 2 2 2 4 3" xfId="28511"/>
    <cellStyle name="20 % - Markeringsfarve6 2 2 2 2 5" xfId="12169"/>
    <cellStyle name="20 % - Markeringsfarve6 2 2 2 2 6" xfId="23527"/>
    <cellStyle name="20 % - Markeringsfarve6 2 2 2 3" xfId="2189"/>
    <cellStyle name="20 % - Markeringsfarve6 2 2 2 3 2" xfId="7177"/>
    <cellStyle name="20 % - Markeringsfarve6 2 2 2 3 2 2" xfId="17984"/>
    <cellStyle name="20 % - Markeringsfarve6 2 2 2 3 2 3" xfId="29341"/>
    <cellStyle name="20 % - Markeringsfarve6 2 2 2 3 3" xfId="12999"/>
    <cellStyle name="20 % - Markeringsfarve6 2 2 2 3 4" xfId="24357"/>
    <cellStyle name="20 % - Markeringsfarve6 2 2 2 4" xfId="3853"/>
    <cellStyle name="20 % - Markeringsfarve6 2 2 2 4 2" xfId="8838"/>
    <cellStyle name="20 % - Markeringsfarve6 2 2 2 4 2 2" xfId="19645"/>
    <cellStyle name="20 % - Markeringsfarve6 2 2 2 4 2 3" xfId="31002"/>
    <cellStyle name="20 % - Markeringsfarve6 2 2 2 4 3" xfId="14660"/>
    <cellStyle name="20 % - Markeringsfarve6 2 2 2 4 4" xfId="26018"/>
    <cellStyle name="20 % - Markeringsfarve6 2 2 2 5" xfId="5515"/>
    <cellStyle name="20 % - Markeringsfarve6 2 2 2 5 2" xfId="16323"/>
    <cellStyle name="20 % - Markeringsfarve6 2 2 2 5 3" xfId="27680"/>
    <cellStyle name="20 % - Markeringsfarve6 2 2 2 6" xfId="10502"/>
    <cellStyle name="20 % - Markeringsfarve6 2 2 2 6 2" xfId="21309"/>
    <cellStyle name="20 % - Markeringsfarve6 2 2 2 6 3" xfId="32666"/>
    <cellStyle name="20 % - Markeringsfarve6 2 2 2 7" xfId="11336"/>
    <cellStyle name="20 % - Markeringsfarve6 2 2 2 8" xfId="22142"/>
    <cellStyle name="20 % - Markeringsfarve6 2 2 2 9" xfId="22696"/>
    <cellStyle name="20 % - Markeringsfarve6 2 2 3" xfId="797"/>
    <cellStyle name="20 % - Markeringsfarve6 2 2 3 2" xfId="1629"/>
    <cellStyle name="20 % - Markeringsfarve6 2 2 3 2 2" xfId="3294"/>
    <cellStyle name="20 % - Markeringsfarve6 2 2 3 2 2 2" xfId="8282"/>
    <cellStyle name="20 % - Markeringsfarve6 2 2 3 2 2 2 2" xfId="19089"/>
    <cellStyle name="20 % - Markeringsfarve6 2 2 3 2 2 2 3" xfId="30446"/>
    <cellStyle name="20 % - Markeringsfarve6 2 2 3 2 2 3" xfId="14104"/>
    <cellStyle name="20 % - Markeringsfarve6 2 2 3 2 2 4" xfId="25462"/>
    <cellStyle name="20 % - Markeringsfarve6 2 2 3 2 3" xfId="4958"/>
    <cellStyle name="20 % - Markeringsfarve6 2 2 3 2 3 2" xfId="9943"/>
    <cellStyle name="20 % - Markeringsfarve6 2 2 3 2 3 2 2" xfId="20750"/>
    <cellStyle name="20 % - Markeringsfarve6 2 2 3 2 3 2 3" xfId="32107"/>
    <cellStyle name="20 % - Markeringsfarve6 2 2 3 2 3 3" xfId="15765"/>
    <cellStyle name="20 % - Markeringsfarve6 2 2 3 2 3 4" xfId="27123"/>
    <cellStyle name="20 % - Markeringsfarve6 2 2 3 2 4" xfId="6620"/>
    <cellStyle name="20 % - Markeringsfarve6 2 2 3 2 4 2" xfId="17428"/>
    <cellStyle name="20 % - Markeringsfarve6 2 2 3 2 4 3" xfId="28785"/>
    <cellStyle name="20 % - Markeringsfarve6 2 2 3 2 5" xfId="12443"/>
    <cellStyle name="20 % - Markeringsfarve6 2 2 3 2 6" xfId="23801"/>
    <cellStyle name="20 % - Markeringsfarve6 2 2 3 3" xfId="2463"/>
    <cellStyle name="20 % - Markeringsfarve6 2 2 3 3 2" xfId="7451"/>
    <cellStyle name="20 % - Markeringsfarve6 2 2 3 3 2 2" xfId="18258"/>
    <cellStyle name="20 % - Markeringsfarve6 2 2 3 3 2 3" xfId="29615"/>
    <cellStyle name="20 % - Markeringsfarve6 2 2 3 3 3" xfId="13273"/>
    <cellStyle name="20 % - Markeringsfarve6 2 2 3 3 4" xfId="24631"/>
    <cellStyle name="20 % - Markeringsfarve6 2 2 3 4" xfId="4127"/>
    <cellStyle name="20 % - Markeringsfarve6 2 2 3 4 2" xfId="9112"/>
    <cellStyle name="20 % - Markeringsfarve6 2 2 3 4 2 2" xfId="19919"/>
    <cellStyle name="20 % - Markeringsfarve6 2 2 3 4 2 3" xfId="31276"/>
    <cellStyle name="20 % - Markeringsfarve6 2 2 3 4 3" xfId="14934"/>
    <cellStyle name="20 % - Markeringsfarve6 2 2 3 4 4" xfId="26292"/>
    <cellStyle name="20 % - Markeringsfarve6 2 2 3 5" xfId="5789"/>
    <cellStyle name="20 % - Markeringsfarve6 2 2 3 5 2" xfId="16597"/>
    <cellStyle name="20 % - Markeringsfarve6 2 2 3 5 3" xfId="27954"/>
    <cellStyle name="20 % - Markeringsfarve6 2 2 3 6" xfId="10776"/>
    <cellStyle name="20 % - Markeringsfarve6 2 2 3 6 2" xfId="21583"/>
    <cellStyle name="20 % - Markeringsfarve6 2 2 3 6 3" xfId="32940"/>
    <cellStyle name="20 % - Markeringsfarve6 2 2 3 7" xfId="11611"/>
    <cellStyle name="20 % - Markeringsfarve6 2 2 3 8" xfId="22970"/>
    <cellStyle name="20 % - Markeringsfarve6 2 2 4" xfId="1076"/>
    <cellStyle name="20 % - Markeringsfarve6 2 2 4 2" xfId="2741"/>
    <cellStyle name="20 % - Markeringsfarve6 2 2 4 2 2" xfId="7729"/>
    <cellStyle name="20 % - Markeringsfarve6 2 2 4 2 2 2" xfId="18536"/>
    <cellStyle name="20 % - Markeringsfarve6 2 2 4 2 2 3" xfId="29893"/>
    <cellStyle name="20 % - Markeringsfarve6 2 2 4 2 3" xfId="13551"/>
    <cellStyle name="20 % - Markeringsfarve6 2 2 4 2 4" xfId="24909"/>
    <cellStyle name="20 % - Markeringsfarve6 2 2 4 3" xfId="4405"/>
    <cellStyle name="20 % - Markeringsfarve6 2 2 4 3 2" xfId="9390"/>
    <cellStyle name="20 % - Markeringsfarve6 2 2 4 3 2 2" xfId="20197"/>
    <cellStyle name="20 % - Markeringsfarve6 2 2 4 3 2 3" xfId="31554"/>
    <cellStyle name="20 % - Markeringsfarve6 2 2 4 3 3" xfId="15212"/>
    <cellStyle name="20 % - Markeringsfarve6 2 2 4 3 4" xfId="26570"/>
    <cellStyle name="20 % - Markeringsfarve6 2 2 4 4" xfId="6067"/>
    <cellStyle name="20 % - Markeringsfarve6 2 2 4 4 2" xfId="16875"/>
    <cellStyle name="20 % - Markeringsfarve6 2 2 4 4 3" xfId="28232"/>
    <cellStyle name="20 % - Markeringsfarve6 2 2 4 5" xfId="11890"/>
    <cellStyle name="20 % - Markeringsfarve6 2 2 4 6" xfId="23248"/>
    <cellStyle name="20 % - Markeringsfarve6 2 2 5" xfId="1911"/>
    <cellStyle name="20 % - Markeringsfarve6 2 2 5 2" xfId="6899"/>
    <cellStyle name="20 % - Markeringsfarve6 2 2 5 2 2" xfId="17707"/>
    <cellStyle name="20 % - Markeringsfarve6 2 2 5 2 3" xfId="29064"/>
    <cellStyle name="20 % - Markeringsfarve6 2 2 5 3" xfId="12722"/>
    <cellStyle name="20 % - Markeringsfarve6 2 2 5 4" xfId="24080"/>
    <cellStyle name="20 % - Markeringsfarve6 2 2 6" xfId="3576"/>
    <cellStyle name="20 % - Markeringsfarve6 2 2 6 2" xfId="8561"/>
    <cellStyle name="20 % - Markeringsfarve6 2 2 6 2 2" xfId="19368"/>
    <cellStyle name="20 % - Markeringsfarve6 2 2 6 2 3" xfId="30725"/>
    <cellStyle name="20 % - Markeringsfarve6 2 2 6 3" xfId="14383"/>
    <cellStyle name="20 % - Markeringsfarve6 2 2 6 4" xfId="25741"/>
    <cellStyle name="20 % - Markeringsfarve6 2 2 7" xfId="5237"/>
    <cellStyle name="20 % - Markeringsfarve6 2 2 7 2" xfId="16046"/>
    <cellStyle name="20 % - Markeringsfarve6 2 2 7 3" xfId="27403"/>
    <cellStyle name="20 % - Markeringsfarve6 2 2 8" xfId="10222"/>
    <cellStyle name="20 % - Markeringsfarve6 2 2 8 2" xfId="21029"/>
    <cellStyle name="20 % - Markeringsfarve6 2 2 8 3" xfId="32386"/>
    <cellStyle name="20 % - Markeringsfarve6 2 2 9" xfId="11056"/>
    <cellStyle name="20 % - Markeringsfarve6 2 3" xfId="260"/>
    <cellStyle name="20 % - Markeringsfarve6 2 3 10" xfId="21917"/>
    <cellStyle name="20 % - Markeringsfarve6 2 3 11" xfId="22470"/>
    <cellStyle name="20 % - Markeringsfarve6 2 3 12" xfId="33273"/>
    <cellStyle name="20 % - Markeringsfarve6 2 3 13" xfId="33548"/>
    <cellStyle name="20 % - Markeringsfarve6 2 3 14" xfId="33819"/>
    <cellStyle name="20 % - Markeringsfarve6 2 3 2" xfId="577"/>
    <cellStyle name="20 % - Markeringsfarve6 2 3 2 2" xfId="1409"/>
    <cellStyle name="20 % - Markeringsfarve6 2 3 2 2 2" xfId="3074"/>
    <cellStyle name="20 % - Markeringsfarve6 2 3 2 2 2 2" xfId="8062"/>
    <cellStyle name="20 % - Markeringsfarve6 2 3 2 2 2 2 2" xfId="18869"/>
    <cellStyle name="20 % - Markeringsfarve6 2 3 2 2 2 2 3" xfId="30226"/>
    <cellStyle name="20 % - Markeringsfarve6 2 3 2 2 2 3" xfId="13884"/>
    <cellStyle name="20 % - Markeringsfarve6 2 3 2 2 2 4" xfId="25242"/>
    <cellStyle name="20 % - Markeringsfarve6 2 3 2 2 3" xfId="4738"/>
    <cellStyle name="20 % - Markeringsfarve6 2 3 2 2 3 2" xfId="9723"/>
    <cellStyle name="20 % - Markeringsfarve6 2 3 2 2 3 2 2" xfId="20530"/>
    <cellStyle name="20 % - Markeringsfarve6 2 3 2 2 3 2 3" xfId="31887"/>
    <cellStyle name="20 % - Markeringsfarve6 2 3 2 2 3 3" xfId="15545"/>
    <cellStyle name="20 % - Markeringsfarve6 2 3 2 2 3 4" xfId="26903"/>
    <cellStyle name="20 % - Markeringsfarve6 2 3 2 2 4" xfId="6400"/>
    <cellStyle name="20 % - Markeringsfarve6 2 3 2 2 4 2" xfId="17208"/>
    <cellStyle name="20 % - Markeringsfarve6 2 3 2 2 4 3" xfId="28565"/>
    <cellStyle name="20 % - Markeringsfarve6 2 3 2 2 5" xfId="12223"/>
    <cellStyle name="20 % - Markeringsfarve6 2 3 2 2 6" xfId="23581"/>
    <cellStyle name="20 % - Markeringsfarve6 2 3 2 3" xfId="2243"/>
    <cellStyle name="20 % - Markeringsfarve6 2 3 2 3 2" xfId="7231"/>
    <cellStyle name="20 % - Markeringsfarve6 2 3 2 3 2 2" xfId="18038"/>
    <cellStyle name="20 % - Markeringsfarve6 2 3 2 3 2 3" xfId="29395"/>
    <cellStyle name="20 % - Markeringsfarve6 2 3 2 3 3" xfId="13053"/>
    <cellStyle name="20 % - Markeringsfarve6 2 3 2 3 4" xfId="24411"/>
    <cellStyle name="20 % - Markeringsfarve6 2 3 2 4" xfId="3907"/>
    <cellStyle name="20 % - Markeringsfarve6 2 3 2 4 2" xfId="8892"/>
    <cellStyle name="20 % - Markeringsfarve6 2 3 2 4 2 2" xfId="19699"/>
    <cellStyle name="20 % - Markeringsfarve6 2 3 2 4 2 3" xfId="31056"/>
    <cellStyle name="20 % - Markeringsfarve6 2 3 2 4 3" xfId="14714"/>
    <cellStyle name="20 % - Markeringsfarve6 2 3 2 4 4" xfId="26072"/>
    <cellStyle name="20 % - Markeringsfarve6 2 3 2 5" xfId="5569"/>
    <cellStyle name="20 % - Markeringsfarve6 2 3 2 5 2" xfId="16377"/>
    <cellStyle name="20 % - Markeringsfarve6 2 3 2 5 3" xfId="27734"/>
    <cellStyle name="20 % - Markeringsfarve6 2 3 2 6" xfId="10556"/>
    <cellStyle name="20 % - Markeringsfarve6 2 3 2 6 2" xfId="21363"/>
    <cellStyle name="20 % - Markeringsfarve6 2 3 2 6 3" xfId="32720"/>
    <cellStyle name="20 % - Markeringsfarve6 2 3 2 7" xfId="11390"/>
    <cellStyle name="20 % - Markeringsfarve6 2 3 2 8" xfId="22196"/>
    <cellStyle name="20 % - Markeringsfarve6 2 3 2 9" xfId="22750"/>
    <cellStyle name="20 % - Markeringsfarve6 2 3 3" xfId="851"/>
    <cellStyle name="20 % - Markeringsfarve6 2 3 3 2" xfId="1683"/>
    <cellStyle name="20 % - Markeringsfarve6 2 3 3 2 2" xfId="3348"/>
    <cellStyle name="20 % - Markeringsfarve6 2 3 3 2 2 2" xfId="8336"/>
    <cellStyle name="20 % - Markeringsfarve6 2 3 3 2 2 2 2" xfId="19143"/>
    <cellStyle name="20 % - Markeringsfarve6 2 3 3 2 2 2 3" xfId="30500"/>
    <cellStyle name="20 % - Markeringsfarve6 2 3 3 2 2 3" xfId="14158"/>
    <cellStyle name="20 % - Markeringsfarve6 2 3 3 2 2 4" xfId="25516"/>
    <cellStyle name="20 % - Markeringsfarve6 2 3 3 2 3" xfId="5012"/>
    <cellStyle name="20 % - Markeringsfarve6 2 3 3 2 3 2" xfId="9997"/>
    <cellStyle name="20 % - Markeringsfarve6 2 3 3 2 3 2 2" xfId="20804"/>
    <cellStyle name="20 % - Markeringsfarve6 2 3 3 2 3 2 3" xfId="32161"/>
    <cellStyle name="20 % - Markeringsfarve6 2 3 3 2 3 3" xfId="15819"/>
    <cellStyle name="20 % - Markeringsfarve6 2 3 3 2 3 4" xfId="27177"/>
    <cellStyle name="20 % - Markeringsfarve6 2 3 3 2 4" xfId="6674"/>
    <cellStyle name="20 % - Markeringsfarve6 2 3 3 2 4 2" xfId="17482"/>
    <cellStyle name="20 % - Markeringsfarve6 2 3 3 2 4 3" xfId="28839"/>
    <cellStyle name="20 % - Markeringsfarve6 2 3 3 2 5" xfId="12497"/>
    <cellStyle name="20 % - Markeringsfarve6 2 3 3 2 6" xfId="23855"/>
    <cellStyle name="20 % - Markeringsfarve6 2 3 3 3" xfId="2517"/>
    <cellStyle name="20 % - Markeringsfarve6 2 3 3 3 2" xfId="7505"/>
    <cellStyle name="20 % - Markeringsfarve6 2 3 3 3 2 2" xfId="18312"/>
    <cellStyle name="20 % - Markeringsfarve6 2 3 3 3 2 3" xfId="29669"/>
    <cellStyle name="20 % - Markeringsfarve6 2 3 3 3 3" xfId="13327"/>
    <cellStyle name="20 % - Markeringsfarve6 2 3 3 3 4" xfId="24685"/>
    <cellStyle name="20 % - Markeringsfarve6 2 3 3 4" xfId="4181"/>
    <cellStyle name="20 % - Markeringsfarve6 2 3 3 4 2" xfId="9166"/>
    <cellStyle name="20 % - Markeringsfarve6 2 3 3 4 2 2" xfId="19973"/>
    <cellStyle name="20 % - Markeringsfarve6 2 3 3 4 2 3" xfId="31330"/>
    <cellStyle name="20 % - Markeringsfarve6 2 3 3 4 3" xfId="14988"/>
    <cellStyle name="20 % - Markeringsfarve6 2 3 3 4 4" xfId="26346"/>
    <cellStyle name="20 % - Markeringsfarve6 2 3 3 5" xfId="5843"/>
    <cellStyle name="20 % - Markeringsfarve6 2 3 3 5 2" xfId="16651"/>
    <cellStyle name="20 % - Markeringsfarve6 2 3 3 5 3" xfId="28008"/>
    <cellStyle name="20 % - Markeringsfarve6 2 3 3 6" xfId="10830"/>
    <cellStyle name="20 % - Markeringsfarve6 2 3 3 6 2" xfId="21637"/>
    <cellStyle name="20 % - Markeringsfarve6 2 3 3 6 3" xfId="32994"/>
    <cellStyle name="20 % - Markeringsfarve6 2 3 3 7" xfId="11665"/>
    <cellStyle name="20 % - Markeringsfarve6 2 3 3 8" xfId="23024"/>
    <cellStyle name="20 % - Markeringsfarve6 2 3 4" xfId="1130"/>
    <cellStyle name="20 % - Markeringsfarve6 2 3 4 2" xfId="2795"/>
    <cellStyle name="20 % - Markeringsfarve6 2 3 4 2 2" xfId="7783"/>
    <cellStyle name="20 % - Markeringsfarve6 2 3 4 2 2 2" xfId="18590"/>
    <cellStyle name="20 % - Markeringsfarve6 2 3 4 2 2 3" xfId="29947"/>
    <cellStyle name="20 % - Markeringsfarve6 2 3 4 2 3" xfId="13605"/>
    <cellStyle name="20 % - Markeringsfarve6 2 3 4 2 4" xfId="24963"/>
    <cellStyle name="20 % - Markeringsfarve6 2 3 4 3" xfId="4459"/>
    <cellStyle name="20 % - Markeringsfarve6 2 3 4 3 2" xfId="9444"/>
    <cellStyle name="20 % - Markeringsfarve6 2 3 4 3 2 2" xfId="20251"/>
    <cellStyle name="20 % - Markeringsfarve6 2 3 4 3 2 3" xfId="31608"/>
    <cellStyle name="20 % - Markeringsfarve6 2 3 4 3 3" xfId="15266"/>
    <cellStyle name="20 % - Markeringsfarve6 2 3 4 3 4" xfId="26624"/>
    <cellStyle name="20 % - Markeringsfarve6 2 3 4 4" xfId="6121"/>
    <cellStyle name="20 % - Markeringsfarve6 2 3 4 4 2" xfId="16929"/>
    <cellStyle name="20 % - Markeringsfarve6 2 3 4 4 3" xfId="28286"/>
    <cellStyle name="20 % - Markeringsfarve6 2 3 4 5" xfId="11944"/>
    <cellStyle name="20 % - Markeringsfarve6 2 3 4 6" xfId="23302"/>
    <cellStyle name="20 % - Markeringsfarve6 2 3 5" xfId="1965"/>
    <cellStyle name="20 % - Markeringsfarve6 2 3 5 2" xfId="6953"/>
    <cellStyle name="20 % - Markeringsfarve6 2 3 5 2 2" xfId="17761"/>
    <cellStyle name="20 % - Markeringsfarve6 2 3 5 2 3" xfId="29118"/>
    <cellStyle name="20 % - Markeringsfarve6 2 3 5 3" xfId="12776"/>
    <cellStyle name="20 % - Markeringsfarve6 2 3 5 4" xfId="24134"/>
    <cellStyle name="20 % - Markeringsfarve6 2 3 6" xfId="3630"/>
    <cellStyle name="20 % - Markeringsfarve6 2 3 6 2" xfId="8615"/>
    <cellStyle name="20 % - Markeringsfarve6 2 3 6 2 2" xfId="19422"/>
    <cellStyle name="20 % - Markeringsfarve6 2 3 6 2 3" xfId="30779"/>
    <cellStyle name="20 % - Markeringsfarve6 2 3 6 3" xfId="14437"/>
    <cellStyle name="20 % - Markeringsfarve6 2 3 6 4" xfId="25795"/>
    <cellStyle name="20 % - Markeringsfarve6 2 3 7" xfId="5291"/>
    <cellStyle name="20 % - Markeringsfarve6 2 3 7 2" xfId="16100"/>
    <cellStyle name="20 % - Markeringsfarve6 2 3 7 3" xfId="27457"/>
    <cellStyle name="20 % - Markeringsfarve6 2 3 8" xfId="10276"/>
    <cellStyle name="20 % - Markeringsfarve6 2 3 8 2" xfId="21083"/>
    <cellStyle name="20 % - Markeringsfarve6 2 3 8 3" xfId="32440"/>
    <cellStyle name="20 % - Markeringsfarve6 2 3 9" xfId="11110"/>
    <cellStyle name="20 % - Markeringsfarve6 2 4" xfId="315"/>
    <cellStyle name="20 % - Markeringsfarve6 2 4 10" xfId="21972"/>
    <cellStyle name="20 % - Markeringsfarve6 2 4 11" xfId="22525"/>
    <cellStyle name="20 % - Markeringsfarve6 2 4 12" xfId="33328"/>
    <cellStyle name="20 % - Markeringsfarve6 2 4 13" xfId="33603"/>
    <cellStyle name="20 % - Markeringsfarve6 2 4 14" xfId="33874"/>
    <cellStyle name="20 % - Markeringsfarve6 2 4 2" xfId="632"/>
    <cellStyle name="20 % - Markeringsfarve6 2 4 2 2" xfId="1464"/>
    <cellStyle name="20 % - Markeringsfarve6 2 4 2 2 2" xfId="3129"/>
    <cellStyle name="20 % - Markeringsfarve6 2 4 2 2 2 2" xfId="8117"/>
    <cellStyle name="20 % - Markeringsfarve6 2 4 2 2 2 2 2" xfId="18924"/>
    <cellStyle name="20 % - Markeringsfarve6 2 4 2 2 2 2 3" xfId="30281"/>
    <cellStyle name="20 % - Markeringsfarve6 2 4 2 2 2 3" xfId="13939"/>
    <cellStyle name="20 % - Markeringsfarve6 2 4 2 2 2 4" xfId="25297"/>
    <cellStyle name="20 % - Markeringsfarve6 2 4 2 2 3" xfId="4793"/>
    <cellStyle name="20 % - Markeringsfarve6 2 4 2 2 3 2" xfId="9778"/>
    <cellStyle name="20 % - Markeringsfarve6 2 4 2 2 3 2 2" xfId="20585"/>
    <cellStyle name="20 % - Markeringsfarve6 2 4 2 2 3 2 3" xfId="31942"/>
    <cellStyle name="20 % - Markeringsfarve6 2 4 2 2 3 3" xfId="15600"/>
    <cellStyle name="20 % - Markeringsfarve6 2 4 2 2 3 4" xfId="26958"/>
    <cellStyle name="20 % - Markeringsfarve6 2 4 2 2 4" xfId="6455"/>
    <cellStyle name="20 % - Markeringsfarve6 2 4 2 2 4 2" xfId="17263"/>
    <cellStyle name="20 % - Markeringsfarve6 2 4 2 2 4 3" xfId="28620"/>
    <cellStyle name="20 % - Markeringsfarve6 2 4 2 2 5" xfId="12278"/>
    <cellStyle name="20 % - Markeringsfarve6 2 4 2 2 6" xfId="23636"/>
    <cellStyle name="20 % - Markeringsfarve6 2 4 2 3" xfId="2298"/>
    <cellStyle name="20 % - Markeringsfarve6 2 4 2 3 2" xfId="7286"/>
    <cellStyle name="20 % - Markeringsfarve6 2 4 2 3 2 2" xfId="18093"/>
    <cellStyle name="20 % - Markeringsfarve6 2 4 2 3 2 3" xfId="29450"/>
    <cellStyle name="20 % - Markeringsfarve6 2 4 2 3 3" xfId="13108"/>
    <cellStyle name="20 % - Markeringsfarve6 2 4 2 3 4" xfId="24466"/>
    <cellStyle name="20 % - Markeringsfarve6 2 4 2 4" xfId="3962"/>
    <cellStyle name="20 % - Markeringsfarve6 2 4 2 4 2" xfId="8947"/>
    <cellStyle name="20 % - Markeringsfarve6 2 4 2 4 2 2" xfId="19754"/>
    <cellStyle name="20 % - Markeringsfarve6 2 4 2 4 2 3" xfId="31111"/>
    <cellStyle name="20 % - Markeringsfarve6 2 4 2 4 3" xfId="14769"/>
    <cellStyle name="20 % - Markeringsfarve6 2 4 2 4 4" xfId="26127"/>
    <cellStyle name="20 % - Markeringsfarve6 2 4 2 5" xfId="5624"/>
    <cellStyle name="20 % - Markeringsfarve6 2 4 2 5 2" xfId="16432"/>
    <cellStyle name="20 % - Markeringsfarve6 2 4 2 5 3" xfId="27789"/>
    <cellStyle name="20 % - Markeringsfarve6 2 4 2 6" xfId="10611"/>
    <cellStyle name="20 % - Markeringsfarve6 2 4 2 6 2" xfId="21418"/>
    <cellStyle name="20 % - Markeringsfarve6 2 4 2 6 3" xfId="32775"/>
    <cellStyle name="20 % - Markeringsfarve6 2 4 2 7" xfId="11445"/>
    <cellStyle name="20 % - Markeringsfarve6 2 4 2 8" xfId="22251"/>
    <cellStyle name="20 % - Markeringsfarve6 2 4 2 9" xfId="22805"/>
    <cellStyle name="20 % - Markeringsfarve6 2 4 3" xfId="906"/>
    <cellStyle name="20 % - Markeringsfarve6 2 4 3 2" xfId="1738"/>
    <cellStyle name="20 % - Markeringsfarve6 2 4 3 2 2" xfId="3403"/>
    <cellStyle name="20 % - Markeringsfarve6 2 4 3 2 2 2" xfId="8391"/>
    <cellStyle name="20 % - Markeringsfarve6 2 4 3 2 2 2 2" xfId="19198"/>
    <cellStyle name="20 % - Markeringsfarve6 2 4 3 2 2 2 3" xfId="30555"/>
    <cellStyle name="20 % - Markeringsfarve6 2 4 3 2 2 3" xfId="14213"/>
    <cellStyle name="20 % - Markeringsfarve6 2 4 3 2 2 4" xfId="25571"/>
    <cellStyle name="20 % - Markeringsfarve6 2 4 3 2 3" xfId="5067"/>
    <cellStyle name="20 % - Markeringsfarve6 2 4 3 2 3 2" xfId="10052"/>
    <cellStyle name="20 % - Markeringsfarve6 2 4 3 2 3 2 2" xfId="20859"/>
    <cellStyle name="20 % - Markeringsfarve6 2 4 3 2 3 2 3" xfId="32216"/>
    <cellStyle name="20 % - Markeringsfarve6 2 4 3 2 3 3" xfId="15874"/>
    <cellStyle name="20 % - Markeringsfarve6 2 4 3 2 3 4" xfId="27232"/>
    <cellStyle name="20 % - Markeringsfarve6 2 4 3 2 4" xfId="6729"/>
    <cellStyle name="20 % - Markeringsfarve6 2 4 3 2 4 2" xfId="17537"/>
    <cellStyle name="20 % - Markeringsfarve6 2 4 3 2 4 3" xfId="28894"/>
    <cellStyle name="20 % - Markeringsfarve6 2 4 3 2 5" xfId="12552"/>
    <cellStyle name="20 % - Markeringsfarve6 2 4 3 2 6" xfId="23910"/>
    <cellStyle name="20 % - Markeringsfarve6 2 4 3 3" xfId="2572"/>
    <cellStyle name="20 % - Markeringsfarve6 2 4 3 3 2" xfId="7560"/>
    <cellStyle name="20 % - Markeringsfarve6 2 4 3 3 2 2" xfId="18367"/>
    <cellStyle name="20 % - Markeringsfarve6 2 4 3 3 2 3" xfId="29724"/>
    <cellStyle name="20 % - Markeringsfarve6 2 4 3 3 3" xfId="13382"/>
    <cellStyle name="20 % - Markeringsfarve6 2 4 3 3 4" xfId="24740"/>
    <cellStyle name="20 % - Markeringsfarve6 2 4 3 4" xfId="4236"/>
    <cellStyle name="20 % - Markeringsfarve6 2 4 3 4 2" xfId="9221"/>
    <cellStyle name="20 % - Markeringsfarve6 2 4 3 4 2 2" xfId="20028"/>
    <cellStyle name="20 % - Markeringsfarve6 2 4 3 4 2 3" xfId="31385"/>
    <cellStyle name="20 % - Markeringsfarve6 2 4 3 4 3" xfId="15043"/>
    <cellStyle name="20 % - Markeringsfarve6 2 4 3 4 4" xfId="26401"/>
    <cellStyle name="20 % - Markeringsfarve6 2 4 3 5" xfId="5898"/>
    <cellStyle name="20 % - Markeringsfarve6 2 4 3 5 2" xfId="16706"/>
    <cellStyle name="20 % - Markeringsfarve6 2 4 3 5 3" xfId="28063"/>
    <cellStyle name="20 % - Markeringsfarve6 2 4 3 6" xfId="10885"/>
    <cellStyle name="20 % - Markeringsfarve6 2 4 3 6 2" xfId="21692"/>
    <cellStyle name="20 % - Markeringsfarve6 2 4 3 6 3" xfId="33049"/>
    <cellStyle name="20 % - Markeringsfarve6 2 4 3 7" xfId="11720"/>
    <cellStyle name="20 % - Markeringsfarve6 2 4 3 8" xfId="23079"/>
    <cellStyle name="20 % - Markeringsfarve6 2 4 4" xfId="1185"/>
    <cellStyle name="20 % - Markeringsfarve6 2 4 4 2" xfId="2850"/>
    <cellStyle name="20 % - Markeringsfarve6 2 4 4 2 2" xfId="7838"/>
    <cellStyle name="20 % - Markeringsfarve6 2 4 4 2 2 2" xfId="18645"/>
    <cellStyle name="20 % - Markeringsfarve6 2 4 4 2 2 3" xfId="30002"/>
    <cellStyle name="20 % - Markeringsfarve6 2 4 4 2 3" xfId="13660"/>
    <cellStyle name="20 % - Markeringsfarve6 2 4 4 2 4" xfId="25018"/>
    <cellStyle name="20 % - Markeringsfarve6 2 4 4 3" xfId="4514"/>
    <cellStyle name="20 % - Markeringsfarve6 2 4 4 3 2" xfId="9499"/>
    <cellStyle name="20 % - Markeringsfarve6 2 4 4 3 2 2" xfId="20306"/>
    <cellStyle name="20 % - Markeringsfarve6 2 4 4 3 2 3" xfId="31663"/>
    <cellStyle name="20 % - Markeringsfarve6 2 4 4 3 3" xfId="15321"/>
    <cellStyle name="20 % - Markeringsfarve6 2 4 4 3 4" xfId="26679"/>
    <cellStyle name="20 % - Markeringsfarve6 2 4 4 4" xfId="6176"/>
    <cellStyle name="20 % - Markeringsfarve6 2 4 4 4 2" xfId="16984"/>
    <cellStyle name="20 % - Markeringsfarve6 2 4 4 4 3" xfId="28341"/>
    <cellStyle name="20 % - Markeringsfarve6 2 4 4 5" xfId="11999"/>
    <cellStyle name="20 % - Markeringsfarve6 2 4 4 6" xfId="23357"/>
    <cellStyle name="20 % - Markeringsfarve6 2 4 5" xfId="2020"/>
    <cellStyle name="20 % - Markeringsfarve6 2 4 5 2" xfId="7008"/>
    <cellStyle name="20 % - Markeringsfarve6 2 4 5 2 2" xfId="17816"/>
    <cellStyle name="20 % - Markeringsfarve6 2 4 5 2 3" xfId="29173"/>
    <cellStyle name="20 % - Markeringsfarve6 2 4 5 3" xfId="12831"/>
    <cellStyle name="20 % - Markeringsfarve6 2 4 5 4" xfId="24189"/>
    <cellStyle name="20 % - Markeringsfarve6 2 4 6" xfId="3685"/>
    <cellStyle name="20 % - Markeringsfarve6 2 4 6 2" xfId="8670"/>
    <cellStyle name="20 % - Markeringsfarve6 2 4 6 2 2" xfId="19477"/>
    <cellStyle name="20 % - Markeringsfarve6 2 4 6 2 3" xfId="30834"/>
    <cellStyle name="20 % - Markeringsfarve6 2 4 6 3" xfId="14492"/>
    <cellStyle name="20 % - Markeringsfarve6 2 4 6 4" xfId="25850"/>
    <cellStyle name="20 % - Markeringsfarve6 2 4 7" xfId="5346"/>
    <cellStyle name="20 % - Markeringsfarve6 2 4 7 2" xfId="16155"/>
    <cellStyle name="20 % - Markeringsfarve6 2 4 7 3" xfId="27512"/>
    <cellStyle name="20 % - Markeringsfarve6 2 4 8" xfId="10331"/>
    <cellStyle name="20 % - Markeringsfarve6 2 4 8 2" xfId="21138"/>
    <cellStyle name="20 % - Markeringsfarve6 2 4 8 3" xfId="32495"/>
    <cellStyle name="20 % - Markeringsfarve6 2 4 9" xfId="11165"/>
    <cellStyle name="20 % - Markeringsfarve6 2 5" xfId="371"/>
    <cellStyle name="20 % - Markeringsfarve6 2 5 10" xfId="22028"/>
    <cellStyle name="20 % - Markeringsfarve6 2 5 11" xfId="22581"/>
    <cellStyle name="20 % - Markeringsfarve6 2 5 12" xfId="33384"/>
    <cellStyle name="20 % - Markeringsfarve6 2 5 13" xfId="33659"/>
    <cellStyle name="20 % - Markeringsfarve6 2 5 14" xfId="33930"/>
    <cellStyle name="20 % - Markeringsfarve6 2 5 2" xfId="688"/>
    <cellStyle name="20 % - Markeringsfarve6 2 5 2 2" xfId="1520"/>
    <cellStyle name="20 % - Markeringsfarve6 2 5 2 2 2" xfId="3185"/>
    <cellStyle name="20 % - Markeringsfarve6 2 5 2 2 2 2" xfId="8173"/>
    <cellStyle name="20 % - Markeringsfarve6 2 5 2 2 2 2 2" xfId="18980"/>
    <cellStyle name="20 % - Markeringsfarve6 2 5 2 2 2 2 3" xfId="30337"/>
    <cellStyle name="20 % - Markeringsfarve6 2 5 2 2 2 3" xfId="13995"/>
    <cellStyle name="20 % - Markeringsfarve6 2 5 2 2 2 4" xfId="25353"/>
    <cellStyle name="20 % - Markeringsfarve6 2 5 2 2 3" xfId="4849"/>
    <cellStyle name="20 % - Markeringsfarve6 2 5 2 2 3 2" xfId="9834"/>
    <cellStyle name="20 % - Markeringsfarve6 2 5 2 2 3 2 2" xfId="20641"/>
    <cellStyle name="20 % - Markeringsfarve6 2 5 2 2 3 2 3" xfId="31998"/>
    <cellStyle name="20 % - Markeringsfarve6 2 5 2 2 3 3" xfId="15656"/>
    <cellStyle name="20 % - Markeringsfarve6 2 5 2 2 3 4" xfId="27014"/>
    <cellStyle name="20 % - Markeringsfarve6 2 5 2 2 4" xfId="6511"/>
    <cellStyle name="20 % - Markeringsfarve6 2 5 2 2 4 2" xfId="17319"/>
    <cellStyle name="20 % - Markeringsfarve6 2 5 2 2 4 3" xfId="28676"/>
    <cellStyle name="20 % - Markeringsfarve6 2 5 2 2 5" xfId="12334"/>
    <cellStyle name="20 % - Markeringsfarve6 2 5 2 2 6" xfId="23692"/>
    <cellStyle name="20 % - Markeringsfarve6 2 5 2 3" xfId="2354"/>
    <cellStyle name="20 % - Markeringsfarve6 2 5 2 3 2" xfId="7342"/>
    <cellStyle name="20 % - Markeringsfarve6 2 5 2 3 2 2" xfId="18149"/>
    <cellStyle name="20 % - Markeringsfarve6 2 5 2 3 2 3" xfId="29506"/>
    <cellStyle name="20 % - Markeringsfarve6 2 5 2 3 3" xfId="13164"/>
    <cellStyle name="20 % - Markeringsfarve6 2 5 2 3 4" xfId="24522"/>
    <cellStyle name="20 % - Markeringsfarve6 2 5 2 4" xfId="4018"/>
    <cellStyle name="20 % - Markeringsfarve6 2 5 2 4 2" xfId="9003"/>
    <cellStyle name="20 % - Markeringsfarve6 2 5 2 4 2 2" xfId="19810"/>
    <cellStyle name="20 % - Markeringsfarve6 2 5 2 4 2 3" xfId="31167"/>
    <cellStyle name="20 % - Markeringsfarve6 2 5 2 4 3" xfId="14825"/>
    <cellStyle name="20 % - Markeringsfarve6 2 5 2 4 4" xfId="26183"/>
    <cellStyle name="20 % - Markeringsfarve6 2 5 2 5" xfId="5680"/>
    <cellStyle name="20 % - Markeringsfarve6 2 5 2 5 2" xfId="16488"/>
    <cellStyle name="20 % - Markeringsfarve6 2 5 2 5 3" xfId="27845"/>
    <cellStyle name="20 % - Markeringsfarve6 2 5 2 6" xfId="10667"/>
    <cellStyle name="20 % - Markeringsfarve6 2 5 2 6 2" xfId="21474"/>
    <cellStyle name="20 % - Markeringsfarve6 2 5 2 6 3" xfId="32831"/>
    <cellStyle name="20 % - Markeringsfarve6 2 5 2 7" xfId="11501"/>
    <cellStyle name="20 % - Markeringsfarve6 2 5 2 8" xfId="22307"/>
    <cellStyle name="20 % - Markeringsfarve6 2 5 2 9" xfId="22861"/>
    <cellStyle name="20 % - Markeringsfarve6 2 5 3" xfId="962"/>
    <cellStyle name="20 % - Markeringsfarve6 2 5 3 2" xfId="1794"/>
    <cellStyle name="20 % - Markeringsfarve6 2 5 3 2 2" xfId="3459"/>
    <cellStyle name="20 % - Markeringsfarve6 2 5 3 2 2 2" xfId="8447"/>
    <cellStyle name="20 % - Markeringsfarve6 2 5 3 2 2 2 2" xfId="19254"/>
    <cellStyle name="20 % - Markeringsfarve6 2 5 3 2 2 2 3" xfId="30611"/>
    <cellStyle name="20 % - Markeringsfarve6 2 5 3 2 2 3" xfId="14269"/>
    <cellStyle name="20 % - Markeringsfarve6 2 5 3 2 2 4" xfId="25627"/>
    <cellStyle name="20 % - Markeringsfarve6 2 5 3 2 3" xfId="5123"/>
    <cellStyle name="20 % - Markeringsfarve6 2 5 3 2 3 2" xfId="10108"/>
    <cellStyle name="20 % - Markeringsfarve6 2 5 3 2 3 2 2" xfId="20915"/>
    <cellStyle name="20 % - Markeringsfarve6 2 5 3 2 3 2 3" xfId="32272"/>
    <cellStyle name="20 % - Markeringsfarve6 2 5 3 2 3 3" xfId="15930"/>
    <cellStyle name="20 % - Markeringsfarve6 2 5 3 2 3 4" xfId="27288"/>
    <cellStyle name="20 % - Markeringsfarve6 2 5 3 2 4" xfId="6785"/>
    <cellStyle name="20 % - Markeringsfarve6 2 5 3 2 4 2" xfId="17593"/>
    <cellStyle name="20 % - Markeringsfarve6 2 5 3 2 4 3" xfId="28950"/>
    <cellStyle name="20 % - Markeringsfarve6 2 5 3 2 5" xfId="12608"/>
    <cellStyle name="20 % - Markeringsfarve6 2 5 3 2 6" xfId="23966"/>
    <cellStyle name="20 % - Markeringsfarve6 2 5 3 3" xfId="2628"/>
    <cellStyle name="20 % - Markeringsfarve6 2 5 3 3 2" xfId="7616"/>
    <cellStyle name="20 % - Markeringsfarve6 2 5 3 3 2 2" xfId="18423"/>
    <cellStyle name="20 % - Markeringsfarve6 2 5 3 3 2 3" xfId="29780"/>
    <cellStyle name="20 % - Markeringsfarve6 2 5 3 3 3" xfId="13438"/>
    <cellStyle name="20 % - Markeringsfarve6 2 5 3 3 4" xfId="24796"/>
    <cellStyle name="20 % - Markeringsfarve6 2 5 3 4" xfId="4292"/>
    <cellStyle name="20 % - Markeringsfarve6 2 5 3 4 2" xfId="9277"/>
    <cellStyle name="20 % - Markeringsfarve6 2 5 3 4 2 2" xfId="20084"/>
    <cellStyle name="20 % - Markeringsfarve6 2 5 3 4 2 3" xfId="31441"/>
    <cellStyle name="20 % - Markeringsfarve6 2 5 3 4 3" xfId="15099"/>
    <cellStyle name="20 % - Markeringsfarve6 2 5 3 4 4" xfId="26457"/>
    <cellStyle name="20 % - Markeringsfarve6 2 5 3 5" xfId="5954"/>
    <cellStyle name="20 % - Markeringsfarve6 2 5 3 5 2" xfId="16762"/>
    <cellStyle name="20 % - Markeringsfarve6 2 5 3 5 3" xfId="28119"/>
    <cellStyle name="20 % - Markeringsfarve6 2 5 3 6" xfId="10941"/>
    <cellStyle name="20 % - Markeringsfarve6 2 5 3 6 2" xfId="21748"/>
    <cellStyle name="20 % - Markeringsfarve6 2 5 3 6 3" xfId="33105"/>
    <cellStyle name="20 % - Markeringsfarve6 2 5 3 7" xfId="11776"/>
    <cellStyle name="20 % - Markeringsfarve6 2 5 3 8" xfId="23135"/>
    <cellStyle name="20 % - Markeringsfarve6 2 5 4" xfId="1241"/>
    <cellStyle name="20 % - Markeringsfarve6 2 5 4 2" xfId="2906"/>
    <cellStyle name="20 % - Markeringsfarve6 2 5 4 2 2" xfId="7894"/>
    <cellStyle name="20 % - Markeringsfarve6 2 5 4 2 2 2" xfId="18701"/>
    <cellStyle name="20 % - Markeringsfarve6 2 5 4 2 2 3" xfId="30058"/>
    <cellStyle name="20 % - Markeringsfarve6 2 5 4 2 3" xfId="13716"/>
    <cellStyle name="20 % - Markeringsfarve6 2 5 4 2 4" xfId="25074"/>
    <cellStyle name="20 % - Markeringsfarve6 2 5 4 3" xfId="4570"/>
    <cellStyle name="20 % - Markeringsfarve6 2 5 4 3 2" xfId="9555"/>
    <cellStyle name="20 % - Markeringsfarve6 2 5 4 3 2 2" xfId="20362"/>
    <cellStyle name="20 % - Markeringsfarve6 2 5 4 3 2 3" xfId="31719"/>
    <cellStyle name="20 % - Markeringsfarve6 2 5 4 3 3" xfId="15377"/>
    <cellStyle name="20 % - Markeringsfarve6 2 5 4 3 4" xfId="26735"/>
    <cellStyle name="20 % - Markeringsfarve6 2 5 4 4" xfId="6232"/>
    <cellStyle name="20 % - Markeringsfarve6 2 5 4 4 2" xfId="17040"/>
    <cellStyle name="20 % - Markeringsfarve6 2 5 4 4 3" xfId="28397"/>
    <cellStyle name="20 % - Markeringsfarve6 2 5 4 5" xfId="12055"/>
    <cellStyle name="20 % - Markeringsfarve6 2 5 4 6" xfId="23413"/>
    <cellStyle name="20 % - Markeringsfarve6 2 5 5" xfId="2076"/>
    <cellStyle name="20 % - Markeringsfarve6 2 5 5 2" xfId="7064"/>
    <cellStyle name="20 % - Markeringsfarve6 2 5 5 2 2" xfId="17872"/>
    <cellStyle name="20 % - Markeringsfarve6 2 5 5 2 3" xfId="29229"/>
    <cellStyle name="20 % - Markeringsfarve6 2 5 5 3" xfId="12887"/>
    <cellStyle name="20 % - Markeringsfarve6 2 5 5 4" xfId="24245"/>
    <cellStyle name="20 % - Markeringsfarve6 2 5 6" xfId="3741"/>
    <cellStyle name="20 % - Markeringsfarve6 2 5 6 2" xfId="8726"/>
    <cellStyle name="20 % - Markeringsfarve6 2 5 6 2 2" xfId="19533"/>
    <cellStyle name="20 % - Markeringsfarve6 2 5 6 2 3" xfId="30890"/>
    <cellStyle name="20 % - Markeringsfarve6 2 5 6 3" xfId="14548"/>
    <cellStyle name="20 % - Markeringsfarve6 2 5 6 4" xfId="25906"/>
    <cellStyle name="20 % - Markeringsfarve6 2 5 7" xfId="5402"/>
    <cellStyle name="20 % - Markeringsfarve6 2 5 7 2" xfId="16211"/>
    <cellStyle name="20 % - Markeringsfarve6 2 5 7 3" xfId="27568"/>
    <cellStyle name="20 % - Markeringsfarve6 2 5 8" xfId="10387"/>
    <cellStyle name="20 % - Markeringsfarve6 2 5 8 2" xfId="21194"/>
    <cellStyle name="20 % - Markeringsfarve6 2 5 8 3" xfId="32551"/>
    <cellStyle name="20 % - Markeringsfarve6 2 5 9" xfId="11221"/>
    <cellStyle name="20 % - Markeringsfarve6 2 6" xfId="471"/>
    <cellStyle name="20 % - Markeringsfarve6 2 6 2" xfId="1301"/>
    <cellStyle name="20 % - Markeringsfarve6 2 6 2 2" xfId="2966"/>
    <cellStyle name="20 % - Markeringsfarve6 2 6 2 2 2" xfId="7954"/>
    <cellStyle name="20 % - Markeringsfarve6 2 6 2 2 2 2" xfId="18761"/>
    <cellStyle name="20 % - Markeringsfarve6 2 6 2 2 2 3" xfId="30118"/>
    <cellStyle name="20 % - Markeringsfarve6 2 6 2 2 3" xfId="13776"/>
    <cellStyle name="20 % - Markeringsfarve6 2 6 2 2 4" xfId="25134"/>
    <cellStyle name="20 % - Markeringsfarve6 2 6 2 3" xfId="4630"/>
    <cellStyle name="20 % - Markeringsfarve6 2 6 2 3 2" xfId="9615"/>
    <cellStyle name="20 % - Markeringsfarve6 2 6 2 3 2 2" xfId="20422"/>
    <cellStyle name="20 % - Markeringsfarve6 2 6 2 3 2 3" xfId="31779"/>
    <cellStyle name="20 % - Markeringsfarve6 2 6 2 3 3" xfId="15437"/>
    <cellStyle name="20 % - Markeringsfarve6 2 6 2 3 4" xfId="26795"/>
    <cellStyle name="20 % - Markeringsfarve6 2 6 2 4" xfId="6292"/>
    <cellStyle name="20 % - Markeringsfarve6 2 6 2 4 2" xfId="17100"/>
    <cellStyle name="20 % - Markeringsfarve6 2 6 2 4 3" xfId="28457"/>
    <cellStyle name="20 % - Markeringsfarve6 2 6 2 5" xfId="12115"/>
    <cellStyle name="20 % - Markeringsfarve6 2 6 2 6" xfId="23473"/>
    <cellStyle name="20 % - Markeringsfarve6 2 6 3" xfId="2137"/>
    <cellStyle name="20 % - Markeringsfarve6 2 6 3 2" xfId="7125"/>
    <cellStyle name="20 % - Markeringsfarve6 2 6 3 2 2" xfId="17932"/>
    <cellStyle name="20 % - Markeringsfarve6 2 6 3 2 3" xfId="29289"/>
    <cellStyle name="20 % - Markeringsfarve6 2 6 3 3" xfId="12947"/>
    <cellStyle name="20 % - Markeringsfarve6 2 6 3 4" xfId="24305"/>
    <cellStyle name="20 % - Markeringsfarve6 2 6 4" xfId="3801"/>
    <cellStyle name="20 % - Markeringsfarve6 2 6 4 2" xfId="8786"/>
    <cellStyle name="20 % - Markeringsfarve6 2 6 4 2 2" xfId="19593"/>
    <cellStyle name="20 % - Markeringsfarve6 2 6 4 2 3" xfId="30950"/>
    <cellStyle name="20 % - Markeringsfarve6 2 6 4 3" xfId="14608"/>
    <cellStyle name="20 % - Markeringsfarve6 2 6 4 4" xfId="25966"/>
    <cellStyle name="20 % - Markeringsfarve6 2 6 5" xfId="5463"/>
    <cellStyle name="20 % - Markeringsfarve6 2 6 5 2" xfId="16271"/>
    <cellStyle name="20 % - Markeringsfarve6 2 6 5 3" xfId="27628"/>
    <cellStyle name="20 % - Markeringsfarve6 2 6 6" xfId="10453"/>
    <cellStyle name="20 % - Markeringsfarve6 2 6 6 2" xfId="21260"/>
    <cellStyle name="20 % - Markeringsfarve6 2 6 6 3" xfId="32617"/>
    <cellStyle name="20 % - Markeringsfarve6 2 6 7" xfId="11282"/>
    <cellStyle name="20 % - Markeringsfarve6 2 6 8" xfId="22088"/>
    <cellStyle name="20 % - Markeringsfarve6 2 6 9" xfId="22642"/>
    <cellStyle name="20 % - Markeringsfarve6 2 7" xfId="743"/>
    <cellStyle name="20 % - Markeringsfarve6 2 7 2" xfId="1575"/>
    <cellStyle name="20 % - Markeringsfarve6 2 7 2 2" xfId="3240"/>
    <cellStyle name="20 % - Markeringsfarve6 2 7 2 2 2" xfId="8228"/>
    <cellStyle name="20 % - Markeringsfarve6 2 7 2 2 2 2" xfId="19035"/>
    <cellStyle name="20 % - Markeringsfarve6 2 7 2 2 2 3" xfId="30392"/>
    <cellStyle name="20 % - Markeringsfarve6 2 7 2 2 3" xfId="14050"/>
    <cellStyle name="20 % - Markeringsfarve6 2 7 2 2 4" xfId="25408"/>
    <cellStyle name="20 % - Markeringsfarve6 2 7 2 3" xfId="4904"/>
    <cellStyle name="20 % - Markeringsfarve6 2 7 2 3 2" xfId="9889"/>
    <cellStyle name="20 % - Markeringsfarve6 2 7 2 3 2 2" xfId="20696"/>
    <cellStyle name="20 % - Markeringsfarve6 2 7 2 3 2 3" xfId="32053"/>
    <cellStyle name="20 % - Markeringsfarve6 2 7 2 3 3" xfId="15711"/>
    <cellStyle name="20 % - Markeringsfarve6 2 7 2 3 4" xfId="27069"/>
    <cellStyle name="20 % - Markeringsfarve6 2 7 2 4" xfId="6566"/>
    <cellStyle name="20 % - Markeringsfarve6 2 7 2 4 2" xfId="17374"/>
    <cellStyle name="20 % - Markeringsfarve6 2 7 2 4 3" xfId="28731"/>
    <cellStyle name="20 % - Markeringsfarve6 2 7 2 5" xfId="12389"/>
    <cellStyle name="20 % - Markeringsfarve6 2 7 2 6" xfId="23747"/>
    <cellStyle name="20 % - Markeringsfarve6 2 7 3" xfId="2409"/>
    <cellStyle name="20 % - Markeringsfarve6 2 7 3 2" xfId="7397"/>
    <cellStyle name="20 % - Markeringsfarve6 2 7 3 2 2" xfId="18204"/>
    <cellStyle name="20 % - Markeringsfarve6 2 7 3 2 3" xfId="29561"/>
    <cellStyle name="20 % - Markeringsfarve6 2 7 3 3" xfId="13219"/>
    <cellStyle name="20 % - Markeringsfarve6 2 7 3 4" xfId="24577"/>
    <cellStyle name="20 % - Markeringsfarve6 2 7 4" xfId="4073"/>
    <cellStyle name="20 % - Markeringsfarve6 2 7 4 2" xfId="9058"/>
    <cellStyle name="20 % - Markeringsfarve6 2 7 4 2 2" xfId="19865"/>
    <cellStyle name="20 % - Markeringsfarve6 2 7 4 2 3" xfId="31222"/>
    <cellStyle name="20 % - Markeringsfarve6 2 7 4 3" xfId="14880"/>
    <cellStyle name="20 % - Markeringsfarve6 2 7 4 4" xfId="26238"/>
    <cellStyle name="20 % - Markeringsfarve6 2 7 5" xfId="5735"/>
    <cellStyle name="20 % - Markeringsfarve6 2 7 5 2" xfId="16543"/>
    <cellStyle name="20 % - Markeringsfarve6 2 7 5 3" xfId="27900"/>
    <cellStyle name="20 % - Markeringsfarve6 2 7 6" xfId="10722"/>
    <cellStyle name="20 % - Markeringsfarve6 2 7 6 2" xfId="21529"/>
    <cellStyle name="20 % - Markeringsfarve6 2 7 6 3" xfId="32886"/>
    <cellStyle name="20 % - Markeringsfarve6 2 7 7" xfId="11557"/>
    <cellStyle name="20 % - Markeringsfarve6 2 7 8" xfId="22916"/>
    <cellStyle name="20 % - Markeringsfarve6 2 8" xfId="1022"/>
    <cellStyle name="20 % - Markeringsfarve6 2 8 2" xfId="2687"/>
    <cellStyle name="20 % - Markeringsfarve6 2 8 2 2" xfId="7675"/>
    <cellStyle name="20 % - Markeringsfarve6 2 8 2 2 2" xfId="18482"/>
    <cellStyle name="20 % - Markeringsfarve6 2 8 2 2 3" xfId="29839"/>
    <cellStyle name="20 % - Markeringsfarve6 2 8 2 3" xfId="13497"/>
    <cellStyle name="20 % - Markeringsfarve6 2 8 2 4" xfId="24855"/>
    <cellStyle name="20 % - Markeringsfarve6 2 8 3" xfId="4351"/>
    <cellStyle name="20 % - Markeringsfarve6 2 8 3 2" xfId="9336"/>
    <cellStyle name="20 % - Markeringsfarve6 2 8 3 2 2" xfId="20143"/>
    <cellStyle name="20 % - Markeringsfarve6 2 8 3 2 3" xfId="31500"/>
    <cellStyle name="20 % - Markeringsfarve6 2 8 3 3" xfId="15158"/>
    <cellStyle name="20 % - Markeringsfarve6 2 8 3 4" xfId="26516"/>
    <cellStyle name="20 % - Markeringsfarve6 2 8 4" xfId="6013"/>
    <cellStyle name="20 % - Markeringsfarve6 2 8 4 2" xfId="16821"/>
    <cellStyle name="20 % - Markeringsfarve6 2 8 4 3" xfId="28178"/>
    <cellStyle name="20 % - Markeringsfarve6 2 8 5" xfId="11836"/>
    <cellStyle name="20 % - Markeringsfarve6 2 8 6" xfId="23194"/>
    <cellStyle name="20 % - Markeringsfarve6 2 9" xfId="1858"/>
    <cellStyle name="20 % - Markeringsfarve6 2 9 2" xfId="6846"/>
    <cellStyle name="20 % - Markeringsfarve6 2 9 2 2" xfId="17654"/>
    <cellStyle name="20 % - Markeringsfarve6 2 9 2 3" xfId="29011"/>
    <cellStyle name="20 % - Markeringsfarve6 2 9 3" xfId="12669"/>
    <cellStyle name="20 % - Markeringsfarve6 2 9 4" xfId="24027"/>
    <cellStyle name="20 % - Markeringsfarve6 20" xfId="33686"/>
    <cellStyle name="20 % - Markeringsfarve6 3" xfId="104"/>
    <cellStyle name="20 % - Markeringsfarve6 3 10" xfId="3542"/>
    <cellStyle name="20 % - Markeringsfarve6 3 10 2" xfId="8527"/>
    <cellStyle name="20 % - Markeringsfarve6 3 10 2 2" xfId="19334"/>
    <cellStyle name="20 % - Markeringsfarve6 3 10 2 3" xfId="30691"/>
    <cellStyle name="20 % - Markeringsfarve6 3 10 3" xfId="14349"/>
    <cellStyle name="20 % - Markeringsfarve6 3 10 4" xfId="25707"/>
    <cellStyle name="20 % - Markeringsfarve6 3 11" xfId="5203"/>
    <cellStyle name="20 % - Markeringsfarve6 3 11 2" xfId="16012"/>
    <cellStyle name="20 % - Markeringsfarve6 3 11 3" xfId="27369"/>
    <cellStyle name="20 % - Markeringsfarve6 3 12" xfId="10187"/>
    <cellStyle name="20 % - Markeringsfarve6 3 12 2" xfId="20994"/>
    <cellStyle name="20 % - Markeringsfarve6 3 12 3" xfId="32351"/>
    <cellStyle name="20 % - Markeringsfarve6 3 13" xfId="11021"/>
    <cellStyle name="20 % - Markeringsfarve6 3 14" xfId="21828"/>
    <cellStyle name="20 % - Markeringsfarve6 3 15" xfId="22381"/>
    <cellStyle name="20 % - Markeringsfarve6 3 16" xfId="33184"/>
    <cellStyle name="20 % - Markeringsfarve6 3 17" xfId="33458"/>
    <cellStyle name="20 % - Markeringsfarve6 3 18" xfId="33729"/>
    <cellStyle name="20 % - Markeringsfarve6 3 2" xfId="224"/>
    <cellStyle name="20 % - Markeringsfarve6 3 2 10" xfId="21882"/>
    <cellStyle name="20 % - Markeringsfarve6 3 2 11" xfId="22435"/>
    <cellStyle name="20 % - Markeringsfarve6 3 2 12" xfId="33238"/>
    <cellStyle name="20 % - Markeringsfarve6 3 2 13" xfId="33513"/>
    <cellStyle name="20 % - Markeringsfarve6 3 2 14" xfId="33784"/>
    <cellStyle name="20 % - Markeringsfarve6 3 2 2" xfId="542"/>
    <cellStyle name="20 % - Markeringsfarve6 3 2 2 2" xfId="1374"/>
    <cellStyle name="20 % - Markeringsfarve6 3 2 2 2 2" xfId="3039"/>
    <cellStyle name="20 % - Markeringsfarve6 3 2 2 2 2 2" xfId="8027"/>
    <cellStyle name="20 % - Markeringsfarve6 3 2 2 2 2 2 2" xfId="18834"/>
    <cellStyle name="20 % - Markeringsfarve6 3 2 2 2 2 2 3" xfId="30191"/>
    <cellStyle name="20 % - Markeringsfarve6 3 2 2 2 2 3" xfId="13849"/>
    <cellStyle name="20 % - Markeringsfarve6 3 2 2 2 2 4" xfId="25207"/>
    <cellStyle name="20 % - Markeringsfarve6 3 2 2 2 3" xfId="4703"/>
    <cellStyle name="20 % - Markeringsfarve6 3 2 2 2 3 2" xfId="9688"/>
    <cellStyle name="20 % - Markeringsfarve6 3 2 2 2 3 2 2" xfId="20495"/>
    <cellStyle name="20 % - Markeringsfarve6 3 2 2 2 3 2 3" xfId="31852"/>
    <cellStyle name="20 % - Markeringsfarve6 3 2 2 2 3 3" xfId="15510"/>
    <cellStyle name="20 % - Markeringsfarve6 3 2 2 2 3 4" xfId="26868"/>
    <cellStyle name="20 % - Markeringsfarve6 3 2 2 2 4" xfId="6365"/>
    <cellStyle name="20 % - Markeringsfarve6 3 2 2 2 4 2" xfId="17173"/>
    <cellStyle name="20 % - Markeringsfarve6 3 2 2 2 4 3" xfId="28530"/>
    <cellStyle name="20 % - Markeringsfarve6 3 2 2 2 5" xfId="12188"/>
    <cellStyle name="20 % - Markeringsfarve6 3 2 2 2 6" xfId="23546"/>
    <cellStyle name="20 % - Markeringsfarve6 3 2 2 3" xfId="2208"/>
    <cellStyle name="20 % - Markeringsfarve6 3 2 2 3 2" xfId="7196"/>
    <cellStyle name="20 % - Markeringsfarve6 3 2 2 3 2 2" xfId="18003"/>
    <cellStyle name="20 % - Markeringsfarve6 3 2 2 3 2 3" xfId="29360"/>
    <cellStyle name="20 % - Markeringsfarve6 3 2 2 3 3" xfId="13018"/>
    <cellStyle name="20 % - Markeringsfarve6 3 2 2 3 4" xfId="24376"/>
    <cellStyle name="20 % - Markeringsfarve6 3 2 2 4" xfId="3872"/>
    <cellStyle name="20 % - Markeringsfarve6 3 2 2 4 2" xfId="8857"/>
    <cellStyle name="20 % - Markeringsfarve6 3 2 2 4 2 2" xfId="19664"/>
    <cellStyle name="20 % - Markeringsfarve6 3 2 2 4 2 3" xfId="31021"/>
    <cellStyle name="20 % - Markeringsfarve6 3 2 2 4 3" xfId="14679"/>
    <cellStyle name="20 % - Markeringsfarve6 3 2 2 4 4" xfId="26037"/>
    <cellStyle name="20 % - Markeringsfarve6 3 2 2 5" xfId="5534"/>
    <cellStyle name="20 % - Markeringsfarve6 3 2 2 5 2" xfId="16342"/>
    <cellStyle name="20 % - Markeringsfarve6 3 2 2 5 3" xfId="27699"/>
    <cellStyle name="20 % - Markeringsfarve6 3 2 2 6" xfId="10521"/>
    <cellStyle name="20 % - Markeringsfarve6 3 2 2 6 2" xfId="21328"/>
    <cellStyle name="20 % - Markeringsfarve6 3 2 2 6 3" xfId="32685"/>
    <cellStyle name="20 % - Markeringsfarve6 3 2 2 7" xfId="11355"/>
    <cellStyle name="20 % - Markeringsfarve6 3 2 2 8" xfId="22161"/>
    <cellStyle name="20 % - Markeringsfarve6 3 2 2 9" xfId="22715"/>
    <cellStyle name="20 % - Markeringsfarve6 3 2 3" xfId="816"/>
    <cellStyle name="20 % - Markeringsfarve6 3 2 3 2" xfId="1648"/>
    <cellStyle name="20 % - Markeringsfarve6 3 2 3 2 2" xfId="3313"/>
    <cellStyle name="20 % - Markeringsfarve6 3 2 3 2 2 2" xfId="8301"/>
    <cellStyle name="20 % - Markeringsfarve6 3 2 3 2 2 2 2" xfId="19108"/>
    <cellStyle name="20 % - Markeringsfarve6 3 2 3 2 2 2 3" xfId="30465"/>
    <cellStyle name="20 % - Markeringsfarve6 3 2 3 2 2 3" xfId="14123"/>
    <cellStyle name="20 % - Markeringsfarve6 3 2 3 2 2 4" xfId="25481"/>
    <cellStyle name="20 % - Markeringsfarve6 3 2 3 2 3" xfId="4977"/>
    <cellStyle name="20 % - Markeringsfarve6 3 2 3 2 3 2" xfId="9962"/>
    <cellStyle name="20 % - Markeringsfarve6 3 2 3 2 3 2 2" xfId="20769"/>
    <cellStyle name="20 % - Markeringsfarve6 3 2 3 2 3 2 3" xfId="32126"/>
    <cellStyle name="20 % - Markeringsfarve6 3 2 3 2 3 3" xfId="15784"/>
    <cellStyle name="20 % - Markeringsfarve6 3 2 3 2 3 4" xfId="27142"/>
    <cellStyle name="20 % - Markeringsfarve6 3 2 3 2 4" xfId="6639"/>
    <cellStyle name="20 % - Markeringsfarve6 3 2 3 2 4 2" xfId="17447"/>
    <cellStyle name="20 % - Markeringsfarve6 3 2 3 2 4 3" xfId="28804"/>
    <cellStyle name="20 % - Markeringsfarve6 3 2 3 2 5" xfId="12462"/>
    <cellStyle name="20 % - Markeringsfarve6 3 2 3 2 6" xfId="23820"/>
    <cellStyle name="20 % - Markeringsfarve6 3 2 3 3" xfId="2482"/>
    <cellStyle name="20 % - Markeringsfarve6 3 2 3 3 2" xfId="7470"/>
    <cellStyle name="20 % - Markeringsfarve6 3 2 3 3 2 2" xfId="18277"/>
    <cellStyle name="20 % - Markeringsfarve6 3 2 3 3 2 3" xfId="29634"/>
    <cellStyle name="20 % - Markeringsfarve6 3 2 3 3 3" xfId="13292"/>
    <cellStyle name="20 % - Markeringsfarve6 3 2 3 3 4" xfId="24650"/>
    <cellStyle name="20 % - Markeringsfarve6 3 2 3 4" xfId="4146"/>
    <cellStyle name="20 % - Markeringsfarve6 3 2 3 4 2" xfId="9131"/>
    <cellStyle name="20 % - Markeringsfarve6 3 2 3 4 2 2" xfId="19938"/>
    <cellStyle name="20 % - Markeringsfarve6 3 2 3 4 2 3" xfId="31295"/>
    <cellStyle name="20 % - Markeringsfarve6 3 2 3 4 3" xfId="14953"/>
    <cellStyle name="20 % - Markeringsfarve6 3 2 3 4 4" xfId="26311"/>
    <cellStyle name="20 % - Markeringsfarve6 3 2 3 5" xfId="5808"/>
    <cellStyle name="20 % - Markeringsfarve6 3 2 3 5 2" xfId="16616"/>
    <cellStyle name="20 % - Markeringsfarve6 3 2 3 5 3" xfId="27973"/>
    <cellStyle name="20 % - Markeringsfarve6 3 2 3 6" xfId="10795"/>
    <cellStyle name="20 % - Markeringsfarve6 3 2 3 6 2" xfId="21602"/>
    <cellStyle name="20 % - Markeringsfarve6 3 2 3 6 3" xfId="32959"/>
    <cellStyle name="20 % - Markeringsfarve6 3 2 3 7" xfId="11630"/>
    <cellStyle name="20 % - Markeringsfarve6 3 2 3 8" xfId="22989"/>
    <cellStyle name="20 % - Markeringsfarve6 3 2 4" xfId="1095"/>
    <cellStyle name="20 % - Markeringsfarve6 3 2 4 2" xfId="2760"/>
    <cellStyle name="20 % - Markeringsfarve6 3 2 4 2 2" xfId="7748"/>
    <cellStyle name="20 % - Markeringsfarve6 3 2 4 2 2 2" xfId="18555"/>
    <cellStyle name="20 % - Markeringsfarve6 3 2 4 2 2 3" xfId="29912"/>
    <cellStyle name="20 % - Markeringsfarve6 3 2 4 2 3" xfId="13570"/>
    <cellStyle name="20 % - Markeringsfarve6 3 2 4 2 4" xfId="24928"/>
    <cellStyle name="20 % - Markeringsfarve6 3 2 4 3" xfId="4424"/>
    <cellStyle name="20 % - Markeringsfarve6 3 2 4 3 2" xfId="9409"/>
    <cellStyle name="20 % - Markeringsfarve6 3 2 4 3 2 2" xfId="20216"/>
    <cellStyle name="20 % - Markeringsfarve6 3 2 4 3 2 3" xfId="31573"/>
    <cellStyle name="20 % - Markeringsfarve6 3 2 4 3 3" xfId="15231"/>
    <cellStyle name="20 % - Markeringsfarve6 3 2 4 3 4" xfId="26589"/>
    <cellStyle name="20 % - Markeringsfarve6 3 2 4 4" xfId="6086"/>
    <cellStyle name="20 % - Markeringsfarve6 3 2 4 4 2" xfId="16894"/>
    <cellStyle name="20 % - Markeringsfarve6 3 2 4 4 3" xfId="28251"/>
    <cellStyle name="20 % - Markeringsfarve6 3 2 4 5" xfId="11909"/>
    <cellStyle name="20 % - Markeringsfarve6 3 2 4 6" xfId="23267"/>
    <cellStyle name="20 % - Markeringsfarve6 3 2 5" xfId="1930"/>
    <cellStyle name="20 % - Markeringsfarve6 3 2 5 2" xfId="6918"/>
    <cellStyle name="20 % - Markeringsfarve6 3 2 5 2 2" xfId="17726"/>
    <cellStyle name="20 % - Markeringsfarve6 3 2 5 2 3" xfId="29083"/>
    <cellStyle name="20 % - Markeringsfarve6 3 2 5 3" xfId="12741"/>
    <cellStyle name="20 % - Markeringsfarve6 3 2 5 4" xfId="24099"/>
    <cellStyle name="20 % - Markeringsfarve6 3 2 6" xfId="3595"/>
    <cellStyle name="20 % - Markeringsfarve6 3 2 6 2" xfId="8580"/>
    <cellStyle name="20 % - Markeringsfarve6 3 2 6 2 2" xfId="19387"/>
    <cellStyle name="20 % - Markeringsfarve6 3 2 6 2 3" xfId="30744"/>
    <cellStyle name="20 % - Markeringsfarve6 3 2 6 3" xfId="14402"/>
    <cellStyle name="20 % - Markeringsfarve6 3 2 6 4" xfId="25760"/>
    <cellStyle name="20 % - Markeringsfarve6 3 2 7" xfId="5256"/>
    <cellStyle name="20 % - Markeringsfarve6 3 2 7 2" xfId="16065"/>
    <cellStyle name="20 % - Markeringsfarve6 3 2 7 3" xfId="27422"/>
    <cellStyle name="20 % - Markeringsfarve6 3 2 8" xfId="10241"/>
    <cellStyle name="20 % - Markeringsfarve6 3 2 8 2" xfId="21048"/>
    <cellStyle name="20 % - Markeringsfarve6 3 2 8 3" xfId="32405"/>
    <cellStyle name="20 % - Markeringsfarve6 3 2 9" xfId="11075"/>
    <cellStyle name="20 % - Markeringsfarve6 3 3" xfId="279"/>
    <cellStyle name="20 % - Markeringsfarve6 3 3 10" xfId="21936"/>
    <cellStyle name="20 % - Markeringsfarve6 3 3 11" xfId="22489"/>
    <cellStyle name="20 % - Markeringsfarve6 3 3 12" xfId="33292"/>
    <cellStyle name="20 % - Markeringsfarve6 3 3 13" xfId="33567"/>
    <cellStyle name="20 % - Markeringsfarve6 3 3 14" xfId="33838"/>
    <cellStyle name="20 % - Markeringsfarve6 3 3 2" xfId="596"/>
    <cellStyle name="20 % - Markeringsfarve6 3 3 2 2" xfId="1428"/>
    <cellStyle name="20 % - Markeringsfarve6 3 3 2 2 2" xfId="3093"/>
    <cellStyle name="20 % - Markeringsfarve6 3 3 2 2 2 2" xfId="8081"/>
    <cellStyle name="20 % - Markeringsfarve6 3 3 2 2 2 2 2" xfId="18888"/>
    <cellStyle name="20 % - Markeringsfarve6 3 3 2 2 2 2 3" xfId="30245"/>
    <cellStyle name="20 % - Markeringsfarve6 3 3 2 2 2 3" xfId="13903"/>
    <cellStyle name="20 % - Markeringsfarve6 3 3 2 2 2 4" xfId="25261"/>
    <cellStyle name="20 % - Markeringsfarve6 3 3 2 2 3" xfId="4757"/>
    <cellStyle name="20 % - Markeringsfarve6 3 3 2 2 3 2" xfId="9742"/>
    <cellStyle name="20 % - Markeringsfarve6 3 3 2 2 3 2 2" xfId="20549"/>
    <cellStyle name="20 % - Markeringsfarve6 3 3 2 2 3 2 3" xfId="31906"/>
    <cellStyle name="20 % - Markeringsfarve6 3 3 2 2 3 3" xfId="15564"/>
    <cellStyle name="20 % - Markeringsfarve6 3 3 2 2 3 4" xfId="26922"/>
    <cellStyle name="20 % - Markeringsfarve6 3 3 2 2 4" xfId="6419"/>
    <cellStyle name="20 % - Markeringsfarve6 3 3 2 2 4 2" xfId="17227"/>
    <cellStyle name="20 % - Markeringsfarve6 3 3 2 2 4 3" xfId="28584"/>
    <cellStyle name="20 % - Markeringsfarve6 3 3 2 2 5" xfId="12242"/>
    <cellStyle name="20 % - Markeringsfarve6 3 3 2 2 6" xfId="23600"/>
    <cellStyle name="20 % - Markeringsfarve6 3 3 2 3" xfId="2262"/>
    <cellStyle name="20 % - Markeringsfarve6 3 3 2 3 2" xfId="7250"/>
    <cellStyle name="20 % - Markeringsfarve6 3 3 2 3 2 2" xfId="18057"/>
    <cellStyle name="20 % - Markeringsfarve6 3 3 2 3 2 3" xfId="29414"/>
    <cellStyle name="20 % - Markeringsfarve6 3 3 2 3 3" xfId="13072"/>
    <cellStyle name="20 % - Markeringsfarve6 3 3 2 3 4" xfId="24430"/>
    <cellStyle name="20 % - Markeringsfarve6 3 3 2 4" xfId="3926"/>
    <cellStyle name="20 % - Markeringsfarve6 3 3 2 4 2" xfId="8911"/>
    <cellStyle name="20 % - Markeringsfarve6 3 3 2 4 2 2" xfId="19718"/>
    <cellStyle name="20 % - Markeringsfarve6 3 3 2 4 2 3" xfId="31075"/>
    <cellStyle name="20 % - Markeringsfarve6 3 3 2 4 3" xfId="14733"/>
    <cellStyle name="20 % - Markeringsfarve6 3 3 2 4 4" xfId="26091"/>
    <cellStyle name="20 % - Markeringsfarve6 3 3 2 5" xfId="5588"/>
    <cellStyle name="20 % - Markeringsfarve6 3 3 2 5 2" xfId="16396"/>
    <cellStyle name="20 % - Markeringsfarve6 3 3 2 5 3" xfId="27753"/>
    <cellStyle name="20 % - Markeringsfarve6 3 3 2 6" xfId="10575"/>
    <cellStyle name="20 % - Markeringsfarve6 3 3 2 6 2" xfId="21382"/>
    <cellStyle name="20 % - Markeringsfarve6 3 3 2 6 3" xfId="32739"/>
    <cellStyle name="20 % - Markeringsfarve6 3 3 2 7" xfId="11409"/>
    <cellStyle name="20 % - Markeringsfarve6 3 3 2 8" xfId="22215"/>
    <cellStyle name="20 % - Markeringsfarve6 3 3 2 9" xfId="22769"/>
    <cellStyle name="20 % - Markeringsfarve6 3 3 3" xfId="870"/>
    <cellStyle name="20 % - Markeringsfarve6 3 3 3 2" xfId="1702"/>
    <cellStyle name="20 % - Markeringsfarve6 3 3 3 2 2" xfId="3367"/>
    <cellStyle name="20 % - Markeringsfarve6 3 3 3 2 2 2" xfId="8355"/>
    <cellStyle name="20 % - Markeringsfarve6 3 3 3 2 2 2 2" xfId="19162"/>
    <cellStyle name="20 % - Markeringsfarve6 3 3 3 2 2 2 3" xfId="30519"/>
    <cellStyle name="20 % - Markeringsfarve6 3 3 3 2 2 3" xfId="14177"/>
    <cellStyle name="20 % - Markeringsfarve6 3 3 3 2 2 4" xfId="25535"/>
    <cellStyle name="20 % - Markeringsfarve6 3 3 3 2 3" xfId="5031"/>
    <cellStyle name="20 % - Markeringsfarve6 3 3 3 2 3 2" xfId="10016"/>
    <cellStyle name="20 % - Markeringsfarve6 3 3 3 2 3 2 2" xfId="20823"/>
    <cellStyle name="20 % - Markeringsfarve6 3 3 3 2 3 2 3" xfId="32180"/>
    <cellStyle name="20 % - Markeringsfarve6 3 3 3 2 3 3" xfId="15838"/>
    <cellStyle name="20 % - Markeringsfarve6 3 3 3 2 3 4" xfId="27196"/>
    <cellStyle name="20 % - Markeringsfarve6 3 3 3 2 4" xfId="6693"/>
    <cellStyle name="20 % - Markeringsfarve6 3 3 3 2 4 2" xfId="17501"/>
    <cellStyle name="20 % - Markeringsfarve6 3 3 3 2 4 3" xfId="28858"/>
    <cellStyle name="20 % - Markeringsfarve6 3 3 3 2 5" xfId="12516"/>
    <cellStyle name="20 % - Markeringsfarve6 3 3 3 2 6" xfId="23874"/>
    <cellStyle name="20 % - Markeringsfarve6 3 3 3 3" xfId="2536"/>
    <cellStyle name="20 % - Markeringsfarve6 3 3 3 3 2" xfId="7524"/>
    <cellStyle name="20 % - Markeringsfarve6 3 3 3 3 2 2" xfId="18331"/>
    <cellStyle name="20 % - Markeringsfarve6 3 3 3 3 2 3" xfId="29688"/>
    <cellStyle name="20 % - Markeringsfarve6 3 3 3 3 3" xfId="13346"/>
    <cellStyle name="20 % - Markeringsfarve6 3 3 3 3 4" xfId="24704"/>
    <cellStyle name="20 % - Markeringsfarve6 3 3 3 4" xfId="4200"/>
    <cellStyle name="20 % - Markeringsfarve6 3 3 3 4 2" xfId="9185"/>
    <cellStyle name="20 % - Markeringsfarve6 3 3 3 4 2 2" xfId="19992"/>
    <cellStyle name="20 % - Markeringsfarve6 3 3 3 4 2 3" xfId="31349"/>
    <cellStyle name="20 % - Markeringsfarve6 3 3 3 4 3" xfId="15007"/>
    <cellStyle name="20 % - Markeringsfarve6 3 3 3 4 4" xfId="26365"/>
    <cellStyle name="20 % - Markeringsfarve6 3 3 3 5" xfId="5862"/>
    <cellStyle name="20 % - Markeringsfarve6 3 3 3 5 2" xfId="16670"/>
    <cellStyle name="20 % - Markeringsfarve6 3 3 3 5 3" xfId="28027"/>
    <cellStyle name="20 % - Markeringsfarve6 3 3 3 6" xfId="10849"/>
    <cellStyle name="20 % - Markeringsfarve6 3 3 3 6 2" xfId="21656"/>
    <cellStyle name="20 % - Markeringsfarve6 3 3 3 6 3" xfId="33013"/>
    <cellStyle name="20 % - Markeringsfarve6 3 3 3 7" xfId="11684"/>
    <cellStyle name="20 % - Markeringsfarve6 3 3 3 8" xfId="23043"/>
    <cellStyle name="20 % - Markeringsfarve6 3 3 4" xfId="1149"/>
    <cellStyle name="20 % - Markeringsfarve6 3 3 4 2" xfId="2814"/>
    <cellStyle name="20 % - Markeringsfarve6 3 3 4 2 2" xfId="7802"/>
    <cellStyle name="20 % - Markeringsfarve6 3 3 4 2 2 2" xfId="18609"/>
    <cellStyle name="20 % - Markeringsfarve6 3 3 4 2 2 3" xfId="29966"/>
    <cellStyle name="20 % - Markeringsfarve6 3 3 4 2 3" xfId="13624"/>
    <cellStyle name="20 % - Markeringsfarve6 3 3 4 2 4" xfId="24982"/>
    <cellStyle name="20 % - Markeringsfarve6 3 3 4 3" xfId="4478"/>
    <cellStyle name="20 % - Markeringsfarve6 3 3 4 3 2" xfId="9463"/>
    <cellStyle name="20 % - Markeringsfarve6 3 3 4 3 2 2" xfId="20270"/>
    <cellStyle name="20 % - Markeringsfarve6 3 3 4 3 2 3" xfId="31627"/>
    <cellStyle name="20 % - Markeringsfarve6 3 3 4 3 3" xfId="15285"/>
    <cellStyle name="20 % - Markeringsfarve6 3 3 4 3 4" xfId="26643"/>
    <cellStyle name="20 % - Markeringsfarve6 3 3 4 4" xfId="6140"/>
    <cellStyle name="20 % - Markeringsfarve6 3 3 4 4 2" xfId="16948"/>
    <cellStyle name="20 % - Markeringsfarve6 3 3 4 4 3" xfId="28305"/>
    <cellStyle name="20 % - Markeringsfarve6 3 3 4 5" xfId="11963"/>
    <cellStyle name="20 % - Markeringsfarve6 3 3 4 6" xfId="23321"/>
    <cellStyle name="20 % - Markeringsfarve6 3 3 5" xfId="1984"/>
    <cellStyle name="20 % - Markeringsfarve6 3 3 5 2" xfId="6972"/>
    <cellStyle name="20 % - Markeringsfarve6 3 3 5 2 2" xfId="17780"/>
    <cellStyle name="20 % - Markeringsfarve6 3 3 5 2 3" xfId="29137"/>
    <cellStyle name="20 % - Markeringsfarve6 3 3 5 3" xfId="12795"/>
    <cellStyle name="20 % - Markeringsfarve6 3 3 5 4" xfId="24153"/>
    <cellStyle name="20 % - Markeringsfarve6 3 3 6" xfId="3649"/>
    <cellStyle name="20 % - Markeringsfarve6 3 3 6 2" xfId="8634"/>
    <cellStyle name="20 % - Markeringsfarve6 3 3 6 2 2" xfId="19441"/>
    <cellStyle name="20 % - Markeringsfarve6 3 3 6 2 3" xfId="30798"/>
    <cellStyle name="20 % - Markeringsfarve6 3 3 6 3" xfId="14456"/>
    <cellStyle name="20 % - Markeringsfarve6 3 3 6 4" xfId="25814"/>
    <cellStyle name="20 % - Markeringsfarve6 3 3 7" xfId="5310"/>
    <cellStyle name="20 % - Markeringsfarve6 3 3 7 2" xfId="16119"/>
    <cellStyle name="20 % - Markeringsfarve6 3 3 7 3" xfId="27476"/>
    <cellStyle name="20 % - Markeringsfarve6 3 3 8" xfId="10295"/>
    <cellStyle name="20 % - Markeringsfarve6 3 3 8 2" xfId="21102"/>
    <cellStyle name="20 % - Markeringsfarve6 3 3 8 3" xfId="32459"/>
    <cellStyle name="20 % - Markeringsfarve6 3 3 9" xfId="11129"/>
    <cellStyle name="20 % - Markeringsfarve6 3 4" xfId="334"/>
    <cellStyle name="20 % - Markeringsfarve6 3 4 10" xfId="21991"/>
    <cellStyle name="20 % - Markeringsfarve6 3 4 11" xfId="22544"/>
    <cellStyle name="20 % - Markeringsfarve6 3 4 12" xfId="33347"/>
    <cellStyle name="20 % - Markeringsfarve6 3 4 13" xfId="33622"/>
    <cellStyle name="20 % - Markeringsfarve6 3 4 14" xfId="33893"/>
    <cellStyle name="20 % - Markeringsfarve6 3 4 2" xfId="651"/>
    <cellStyle name="20 % - Markeringsfarve6 3 4 2 2" xfId="1483"/>
    <cellStyle name="20 % - Markeringsfarve6 3 4 2 2 2" xfId="3148"/>
    <cellStyle name="20 % - Markeringsfarve6 3 4 2 2 2 2" xfId="8136"/>
    <cellStyle name="20 % - Markeringsfarve6 3 4 2 2 2 2 2" xfId="18943"/>
    <cellStyle name="20 % - Markeringsfarve6 3 4 2 2 2 2 3" xfId="30300"/>
    <cellStyle name="20 % - Markeringsfarve6 3 4 2 2 2 3" xfId="13958"/>
    <cellStyle name="20 % - Markeringsfarve6 3 4 2 2 2 4" xfId="25316"/>
    <cellStyle name="20 % - Markeringsfarve6 3 4 2 2 3" xfId="4812"/>
    <cellStyle name="20 % - Markeringsfarve6 3 4 2 2 3 2" xfId="9797"/>
    <cellStyle name="20 % - Markeringsfarve6 3 4 2 2 3 2 2" xfId="20604"/>
    <cellStyle name="20 % - Markeringsfarve6 3 4 2 2 3 2 3" xfId="31961"/>
    <cellStyle name="20 % - Markeringsfarve6 3 4 2 2 3 3" xfId="15619"/>
    <cellStyle name="20 % - Markeringsfarve6 3 4 2 2 3 4" xfId="26977"/>
    <cellStyle name="20 % - Markeringsfarve6 3 4 2 2 4" xfId="6474"/>
    <cellStyle name="20 % - Markeringsfarve6 3 4 2 2 4 2" xfId="17282"/>
    <cellStyle name="20 % - Markeringsfarve6 3 4 2 2 4 3" xfId="28639"/>
    <cellStyle name="20 % - Markeringsfarve6 3 4 2 2 5" xfId="12297"/>
    <cellStyle name="20 % - Markeringsfarve6 3 4 2 2 6" xfId="23655"/>
    <cellStyle name="20 % - Markeringsfarve6 3 4 2 3" xfId="2317"/>
    <cellStyle name="20 % - Markeringsfarve6 3 4 2 3 2" xfId="7305"/>
    <cellStyle name="20 % - Markeringsfarve6 3 4 2 3 2 2" xfId="18112"/>
    <cellStyle name="20 % - Markeringsfarve6 3 4 2 3 2 3" xfId="29469"/>
    <cellStyle name="20 % - Markeringsfarve6 3 4 2 3 3" xfId="13127"/>
    <cellStyle name="20 % - Markeringsfarve6 3 4 2 3 4" xfId="24485"/>
    <cellStyle name="20 % - Markeringsfarve6 3 4 2 4" xfId="3981"/>
    <cellStyle name="20 % - Markeringsfarve6 3 4 2 4 2" xfId="8966"/>
    <cellStyle name="20 % - Markeringsfarve6 3 4 2 4 2 2" xfId="19773"/>
    <cellStyle name="20 % - Markeringsfarve6 3 4 2 4 2 3" xfId="31130"/>
    <cellStyle name="20 % - Markeringsfarve6 3 4 2 4 3" xfId="14788"/>
    <cellStyle name="20 % - Markeringsfarve6 3 4 2 4 4" xfId="26146"/>
    <cellStyle name="20 % - Markeringsfarve6 3 4 2 5" xfId="5643"/>
    <cellStyle name="20 % - Markeringsfarve6 3 4 2 5 2" xfId="16451"/>
    <cellStyle name="20 % - Markeringsfarve6 3 4 2 5 3" xfId="27808"/>
    <cellStyle name="20 % - Markeringsfarve6 3 4 2 6" xfId="10630"/>
    <cellStyle name="20 % - Markeringsfarve6 3 4 2 6 2" xfId="21437"/>
    <cellStyle name="20 % - Markeringsfarve6 3 4 2 6 3" xfId="32794"/>
    <cellStyle name="20 % - Markeringsfarve6 3 4 2 7" xfId="11464"/>
    <cellStyle name="20 % - Markeringsfarve6 3 4 2 8" xfId="22270"/>
    <cellStyle name="20 % - Markeringsfarve6 3 4 2 9" xfId="22824"/>
    <cellStyle name="20 % - Markeringsfarve6 3 4 3" xfId="925"/>
    <cellStyle name="20 % - Markeringsfarve6 3 4 3 2" xfId="1757"/>
    <cellStyle name="20 % - Markeringsfarve6 3 4 3 2 2" xfId="3422"/>
    <cellStyle name="20 % - Markeringsfarve6 3 4 3 2 2 2" xfId="8410"/>
    <cellStyle name="20 % - Markeringsfarve6 3 4 3 2 2 2 2" xfId="19217"/>
    <cellStyle name="20 % - Markeringsfarve6 3 4 3 2 2 2 3" xfId="30574"/>
    <cellStyle name="20 % - Markeringsfarve6 3 4 3 2 2 3" xfId="14232"/>
    <cellStyle name="20 % - Markeringsfarve6 3 4 3 2 2 4" xfId="25590"/>
    <cellStyle name="20 % - Markeringsfarve6 3 4 3 2 3" xfId="5086"/>
    <cellStyle name="20 % - Markeringsfarve6 3 4 3 2 3 2" xfId="10071"/>
    <cellStyle name="20 % - Markeringsfarve6 3 4 3 2 3 2 2" xfId="20878"/>
    <cellStyle name="20 % - Markeringsfarve6 3 4 3 2 3 2 3" xfId="32235"/>
    <cellStyle name="20 % - Markeringsfarve6 3 4 3 2 3 3" xfId="15893"/>
    <cellStyle name="20 % - Markeringsfarve6 3 4 3 2 3 4" xfId="27251"/>
    <cellStyle name="20 % - Markeringsfarve6 3 4 3 2 4" xfId="6748"/>
    <cellStyle name="20 % - Markeringsfarve6 3 4 3 2 4 2" xfId="17556"/>
    <cellStyle name="20 % - Markeringsfarve6 3 4 3 2 4 3" xfId="28913"/>
    <cellStyle name="20 % - Markeringsfarve6 3 4 3 2 5" xfId="12571"/>
    <cellStyle name="20 % - Markeringsfarve6 3 4 3 2 6" xfId="23929"/>
    <cellStyle name="20 % - Markeringsfarve6 3 4 3 3" xfId="2591"/>
    <cellStyle name="20 % - Markeringsfarve6 3 4 3 3 2" xfId="7579"/>
    <cellStyle name="20 % - Markeringsfarve6 3 4 3 3 2 2" xfId="18386"/>
    <cellStyle name="20 % - Markeringsfarve6 3 4 3 3 2 3" xfId="29743"/>
    <cellStyle name="20 % - Markeringsfarve6 3 4 3 3 3" xfId="13401"/>
    <cellStyle name="20 % - Markeringsfarve6 3 4 3 3 4" xfId="24759"/>
    <cellStyle name="20 % - Markeringsfarve6 3 4 3 4" xfId="4255"/>
    <cellStyle name="20 % - Markeringsfarve6 3 4 3 4 2" xfId="9240"/>
    <cellStyle name="20 % - Markeringsfarve6 3 4 3 4 2 2" xfId="20047"/>
    <cellStyle name="20 % - Markeringsfarve6 3 4 3 4 2 3" xfId="31404"/>
    <cellStyle name="20 % - Markeringsfarve6 3 4 3 4 3" xfId="15062"/>
    <cellStyle name="20 % - Markeringsfarve6 3 4 3 4 4" xfId="26420"/>
    <cellStyle name="20 % - Markeringsfarve6 3 4 3 5" xfId="5917"/>
    <cellStyle name="20 % - Markeringsfarve6 3 4 3 5 2" xfId="16725"/>
    <cellStyle name="20 % - Markeringsfarve6 3 4 3 5 3" xfId="28082"/>
    <cellStyle name="20 % - Markeringsfarve6 3 4 3 6" xfId="10904"/>
    <cellStyle name="20 % - Markeringsfarve6 3 4 3 6 2" xfId="21711"/>
    <cellStyle name="20 % - Markeringsfarve6 3 4 3 6 3" xfId="33068"/>
    <cellStyle name="20 % - Markeringsfarve6 3 4 3 7" xfId="11739"/>
    <cellStyle name="20 % - Markeringsfarve6 3 4 3 8" xfId="23098"/>
    <cellStyle name="20 % - Markeringsfarve6 3 4 4" xfId="1204"/>
    <cellStyle name="20 % - Markeringsfarve6 3 4 4 2" xfId="2869"/>
    <cellStyle name="20 % - Markeringsfarve6 3 4 4 2 2" xfId="7857"/>
    <cellStyle name="20 % - Markeringsfarve6 3 4 4 2 2 2" xfId="18664"/>
    <cellStyle name="20 % - Markeringsfarve6 3 4 4 2 2 3" xfId="30021"/>
    <cellStyle name="20 % - Markeringsfarve6 3 4 4 2 3" xfId="13679"/>
    <cellStyle name="20 % - Markeringsfarve6 3 4 4 2 4" xfId="25037"/>
    <cellStyle name="20 % - Markeringsfarve6 3 4 4 3" xfId="4533"/>
    <cellStyle name="20 % - Markeringsfarve6 3 4 4 3 2" xfId="9518"/>
    <cellStyle name="20 % - Markeringsfarve6 3 4 4 3 2 2" xfId="20325"/>
    <cellStyle name="20 % - Markeringsfarve6 3 4 4 3 2 3" xfId="31682"/>
    <cellStyle name="20 % - Markeringsfarve6 3 4 4 3 3" xfId="15340"/>
    <cellStyle name="20 % - Markeringsfarve6 3 4 4 3 4" xfId="26698"/>
    <cellStyle name="20 % - Markeringsfarve6 3 4 4 4" xfId="6195"/>
    <cellStyle name="20 % - Markeringsfarve6 3 4 4 4 2" xfId="17003"/>
    <cellStyle name="20 % - Markeringsfarve6 3 4 4 4 3" xfId="28360"/>
    <cellStyle name="20 % - Markeringsfarve6 3 4 4 5" xfId="12018"/>
    <cellStyle name="20 % - Markeringsfarve6 3 4 4 6" xfId="23376"/>
    <cellStyle name="20 % - Markeringsfarve6 3 4 5" xfId="2039"/>
    <cellStyle name="20 % - Markeringsfarve6 3 4 5 2" xfId="7027"/>
    <cellStyle name="20 % - Markeringsfarve6 3 4 5 2 2" xfId="17835"/>
    <cellStyle name="20 % - Markeringsfarve6 3 4 5 2 3" xfId="29192"/>
    <cellStyle name="20 % - Markeringsfarve6 3 4 5 3" xfId="12850"/>
    <cellStyle name="20 % - Markeringsfarve6 3 4 5 4" xfId="24208"/>
    <cellStyle name="20 % - Markeringsfarve6 3 4 6" xfId="3704"/>
    <cellStyle name="20 % - Markeringsfarve6 3 4 6 2" xfId="8689"/>
    <cellStyle name="20 % - Markeringsfarve6 3 4 6 2 2" xfId="19496"/>
    <cellStyle name="20 % - Markeringsfarve6 3 4 6 2 3" xfId="30853"/>
    <cellStyle name="20 % - Markeringsfarve6 3 4 6 3" xfId="14511"/>
    <cellStyle name="20 % - Markeringsfarve6 3 4 6 4" xfId="25869"/>
    <cellStyle name="20 % - Markeringsfarve6 3 4 7" xfId="5365"/>
    <cellStyle name="20 % - Markeringsfarve6 3 4 7 2" xfId="16174"/>
    <cellStyle name="20 % - Markeringsfarve6 3 4 7 3" xfId="27531"/>
    <cellStyle name="20 % - Markeringsfarve6 3 4 8" xfId="10350"/>
    <cellStyle name="20 % - Markeringsfarve6 3 4 8 2" xfId="21157"/>
    <cellStyle name="20 % - Markeringsfarve6 3 4 8 3" xfId="32514"/>
    <cellStyle name="20 % - Markeringsfarve6 3 4 9" xfId="11184"/>
    <cellStyle name="20 % - Markeringsfarve6 3 5" xfId="390"/>
    <cellStyle name="20 % - Markeringsfarve6 3 5 10" xfId="22047"/>
    <cellStyle name="20 % - Markeringsfarve6 3 5 11" xfId="22600"/>
    <cellStyle name="20 % - Markeringsfarve6 3 5 12" xfId="33403"/>
    <cellStyle name="20 % - Markeringsfarve6 3 5 13" xfId="33678"/>
    <cellStyle name="20 % - Markeringsfarve6 3 5 14" xfId="33949"/>
    <cellStyle name="20 % - Markeringsfarve6 3 5 2" xfId="707"/>
    <cellStyle name="20 % - Markeringsfarve6 3 5 2 2" xfId="1539"/>
    <cellStyle name="20 % - Markeringsfarve6 3 5 2 2 2" xfId="3204"/>
    <cellStyle name="20 % - Markeringsfarve6 3 5 2 2 2 2" xfId="8192"/>
    <cellStyle name="20 % - Markeringsfarve6 3 5 2 2 2 2 2" xfId="18999"/>
    <cellStyle name="20 % - Markeringsfarve6 3 5 2 2 2 2 3" xfId="30356"/>
    <cellStyle name="20 % - Markeringsfarve6 3 5 2 2 2 3" xfId="14014"/>
    <cellStyle name="20 % - Markeringsfarve6 3 5 2 2 2 4" xfId="25372"/>
    <cellStyle name="20 % - Markeringsfarve6 3 5 2 2 3" xfId="4868"/>
    <cellStyle name="20 % - Markeringsfarve6 3 5 2 2 3 2" xfId="9853"/>
    <cellStyle name="20 % - Markeringsfarve6 3 5 2 2 3 2 2" xfId="20660"/>
    <cellStyle name="20 % - Markeringsfarve6 3 5 2 2 3 2 3" xfId="32017"/>
    <cellStyle name="20 % - Markeringsfarve6 3 5 2 2 3 3" xfId="15675"/>
    <cellStyle name="20 % - Markeringsfarve6 3 5 2 2 3 4" xfId="27033"/>
    <cellStyle name="20 % - Markeringsfarve6 3 5 2 2 4" xfId="6530"/>
    <cellStyle name="20 % - Markeringsfarve6 3 5 2 2 4 2" xfId="17338"/>
    <cellStyle name="20 % - Markeringsfarve6 3 5 2 2 4 3" xfId="28695"/>
    <cellStyle name="20 % - Markeringsfarve6 3 5 2 2 5" xfId="12353"/>
    <cellStyle name="20 % - Markeringsfarve6 3 5 2 2 6" xfId="23711"/>
    <cellStyle name="20 % - Markeringsfarve6 3 5 2 3" xfId="2373"/>
    <cellStyle name="20 % - Markeringsfarve6 3 5 2 3 2" xfId="7361"/>
    <cellStyle name="20 % - Markeringsfarve6 3 5 2 3 2 2" xfId="18168"/>
    <cellStyle name="20 % - Markeringsfarve6 3 5 2 3 2 3" xfId="29525"/>
    <cellStyle name="20 % - Markeringsfarve6 3 5 2 3 3" xfId="13183"/>
    <cellStyle name="20 % - Markeringsfarve6 3 5 2 3 4" xfId="24541"/>
    <cellStyle name="20 % - Markeringsfarve6 3 5 2 4" xfId="4037"/>
    <cellStyle name="20 % - Markeringsfarve6 3 5 2 4 2" xfId="9022"/>
    <cellStyle name="20 % - Markeringsfarve6 3 5 2 4 2 2" xfId="19829"/>
    <cellStyle name="20 % - Markeringsfarve6 3 5 2 4 2 3" xfId="31186"/>
    <cellStyle name="20 % - Markeringsfarve6 3 5 2 4 3" xfId="14844"/>
    <cellStyle name="20 % - Markeringsfarve6 3 5 2 4 4" xfId="26202"/>
    <cellStyle name="20 % - Markeringsfarve6 3 5 2 5" xfId="5699"/>
    <cellStyle name="20 % - Markeringsfarve6 3 5 2 5 2" xfId="16507"/>
    <cellStyle name="20 % - Markeringsfarve6 3 5 2 5 3" xfId="27864"/>
    <cellStyle name="20 % - Markeringsfarve6 3 5 2 6" xfId="10686"/>
    <cellStyle name="20 % - Markeringsfarve6 3 5 2 6 2" xfId="21493"/>
    <cellStyle name="20 % - Markeringsfarve6 3 5 2 6 3" xfId="32850"/>
    <cellStyle name="20 % - Markeringsfarve6 3 5 2 7" xfId="11520"/>
    <cellStyle name="20 % - Markeringsfarve6 3 5 2 8" xfId="22326"/>
    <cellStyle name="20 % - Markeringsfarve6 3 5 2 9" xfId="22880"/>
    <cellStyle name="20 % - Markeringsfarve6 3 5 3" xfId="981"/>
    <cellStyle name="20 % - Markeringsfarve6 3 5 3 2" xfId="1813"/>
    <cellStyle name="20 % - Markeringsfarve6 3 5 3 2 2" xfId="3478"/>
    <cellStyle name="20 % - Markeringsfarve6 3 5 3 2 2 2" xfId="8466"/>
    <cellStyle name="20 % - Markeringsfarve6 3 5 3 2 2 2 2" xfId="19273"/>
    <cellStyle name="20 % - Markeringsfarve6 3 5 3 2 2 2 3" xfId="30630"/>
    <cellStyle name="20 % - Markeringsfarve6 3 5 3 2 2 3" xfId="14288"/>
    <cellStyle name="20 % - Markeringsfarve6 3 5 3 2 2 4" xfId="25646"/>
    <cellStyle name="20 % - Markeringsfarve6 3 5 3 2 3" xfId="5142"/>
    <cellStyle name="20 % - Markeringsfarve6 3 5 3 2 3 2" xfId="10127"/>
    <cellStyle name="20 % - Markeringsfarve6 3 5 3 2 3 2 2" xfId="20934"/>
    <cellStyle name="20 % - Markeringsfarve6 3 5 3 2 3 2 3" xfId="32291"/>
    <cellStyle name="20 % - Markeringsfarve6 3 5 3 2 3 3" xfId="15949"/>
    <cellStyle name="20 % - Markeringsfarve6 3 5 3 2 3 4" xfId="27307"/>
    <cellStyle name="20 % - Markeringsfarve6 3 5 3 2 4" xfId="6804"/>
    <cellStyle name="20 % - Markeringsfarve6 3 5 3 2 4 2" xfId="17612"/>
    <cellStyle name="20 % - Markeringsfarve6 3 5 3 2 4 3" xfId="28969"/>
    <cellStyle name="20 % - Markeringsfarve6 3 5 3 2 5" xfId="12627"/>
    <cellStyle name="20 % - Markeringsfarve6 3 5 3 2 6" xfId="23985"/>
    <cellStyle name="20 % - Markeringsfarve6 3 5 3 3" xfId="2647"/>
    <cellStyle name="20 % - Markeringsfarve6 3 5 3 3 2" xfId="7635"/>
    <cellStyle name="20 % - Markeringsfarve6 3 5 3 3 2 2" xfId="18442"/>
    <cellStyle name="20 % - Markeringsfarve6 3 5 3 3 2 3" xfId="29799"/>
    <cellStyle name="20 % - Markeringsfarve6 3 5 3 3 3" xfId="13457"/>
    <cellStyle name="20 % - Markeringsfarve6 3 5 3 3 4" xfId="24815"/>
    <cellStyle name="20 % - Markeringsfarve6 3 5 3 4" xfId="4311"/>
    <cellStyle name="20 % - Markeringsfarve6 3 5 3 4 2" xfId="9296"/>
    <cellStyle name="20 % - Markeringsfarve6 3 5 3 4 2 2" xfId="20103"/>
    <cellStyle name="20 % - Markeringsfarve6 3 5 3 4 2 3" xfId="31460"/>
    <cellStyle name="20 % - Markeringsfarve6 3 5 3 4 3" xfId="15118"/>
    <cellStyle name="20 % - Markeringsfarve6 3 5 3 4 4" xfId="26476"/>
    <cellStyle name="20 % - Markeringsfarve6 3 5 3 5" xfId="5973"/>
    <cellStyle name="20 % - Markeringsfarve6 3 5 3 5 2" xfId="16781"/>
    <cellStyle name="20 % - Markeringsfarve6 3 5 3 5 3" xfId="28138"/>
    <cellStyle name="20 % - Markeringsfarve6 3 5 3 6" xfId="10960"/>
    <cellStyle name="20 % - Markeringsfarve6 3 5 3 6 2" xfId="21767"/>
    <cellStyle name="20 % - Markeringsfarve6 3 5 3 6 3" xfId="33124"/>
    <cellStyle name="20 % - Markeringsfarve6 3 5 3 7" xfId="11795"/>
    <cellStyle name="20 % - Markeringsfarve6 3 5 3 8" xfId="23154"/>
    <cellStyle name="20 % - Markeringsfarve6 3 5 4" xfId="1260"/>
    <cellStyle name="20 % - Markeringsfarve6 3 5 4 2" xfId="2925"/>
    <cellStyle name="20 % - Markeringsfarve6 3 5 4 2 2" xfId="7913"/>
    <cellStyle name="20 % - Markeringsfarve6 3 5 4 2 2 2" xfId="18720"/>
    <cellStyle name="20 % - Markeringsfarve6 3 5 4 2 2 3" xfId="30077"/>
    <cellStyle name="20 % - Markeringsfarve6 3 5 4 2 3" xfId="13735"/>
    <cellStyle name="20 % - Markeringsfarve6 3 5 4 2 4" xfId="25093"/>
    <cellStyle name="20 % - Markeringsfarve6 3 5 4 3" xfId="4589"/>
    <cellStyle name="20 % - Markeringsfarve6 3 5 4 3 2" xfId="9574"/>
    <cellStyle name="20 % - Markeringsfarve6 3 5 4 3 2 2" xfId="20381"/>
    <cellStyle name="20 % - Markeringsfarve6 3 5 4 3 2 3" xfId="31738"/>
    <cellStyle name="20 % - Markeringsfarve6 3 5 4 3 3" xfId="15396"/>
    <cellStyle name="20 % - Markeringsfarve6 3 5 4 3 4" xfId="26754"/>
    <cellStyle name="20 % - Markeringsfarve6 3 5 4 4" xfId="6251"/>
    <cellStyle name="20 % - Markeringsfarve6 3 5 4 4 2" xfId="17059"/>
    <cellStyle name="20 % - Markeringsfarve6 3 5 4 4 3" xfId="28416"/>
    <cellStyle name="20 % - Markeringsfarve6 3 5 4 5" xfId="12074"/>
    <cellStyle name="20 % - Markeringsfarve6 3 5 4 6" xfId="23432"/>
    <cellStyle name="20 % - Markeringsfarve6 3 5 5" xfId="2095"/>
    <cellStyle name="20 % - Markeringsfarve6 3 5 5 2" xfId="7083"/>
    <cellStyle name="20 % - Markeringsfarve6 3 5 5 2 2" xfId="17891"/>
    <cellStyle name="20 % - Markeringsfarve6 3 5 5 2 3" xfId="29248"/>
    <cellStyle name="20 % - Markeringsfarve6 3 5 5 3" xfId="12906"/>
    <cellStyle name="20 % - Markeringsfarve6 3 5 5 4" xfId="24264"/>
    <cellStyle name="20 % - Markeringsfarve6 3 5 6" xfId="3760"/>
    <cellStyle name="20 % - Markeringsfarve6 3 5 6 2" xfId="8745"/>
    <cellStyle name="20 % - Markeringsfarve6 3 5 6 2 2" xfId="19552"/>
    <cellStyle name="20 % - Markeringsfarve6 3 5 6 2 3" xfId="30909"/>
    <cellStyle name="20 % - Markeringsfarve6 3 5 6 3" xfId="14567"/>
    <cellStyle name="20 % - Markeringsfarve6 3 5 6 4" xfId="25925"/>
    <cellStyle name="20 % - Markeringsfarve6 3 5 7" xfId="5421"/>
    <cellStyle name="20 % - Markeringsfarve6 3 5 7 2" xfId="16230"/>
    <cellStyle name="20 % - Markeringsfarve6 3 5 7 3" xfId="27587"/>
    <cellStyle name="20 % - Markeringsfarve6 3 5 8" xfId="10406"/>
    <cellStyle name="20 % - Markeringsfarve6 3 5 8 2" xfId="21213"/>
    <cellStyle name="20 % - Markeringsfarve6 3 5 8 3" xfId="32570"/>
    <cellStyle name="20 % - Markeringsfarve6 3 5 9" xfId="11240"/>
    <cellStyle name="20 % - Markeringsfarve6 3 6" xfId="490"/>
    <cellStyle name="20 % - Markeringsfarve6 3 6 2" xfId="1320"/>
    <cellStyle name="20 % - Markeringsfarve6 3 6 2 2" xfId="2985"/>
    <cellStyle name="20 % - Markeringsfarve6 3 6 2 2 2" xfId="7973"/>
    <cellStyle name="20 % - Markeringsfarve6 3 6 2 2 2 2" xfId="18780"/>
    <cellStyle name="20 % - Markeringsfarve6 3 6 2 2 2 3" xfId="30137"/>
    <cellStyle name="20 % - Markeringsfarve6 3 6 2 2 3" xfId="13795"/>
    <cellStyle name="20 % - Markeringsfarve6 3 6 2 2 4" xfId="25153"/>
    <cellStyle name="20 % - Markeringsfarve6 3 6 2 3" xfId="4649"/>
    <cellStyle name="20 % - Markeringsfarve6 3 6 2 3 2" xfId="9634"/>
    <cellStyle name="20 % - Markeringsfarve6 3 6 2 3 2 2" xfId="20441"/>
    <cellStyle name="20 % - Markeringsfarve6 3 6 2 3 2 3" xfId="31798"/>
    <cellStyle name="20 % - Markeringsfarve6 3 6 2 3 3" xfId="15456"/>
    <cellStyle name="20 % - Markeringsfarve6 3 6 2 3 4" xfId="26814"/>
    <cellStyle name="20 % - Markeringsfarve6 3 6 2 4" xfId="6311"/>
    <cellStyle name="20 % - Markeringsfarve6 3 6 2 4 2" xfId="17119"/>
    <cellStyle name="20 % - Markeringsfarve6 3 6 2 4 3" xfId="28476"/>
    <cellStyle name="20 % - Markeringsfarve6 3 6 2 5" xfId="12134"/>
    <cellStyle name="20 % - Markeringsfarve6 3 6 2 6" xfId="23492"/>
    <cellStyle name="20 % - Markeringsfarve6 3 6 3" xfId="2156"/>
    <cellStyle name="20 % - Markeringsfarve6 3 6 3 2" xfId="7144"/>
    <cellStyle name="20 % - Markeringsfarve6 3 6 3 2 2" xfId="17951"/>
    <cellStyle name="20 % - Markeringsfarve6 3 6 3 2 3" xfId="29308"/>
    <cellStyle name="20 % - Markeringsfarve6 3 6 3 3" xfId="12966"/>
    <cellStyle name="20 % - Markeringsfarve6 3 6 3 4" xfId="24324"/>
    <cellStyle name="20 % - Markeringsfarve6 3 6 4" xfId="3820"/>
    <cellStyle name="20 % - Markeringsfarve6 3 6 4 2" xfId="8805"/>
    <cellStyle name="20 % - Markeringsfarve6 3 6 4 2 2" xfId="19612"/>
    <cellStyle name="20 % - Markeringsfarve6 3 6 4 2 3" xfId="30969"/>
    <cellStyle name="20 % - Markeringsfarve6 3 6 4 3" xfId="14627"/>
    <cellStyle name="20 % - Markeringsfarve6 3 6 4 4" xfId="25985"/>
    <cellStyle name="20 % - Markeringsfarve6 3 6 5" xfId="5482"/>
    <cellStyle name="20 % - Markeringsfarve6 3 6 5 2" xfId="16290"/>
    <cellStyle name="20 % - Markeringsfarve6 3 6 5 3" xfId="27647"/>
    <cellStyle name="20 % - Markeringsfarve6 3 6 6" xfId="10467"/>
    <cellStyle name="20 % - Markeringsfarve6 3 6 6 2" xfId="21274"/>
    <cellStyle name="20 % - Markeringsfarve6 3 6 6 3" xfId="32631"/>
    <cellStyle name="20 % - Markeringsfarve6 3 6 7" xfId="11301"/>
    <cellStyle name="20 % - Markeringsfarve6 3 6 8" xfId="22107"/>
    <cellStyle name="20 % - Markeringsfarve6 3 6 9" xfId="22661"/>
    <cellStyle name="20 % - Markeringsfarve6 3 7" xfId="762"/>
    <cellStyle name="20 % - Markeringsfarve6 3 7 2" xfId="1594"/>
    <cellStyle name="20 % - Markeringsfarve6 3 7 2 2" xfId="3259"/>
    <cellStyle name="20 % - Markeringsfarve6 3 7 2 2 2" xfId="8247"/>
    <cellStyle name="20 % - Markeringsfarve6 3 7 2 2 2 2" xfId="19054"/>
    <cellStyle name="20 % - Markeringsfarve6 3 7 2 2 2 3" xfId="30411"/>
    <cellStyle name="20 % - Markeringsfarve6 3 7 2 2 3" xfId="14069"/>
    <cellStyle name="20 % - Markeringsfarve6 3 7 2 2 4" xfId="25427"/>
    <cellStyle name="20 % - Markeringsfarve6 3 7 2 3" xfId="4923"/>
    <cellStyle name="20 % - Markeringsfarve6 3 7 2 3 2" xfId="9908"/>
    <cellStyle name="20 % - Markeringsfarve6 3 7 2 3 2 2" xfId="20715"/>
    <cellStyle name="20 % - Markeringsfarve6 3 7 2 3 2 3" xfId="32072"/>
    <cellStyle name="20 % - Markeringsfarve6 3 7 2 3 3" xfId="15730"/>
    <cellStyle name="20 % - Markeringsfarve6 3 7 2 3 4" xfId="27088"/>
    <cellStyle name="20 % - Markeringsfarve6 3 7 2 4" xfId="6585"/>
    <cellStyle name="20 % - Markeringsfarve6 3 7 2 4 2" xfId="17393"/>
    <cellStyle name="20 % - Markeringsfarve6 3 7 2 4 3" xfId="28750"/>
    <cellStyle name="20 % - Markeringsfarve6 3 7 2 5" xfId="12408"/>
    <cellStyle name="20 % - Markeringsfarve6 3 7 2 6" xfId="23766"/>
    <cellStyle name="20 % - Markeringsfarve6 3 7 3" xfId="2428"/>
    <cellStyle name="20 % - Markeringsfarve6 3 7 3 2" xfId="7416"/>
    <cellStyle name="20 % - Markeringsfarve6 3 7 3 2 2" xfId="18223"/>
    <cellStyle name="20 % - Markeringsfarve6 3 7 3 2 3" xfId="29580"/>
    <cellStyle name="20 % - Markeringsfarve6 3 7 3 3" xfId="13238"/>
    <cellStyle name="20 % - Markeringsfarve6 3 7 3 4" xfId="24596"/>
    <cellStyle name="20 % - Markeringsfarve6 3 7 4" xfId="4092"/>
    <cellStyle name="20 % - Markeringsfarve6 3 7 4 2" xfId="9077"/>
    <cellStyle name="20 % - Markeringsfarve6 3 7 4 2 2" xfId="19884"/>
    <cellStyle name="20 % - Markeringsfarve6 3 7 4 2 3" xfId="31241"/>
    <cellStyle name="20 % - Markeringsfarve6 3 7 4 3" xfId="14899"/>
    <cellStyle name="20 % - Markeringsfarve6 3 7 4 4" xfId="26257"/>
    <cellStyle name="20 % - Markeringsfarve6 3 7 5" xfId="5754"/>
    <cellStyle name="20 % - Markeringsfarve6 3 7 5 2" xfId="16562"/>
    <cellStyle name="20 % - Markeringsfarve6 3 7 5 3" xfId="27919"/>
    <cellStyle name="20 % - Markeringsfarve6 3 7 6" xfId="10741"/>
    <cellStyle name="20 % - Markeringsfarve6 3 7 6 2" xfId="21548"/>
    <cellStyle name="20 % - Markeringsfarve6 3 7 6 3" xfId="32905"/>
    <cellStyle name="20 % - Markeringsfarve6 3 7 7" xfId="11576"/>
    <cellStyle name="20 % - Markeringsfarve6 3 7 8" xfId="22935"/>
    <cellStyle name="20 % - Markeringsfarve6 3 8" xfId="1041"/>
    <cellStyle name="20 % - Markeringsfarve6 3 8 2" xfId="2706"/>
    <cellStyle name="20 % - Markeringsfarve6 3 8 2 2" xfId="7694"/>
    <cellStyle name="20 % - Markeringsfarve6 3 8 2 2 2" xfId="18501"/>
    <cellStyle name="20 % - Markeringsfarve6 3 8 2 2 3" xfId="29858"/>
    <cellStyle name="20 % - Markeringsfarve6 3 8 2 3" xfId="13516"/>
    <cellStyle name="20 % - Markeringsfarve6 3 8 2 4" xfId="24874"/>
    <cellStyle name="20 % - Markeringsfarve6 3 8 3" xfId="4370"/>
    <cellStyle name="20 % - Markeringsfarve6 3 8 3 2" xfId="9355"/>
    <cellStyle name="20 % - Markeringsfarve6 3 8 3 2 2" xfId="20162"/>
    <cellStyle name="20 % - Markeringsfarve6 3 8 3 2 3" xfId="31519"/>
    <cellStyle name="20 % - Markeringsfarve6 3 8 3 3" xfId="15177"/>
    <cellStyle name="20 % - Markeringsfarve6 3 8 3 4" xfId="26535"/>
    <cellStyle name="20 % - Markeringsfarve6 3 8 4" xfId="6032"/>
    <cellStyle name="20 % - Markeringsfarve6 3 8 4 2" xfId="16840"/>
    <cellStyle name="20 % - Markeringsfarve6 3 8 4 3" xfId="28197"/>
    <cellStyle name="20 % - Markeringsfarve6 3 8 5" xfId="11855"/>
    <cellStyle name="20 % - Markeringsfarve6 3 8 6" xfId="23213"/>
    <cellStyle name="20 % - Markeringsfarve6 3 9" xfId="1877"/>
    <cellStyle name="20 % - Markeringsfarve6 3 9 2" xfId="6865"/>
    <cellStyle name="20 % - Markeringsfarve6 3 9 2 2" xfId="17673"/>
    <cellStyle name="20 % - Markeringsfarve6 3 9 2 3" xfId="29030"/>
    <cellStyle name="20 % - Markeringsfarve6 3 9 3" xfId="12688"/>
    <cellStyle name="20 % - Markeringsfarve6 3 9 4" xfId="24046"/>
    <cellStyle name="20 % - Markeringsfarve6 4" xfId="187"/>
    <cellStyle name="20 % - Markeringsfarve6 4 10" xfId="21845"/>
    <cellStyle name="20 % - Markeringsfarve6 4 11" xfId="22398"/>
    <cellStyle name="20 % - Markeringsfarve6 4 12" xfId="33201"/>
    <cellStyle name="20 % - Markeringsfarve6 4 13" xfId="33474"/>
    <cellStyle name="20 % - Markeringsfarve6 4 14" xfId="33745"/>
    <cellStyle name="20 % - Markeringsfarve6 4 2" xfId="507"/>
    <cellStyle name="20 % - Markeringsfarve6 4 2 2" xfId="1337"/>
    <cellStyle name="20 % - Markeringsfarve6 4 2 2 2" xfId="3002"/>
    <cellStyle name="20 % - Markeringsfarve6 4 2 2 2 2" xfId="7990"/>
    <cellStyle name="20 % - Markeringsfarve6 4 2 2 2 2 2" xfId="18797"/>
    <cellStyle name="20 % - Markeringsfarve6 4 2 2 2 2 3" xfId="30154"/>
    <cellStyle name="20 % - Markeringsfarve6 4 2 2 2 3" xfId="13812"/>
    <cellStyle name="20 % - Markeringsfarve6 4 2 2 2 4" xfId="25170"/>
    <cellStyle name="20 % - Markeringsfarve6 4 2 2 3" xfId="4666"/>
    <cellStyle name="20 % - Markeringsfarve6 4 2 2 3 2" xfId="9651"/>
    <cellStyle name="20 % - Markeringsfarve6 4 2 2 3 2 2" xfId="20458"/>
    <cellStyle name="20 % - Markeringsfarve6 4 2 2 3 2 3" xfId="31815"/>
    <cellStyle name="20 % - Markeringsfarve6 4 2 2 3 3" xfId="15473"/>
    <cellStyle name="20 % - Markeringsfarve6 4 2 2 3 4" xfId="26831"/>
    <cellStyle name="20 % - Markeringsfarve6 4 2 2 4" xfId="6328"/>
    <cellStyle name="20 % - Markeringsfarve6 4 2 2 4 2" xfId="17136"/>
    <cellStyle name="20 % - Markeringsfarve6 4 2 2 4 3" xfId="28493"/>
    <cellStyle name="20 % - Markeringsfarve6 4 2 2 5" xfId="12151"/>
    <cellStyle name="20 % - Markeringsfarve6 4 2 2 6" xfId="23509"/>
    <cellStyle name="20 % - Markeringsfarve6 4 2 3" xfId="2173"/>
    <cellStyle name="20 % - Markeringsfarve6 4 2 3 2" xfId="7161"/>
    <cellStyle name="20 % - Markeringsfarve6 4 2 3 2 2" xfId="17968"/>
    <cellStyle name="20 % - Markeringsfarve6 4 2 3 2 3" xfId="29325"/>
    <cellStyle name="20 % - Markeringsfarve6 4 2 3 3" xfId="12983"/>
    <cellStyle name="20 % - Markeringsfarve6 4 2 3 4" xfId="24341"/>
    <cellStyle name="20 % - Markeringsfarve6 4 2 4" xfId="3837"/>
    <cellStyle name="20 % - Markeringsfarve6 4 2 4 2" xfId="8822"/>
    <cellStyle name="20 % - Markeringsfarve6 4 2 4 2 2" xfId="19629"/>
    <cellStyle name="20 % - Markeringsfarve6 4 2 4 2 3" xfId="30986"/>
    <cellStyle name="20 % - Markeringsfarve6 4 2 4 3" xfId="14644"/>
    <cellStyle name="20 % - Markeringsfarve6 4 2 4 4" xfId="26002"/>
    <cellStyle name="20 % - Markeringsfarve6 4 2 5" xfId="5499"/>
    <cellStyle name="20 % - Markeringsfarve6 4 2 5 2" xfId="16307"/>
    <cellStyle name="20 % - Markeringsfarve6 4 2 5 3" xfId="27664"/>
    <cellStyle name="20 % - Markeringsfarve6 4 2 6" xfId="10484"/>
    <cellStyle name="20 % - Markeringsfarve6 4 2 6 2" xfId="21291"/>
    <cellStyle name="20 % - Markeringsfarve6 4 2 6 3" xfId="32648"/>
    <cellStyle name="20 % - Markeringsfarve6 4 2 7" xfId="11318"/>
    <cellStyle name="20 % - Markeringsfarve6 4 2 8" xfId="22124"/>
    <cellStyle name="20 % - Markeringsfarve6 4 2 9" xfId="22678"/>
    <cellStyle name="20 % - Markeringsfarve6 4 3" xfId="779"/>
    <cellStyle name="20 % - Markeringsfarve6 4 3 2" xfId="1611"/>
    <cellStyle name="20 % - Markeringsfarve6 4 3 2 2" xfId="3276"/>
    <cellStyle name="20 % - Markeringsfarve6 4 3 2 2 2" xfId="8264"/>
    <cellStyle name="20 % - Markeringsfarve6 4 3 2 2 2 2" xfId="19071"/>
    <cellStyle name="20 % - Markeringsfarve6 4 3 2 2 2 3" xfId="30428"/>
    <cellStyle name="20 % - Markeringsfarve6 4 3 2 2 3" xfId="14086"/>
    <cellStyle name="20 % - Markeringsfarve6 4 3 2 2 4" xfId="25444"/>
    <cellStyle name="20 % - Markeringsfarve6 4 3 2 3" xfId="4940"/>
    <cellStyle name="20 % - Markeringsfarve6 4 3 2 3 2" xfId="9925"/>
    <cellStyle name="20 % - Markeringsfarve6 4 3 2 3 2 2" xfId="20732"/>
    <cellStyle name="20 % - Markeringsfarve6 4 3 2 3 2 3" xfId="32089"/>
    <cellStyle name="20 % - Markeringsfarve6 4 3 2 3 3" xfId="15747"/>
    <cellStyle name="20 % - Markeringsfarve6 4 3 2 3 4" xfId="27105"/>
    <cellStyle name="20 % - Markeringsfarve6 4 3 2 4" xfId="6602"/>
    <cellStyle name="20 % - Markeringsfarve6 4 3 2 4 2" xfId="17410"/>
    <cellStyle name="20 % - Markeringsfarve6 4 3 2 4 3" xfId="28767"/>
    <cellStyle name="20 % - Markeringsfarve6 4 3 2 5" xfId="12425"/>
    <cellStyle name="20 % - Markeringsfarve6 4 3 2 6" xfId="23783"/>
    <cellStyle name="20 % - Markeringsfarve6 4 3 3" xfId="2445"/>
    <cellStyle name="20 % - Markeringsfarve6 4 3 3 2" xfId="7433"/>
    <cellStyle name="20 % - Markeringsfarve6 4 3 3 2 2" xfId="18240"/>
    <cellStyle name="20 % - Markeringsfarve6 4 3 3 2 3" xfId="29597"/>
    <cellStyle name="20 % - Markeringsfarve6 4 3 3 3" xfId="13255"/>
    <cellStyle name="20 % - Markeringsfarve6 4 3 3 4" xfId="24613"/>
    <cellStyle name="20 % - Markeringsfarve6 4 3 4" xfId="4109"/>
    <cellStyle name="20 % - Markeringsfarve6 4 3 4 2" xfId="9094"/>
    <cellStyle name="20 % - Markeringsfarve6 4 3 4 2 2" xfId="19901"/>
    <cellStyle name="20 % - Markeringsfarve6 4 3 4 2 3" xfId="31258"/>
    <cellStyle name="20 % - Markeringsfarve6 4 3 4 3" xfId="14916"/>
    <cellStyle name="20 % - Markeringsfarve6 4 3 4 4" xfId="26274"/>
    <cellStyle name="20 % - Markeringsfarve6 4 3 5" xfId="5771"/>
    <cellStyle name="20 % - Markeringsfarve6 4 3 5 2" xfId="16579"/>
    <cellStyle name="20 % - Markeringsfarve6 4 3 5 3" xfId="27936"/>
    <cellStyle name="20 % - Markeringsfarve6 4 3 6" xfId="10758"/>
    <cellStyle name="20 % - Markeringsfarve6 4 3 6 2" xfId="21565"/>
    <cellStyle name="20 % - Markeringsfarve6 4 3 6 3" xfId="32922"/>
    <cellStyle name="20 % - Markeringsfarve6 4 3 7" xfId="11593"/>
    <cellStyle name="20 % - Markeringsfarve6 4 3 8" xfId="22952"/>
    <cellStyle name="20 % - Markeringsfarve6 4 4" xfId="1058"/>
    <cellStyle name="20 % - Markeringsfarve6 4 4 2" xfId="2723"/>
    <cellStyle name="20 % - Markeringsfarve6 4 4 2 2" xfId="7711"/>
    <cellStyle name="20 % - Markeringsfarve6 4 4 2 2 2" xfId="18518"/>
    <cellStyle name="20 % - Markeringsfarve6 4 4 2 2 3" xfId="29875"/>
    <cellStyle name="20 % - Markeringsfarve6 4 4 2 3" xfId="13533"/>
    <cellStyle name="20 % - Markeringsfarve6 4 4 2 4" xfId="24891"/>
    <cellStyle name="20 % - Markeringsfarve6 4 4 3" xfId="4387"/>
    <cellStyle name="20 % - Markeringsfarve6 4 4 3 2" xfId="9372"/>
    <cellStyle name="20 % - Markeringsfarve6 4 4 3 2 2" xfId="20179"/>
    <cellStyle name="20 % - Markeringsfarve6 4 4 3 2 3" xfId="31536"/>
    <cellStyle name="20 % - Markeringsfarve6 4 4 3 3" xfId="15194"/>
    <cellStyle name="20 % - Markeringsfarve6 4 4 3 4" xfId="26552"/>
    <cellStyle name="20 % - Markeringsfarve6 4 4 4" xfId="6049"/>
    <cellStyle name="20 % - Markeringsfarve6 4 4 4 2" xfId="16857"/>
    <cellStyle name="20 % - Markeringsfarve6 4 4 4 3" xfId="28214"/>
    <cellStyle name="20 % - Markeringsfarve6 4 4 5" xfId="11872"/>
    <cellStyle name="20 % - Markeringsfarve6 4 4 6" xfId="23230"/>
    <cellStyle name="20 % - Markeringsfarve6 4 5" xfId="1893"/>
    <cellStyle name="20 % - Markeringsfarve6 4 5 2" xfId="6881"/>
    <cellStyle name="20 % - Markeringsfarve6 4 5 2 2" xfId="17689"/>
    <cellStyle name="20 % - Markeringsfarve6 4 5 2 3" xfId="29046"/>
    <cellStyle name="20 % - Markeringsfarve6 4 5 3" xfId="12704"/>
    <cellStyle name="20 % - Markeringsfarve6 4 5 4" xfId="24062"/>
    <cellStyle name="20 % - Markeringsfarve6 4 6" xfId="3558"/>
    <cellStyle name="20 % - Markeringsfarve6 4 6 2" xfId="8543"/>
    <cellStyle name="20 % - Markeringsfarve6 4 6 2 2" xfId="19350"/>
    <cellStyle name="20 % - Markeringsfarve6 4 6 2 3" xfId="30707"/>
    <cellStyle name="20 % - Markeringsfarve6 4 6 3" xfId="14365"/>
    <cellStyle name="20 % - Markeringsfarve6 4 6 4" xfId="25723"/>
    <cellStyle name="20 % - Markeringsfarve6 4 7" xfId="5219"/>
    <cellStyle name="20 % - Markeringsfarve6 4 7 2" xfId="16028"/>
    <cellStyle name="20 % - Markeringsfarve6 4 7 3" xfId="27385"/>
    <cellStyle name="20 % - Markeringsfarve6 4 8" xfId="10204"/>
    <cellStyle name="20 % - Markeringsfarve6 4 8 2" xfId="21011"/>
    <cellStyle name="20 % - Markeringsfarve6 4 8 3" xfId="32368"/>
    <cellStyle name="20 % - Markeringsfarve6 4 9" xfId="11038"/>
    <cellStyle name="20 % - Markeringsfarve6 5" xfId="240"/>
    <cellStyle name="20 % - Markeringsfarve6 5 10" xfId="21898"/>
    <cellStyle name="20 % - Markeringsfarve6 5 11" xfId="22451"/>
    <cellStyle name="20 % - Markeringsfarve6 5 12" xfId="33254"/>
    <cellStyle name="20 % - Markeringsfarve6 5 13" xfId="33529"/>
    <cellStyle name="20 % - Markeringsfarve6 5 14" xfId="33800"/>
    <cellStyle name="20 % - Markeringsfarve6 5 2" xfId="558"/>
    <cellStyle name="20 % - Markeringsfarve6 5 2 2" xfId="1390"/>
    <cellStyle name="20 % - Markeringsfarve6 5 2 2 2" xfId="3055"/>
    <cellStyle name="20 % - Markeringsfarve6 5 2 2 2 2" xfId="8043"/>
    <cellStyle name="20 % - Markeringsfarve6 5 2 2 2 2 2" xfId="18850"/>
    <cellStyle name="20 % - Markeringsfarve6 5 2 2 2 2 3" xfId="30207"/>
    <cellStyle name="20 % - Markeringsfarve6 5 2 2 2 3" xfId="13865"/>
    <cellStyle name="20 % - Markeringsfarve6 5 2 2 2 4" xfId="25223"/>
    <cellStyle name="20 % - Markeringsfarve6 5 2 2 3" xfId="4719"/>
    <cellStyle name="20 % - Markeringsfarve6 5 2 2 3 2" xfId="9704"/>
    <cellStyle name="20 % - Markeringsfarve6 5 2 2 3 2 2" xfId="20511"/>
    <cellStyle name="20 % - Markeringsfarve6 5 2 2 3 2 3" xfId="31868"/>
    <cellStyle name="20 % - Markeringsfarve6 5 2 2 3 3" xfId="15526"/>
    <cellStyle name="20 % - Markeringsfarve6 5 2 2 3 4" xfId="26884"/>
    <cellStyle name="20 % - Markeringsfarve6 5 2 2 4" xfId="6381"/>
    <cellStyle name="20 % - Markeringsfarve6 5 2 2 4 2" xfId="17189"/>
    <cellStyle name="20 % - Markeringsfarve6 5 2 2 4 3" xfId="28546"/>
    <cellStyle name="20 % - Markeringsfarve6 5 2 2 5" xfId="12204"/>
    <cellStyle name="20 % - Markeringsfarve6 5 2 2 6" xfId="23562"/>
    <cellStyle name="20 % - Markeringsfarve6 5 2 3" xfId="2224"/>
    <cellStyle name="20 % - Markeringsfarve6 5 2 3 2" xfId="7212"/>
    <cellStyle name="20 % - Markeringsfarve6 5 2 3 2 2" xfId="18019"/>
    <cellStyle name="20 % - Markeringsfarve6 5 2 3 2 3" xfId="29376"/>
    <cellStyle name="20 % - Markeringsfarve6 5 2 3 3" xfId="13034"/>
    <cellStyle name="20 % - Markeringsfarve6 5 2 3 4" xfId="24392"/>
    <cellStyle name="20 % - Markeringsfarve6 5 2 4" xfId="3888"/>
    <cellStyle name="20 % - Markeringsfarve6 5 2 4 2" xfId="8873"/>
    <cellStyle name="20 % - Markeringsfarve6 5 2 4 2 2" xfId="19680"/>
    <cellStyle name="20 % - Markeringsfarve6 5 2 4 2 3" xfId="31037"/>
    <cellStyle name="20 % - Markeringsfarve6 5 2 4 3" xfId="14695"/>
    <cellStyle name="20 % - Markeringsfarve6 5 2 4 4" xfId="26053"/>
    <cellStyle name="20 % - Markeringsfarve6 5 2 5" xfId="5550"/>
    <cellStyle name="20 % - Markeringsfarve6 5 2 5 2" xfId="16358"/>
    <cellStyle name="20 % - Markeringsfarve6 5 2 5 3" xfId="27715"/>
    <cellStyle name="20 % - Markeringsfarve6 5 2 6" xfId="10537"/>
    <cellStyle name="20 % - Markeringsfarve6 5 2 6 2" xfId="21344"/>
    <cellStyle name="20 % - Markeringsfarve6 5 2 6 3" xfId="32701"/>
    <cellStyle name="20 % - Markeringsfarve6 5 2 7" xfId="11371"/>
    <cellStyle name="20 % - Markeringsfarve6 5 2 8" xfId="22177"/>
    <cellStyle name="20 % - Markeringsfarve6 5 2 9" xfId="22731"/>
    <cellStyle name="20 % - Markeringsfarve6 5 3" xfId="832"/>
    <cellStyle name="20 % - Markeringsfarve6 5 3 2" xfId="1664"/>
    <cellStyle name="20 % - Markeringsfarve6 5 3 2 2" xfId="3329"/>
    <cellStyle name="20 % - Markeringsfarve6 5 3 2 2 2" xfId="8317"/>
    <cellStyle name="20 % - Markeringsfarve6 5 3 2 2 2 2" xfId="19124"/>
    <cellStyle name="20 % - Markeringsfarve6 5 3 2 2 2 3" xfId="30481"/>
    <cellStyle name="20 % - Markeringsfarve6 5 3 2 2 3" xfId="14139"/>
    <cellStyle name="20 % - Markeringsfarve6 5 3 2 2 4" xfId="25497"/>
    <cellStyle name="20 % - Markeringsfarve6 5 3 2 3" xfId="4993"/>
    <cellStyle name="20 % - Markeringsfarve6 5 3 2 3 2" xfId="9978"/>
    <cellStyle name="20 % - Markeringsfarve6 5 3 2 3 2 2" xfId="20785"/>
    <cellStyle name="20 % - Markeringsfarve6 5 3 2 3 2 3" xfId="32142"/>
    <cellStyle name="20 % - Markeringsfarve6 5 3 2 3 3" xfId="15800"/>
    <cellStyle name="20 % - Markeringsfarve6 5 3 2 3 4" xfId="27158"/>
    <cellStyle name="20 % - Markeringsfarve6 5 3 2 4" xfId="6655"/>
    <cellStyle name="20 % - Markeringsfarve6 5 3 2 4 2" xfId="17463"/>
    <cellStyle name="20 % - Markeringsfarve6 5 3 2 4 3" xfId="28820"/>
    <cellStyle name="20 % - Markeringsfarve6 5 3 2 5" xfId="12478"/>
    <cellStyle name="20 % - Markeringsfarve6 5 3 2 6" xfId="23836"/>
    <cellStyle name="20 % - Markeringsfarve6 5 3 3" xfId="2498"/>
    <cellStyle name="20 % - Markeringsfarve6 5 3 3 2" xfId="7486"/>
    <cellStyle name="20 % - Markeringsfarve6 5 3 3 2 2" xfId="18293"/>
    <cellStyle name="20 % - Markeringsfarve6 5 3 3 2 3" xfId="29650"/>
    <cellStyle name="20 % - Markeringsfarve6 5 3 3 3" xfId="13308"/>
    <cellStyle name="20 % - Markeringsfarve6 5 3 3 4" xfId="24666"/>
    <cellStyle name="20 % - Markeringsfarve6 5 3 4" xfId="4162"/>
    <cellStyle name="20 % - Markeringsfarve6 5 3 4 2" xfId="9147"/>
    <cellStyle name="20 % - Markeringsfarve6 5 3 4 2 2" xfId="19954"/>
    <cellStyle name="20 % - Markeringsfarve6 5 3 4 2 3" xfId="31311"/>
    <cellStyle name="20 % - Markeringsfarve6 5 3 4 3" xfId="14969"/>
    <cellStyle name="20 % - Markeringsfarve6 5 3 4 4" xfId="26327"/>
    <cellStyle name="20 % - Markeringsfarve6 5 3 5" xfId="5824"/>
    <cellStyle name="20 % - Markeringsfarve6 5 3 5 2" xfId="16632"/>
    <cellStyle name="20 % - Markeringsfarve6 5 3 5 3" xfId="27989"/>
    <cellStyle name="20 % - Markeringsfarve6 5 3 6" xfId="10811"/>
    <cellStyle name="20 % - Markeringsfarve6 5 3 6 2" xfId="21618"/>
    <cellStyle name="20 % - Markeringsfarve6 5 3 6 3" xfId="32975"/>
    <cellStyle name="20 % - Markeringsfarve6 5 3 7" xfId="11646"/>
    <cellStyle name="20 % - Markeringsfarve6 5 3 8" xfId="23005"/>
    <cellStyle name="20 % - Markeringsfarve6 5 4" xfId="1111"/>
    <cellStyle name="20 % - Markeringsfarve6 5 4 2" xfId="2776"/>
    <cellStyle name="20 % - Markeringsfarve6 5 4 2 2" xfId="7764"/>
    <cellStyle name="20 % - Markeringsfarve6 5 4 2 2 2" xfId="18571"/>
    <cellStyle name="20 % - Markeringsfarve6 5 4 2 2 3" xfId="29928"/>
    <cellStyle name="20 % - Markeringsfarve6 5 4 2 3" xfId="13586"/>
    <cellStyle name="20 % - Markeringsfarve6 5 4 2 4" xfId="24944"/>
    <cellStyle name="20 % - Markeringsfarve6 5 4 3" xfId="4440"/>
    <cellStyle name="20 % - Markeringsfarve6 5 4 3 2" xfId="9425"/>
    <cellStyle name="20 % - Markeringsfarve6 5 4 3 2 2" xfId="20232"/>
    <cellStyle name="20 % - Markeringsfarve6 5 4 3 2 3" xfId="31589"/>
    <cellStyle name="20 % - Markeringsfarve6 5 4 3 3" xfId="15247"/>
    <cellStyle name="20 % - Markeringsfarve6 5 4 3 4" xfId="26605"/>
    <cellStyle name="20 % - Markeringsfarve6 5 4 4" xfId="6102"/>
    <cellStyle name="20 % - Markeringsfarve6 5 4 4 2" xfId="16910"/>
    <cellStyle name="20 % - Markeringsfarve6 5 4 4 3" xfId="28267"/>
    <cellStyle name="20 % - Markeringsfarve6 5 4 5" xfId="11925"/>
    <cellStyle name="20 % - Markeringsfarve6 5 4 6" xfId="23283"/>
    <cellStyle name="20 % - Markeringsfarve6 5 5" xfId="1946"/>
    <cellStyle name="20 % - Markeringsfarve6 5 5 2" xfId="6934"/>
    <cellStyle name="20 % - Markeringsfarve6 5 5 2 2" xfId="17742"/>
    <cellStyle name="20 % - Markeringsfarve6 5 5 2 3" xfId="29099"/>
    <cellStyle name="20 % - Markeringsfarve6 5 5 3" xfId="12757"/>
    <cellStyle name="20 % - Markeringsfarve6 5 5 4" xfId="24115"/>
    <cellStyle name="20 % - Markeringsfarve6 5 6" xfId="3611"/>
    <cellStyle name="20 % - Markeringsfarve6 5 6 2" xfId="8596"/>
    <cellStyle name="20 % - Markeringsfarve6 5 6 2 2" xfId="19403"/>
    <cellStyle name="20 % - Markeringsfarve6 5 6 2 3" xfId="30760"/>
    <cellStyle name="20 % - Markeringsfarve6 5 6 3" xfId="14418"/>
    <cellStyle name="20 % - Markeringsfarve6 5 6 4" xfId="25776"/>
    <cellStyle name="20 % - Markeringsfarve6 5 7" xfId="5272"/>
    <cellStyle name="20 % - Markeringsfarve6 5 7 2" xfId="16081"/>
    <cellStyle name="20 % - Markeringsfarve6 5 7 3" xfId="27438"/>
    <cellStyle name="20 % - Markeringsfarve6 5 8" xfId="10257"/>
    <cellStyle name="20 % - Markeringsfarve6 5 8 2" xfId="21064"/>
    <cellStyle name="20 % - Markeringsfarve6 5 8 3" xfId="32421"/>
    <cellStyle name="20 % - Markeringsfarve6 5 9" xfId="11091"/>
    <cellStyle name="20 % - Markeringsfarve6 6" xfId="296"/>
    <cellStyle name="20 % - Markeringsfarve6 6 10" xfId="21953"/>
    <cellStyle name="20 % - Markeringsfarve6 6 11" xfId="22506"/>
    <cellStyle name="20 % - Markeringsfarve6 6 12" xfId="33309"/>
    <cellStyle name="20 % - Markeringsfarve6 6 13" xfId="33584"/>
    <cellStyle name="20 % - Markeringsfarve6 6 14" xfId="33855"/>
    <cellStyle name="20 % - Markeringsfarve6 6 2" xfId="613"/>
    <cellStyle name="20 % - Markeringsfarve6 6 2 2" xfId="1445"/>
    <cellStyle name="20 % - Markeringsfarve6 6 2 2 2" xfId="3110"/>
    <cellStyle name="20 % - Markeringsfarve6 6 2 2 2 2" xfId="8098"/>
    <cellStyle name="20 % - Markeringsfarve6 6 2 2 2 2 2" xfId="18905"/>
    <cellStyle name="20 % - Markeringsfarve6 6 2 2 2 2 3" xfId="30262"/>
    <cellStyle name="20 % - Markeringsfarve6 6 2 2 2 3" xfId="13920"/>
    <cellStyle name="20 % - Markeringsfarve6 6 2 2 2 4" xfId="25278"/>
    <cellStyle name="20 % - Markeringsfarve6 6 2 2 3" xfId="4774"/>
    <cellStyle name="20 % - Markeringsfarve6 6 2 2 3 2" xfId="9759"/>
    <cellStyle name="20 % - Markeringsfarve6 6 2 2 3 2 2" xfId="20566"/>
    <cellStyle name="20 % - Markeringsfarve6 6 2 2 3 2 3" xfId="31923"/>
    <cellStyle name="20 % - Markeringsfarve6 6 2 2 3 3" xfId="15581"/>
    <cellStyle name="20 % - Markeringsfarve6 6 2 2 3 4" xfId="26939"/>
    <cellStyle name="20 % - Markeringsfarve6 6 2 2 4" xfId="6436"/>
    <cellStyle name="20 % - Markeringsfarve6 6 2 2 4 2" xfId="17244"/>
    <cellStyle name="20 % - Markeringsfarve6 6 2 2 4 3" xfId="28601"/>
    <cellStyle name="20 % - Markeringsfarve6 6 2 2 5" xfId="12259"/>
    <cellStyle name="20 % - Markeringsfarve6 6 2 2 6" xfId="23617"/>
    <cellStyle name="20 % - Markeringsfarve6 6 2 3" xfId="2279"/>
    <cellStyle name="20 % - Markeringsfarve6 6 2 3 2" xfId="7267"/>
    <cellStyle name="20 % - Markeringsfarve6 6 2 3 2 2" xfId="18074"/>
    <cellStyle name="20 % - Markeringsfarve6 6 2 3 2 3" xfId="29431"/>
    <cellStyle name="20 % - Markeringsfarve6 6 2 3 3" xfId="13089"/>
    <cellStyle name="20 % - Markeringsfarve6 6 2 3 4" xfId="24447"/>
    <cellStyle name="20 % - Markeringsfarve6 6 2 4" xfId="3943"/>
    <cellStyle name="20 % - Markeringsfarve6 6 2 4 2" xfId="8928"/>
    <cellStyle name="20 % - Markeringsfarve6 6 2 4 2 2" xfId="19735"/>
    <cellStyle name="20 % - Markeringsfarve6 6 2 4 2 3" xfId="31092"/>
    <cellStyle name="20 % - Markeringsfarve6 6 2 4 3" xfId="14750"/>
    <cellStyle name="20 % - Markeringsfarve6 6 2 4 4" xfId="26108"/>
    <cellStyle name="20 % - Markeringsfarve6 6 2 5" xfId="5605"/>
    <cellStyle name="20 % - Markeringsfarve6 6 2 5 2" xfId="16413"/>
    <cellStyle name="20 % - Markeringsfarve6 6 2 5 3" xfId="27770"/>
    <cellStyle name="20 % - Markeringsfarve6 6 2 6" xfId="10592"/>
    <cellStyle name="20 % - Markeringsfarve6 6 2 6 2" xfId="21399"/>
    <cellStyle name="20 % - Markeringsfarve6 6 2 6 3" xfId="32756"/>
    <cellStyle name="20 % - Markeringsfarve6 6 2 7" xfId="11426"/>
    <cellStyle name="20 % - Markeringsfarve6 6 2 8" xfId="22232"/>
    <cellStyle name="20 % - Markeringsfarve6 6 2 9" xfId="22786"/>
    <cellStyle name="20 % - Markeringsfarve6 6 3" xfId="887"/>
    <cellStyle name="20 % - Markeringsfarve6 6 3 2" xfId="1719"/>
    <cellStyle name="20 % - Markeringsfarve6 6 3 2 2" xfId="3384"/>
    <cellStyle name="20 % - Markeringsfarve6 6 3 2 2 2" xfId="8372"/>
    <cellStyle name="20 % - Markeringsfarve6 6 3 2 2 2 2" xfId="19179"/>
    <cellStyle name="20 % - Markeringsfarve6 6 3 2 2 2 3" xfId="30536"/>
    <cellStyle name="20 % - Markeringsfarve6 6 3 2 2 3" xfId="14194"/>
    <cellStyle name="20 % - Markeringsfarve6 6 3 2 2 4" xfId="25552"/>
    <cellStyle name="20 % - Markeringsfarve6 6 3 2 3" xfId="5048"/>
    <cellStyle name="20 % - Markeringsfarve6 6 3 2 3 2" xfId="10033"/>
    <cellStyle name="20 % - Markeringsfarve6 6 3 2 3 2 2" xfId="20840"/>
    <cellStyle name="20 % - Markeringsfarve6 6 3 2 3 2 3" xfId="32197"/>
    <cellStyle name="20 % - Markeringsfarve6 6 3 2 3 3" xfId="15855"/>
    <cellStyle name="20 % - Markeringsfarve6 6 3 2 3 4" xfId="27213"/>
    <cellStyle name="20 % - Markeringsfarve6 6 3 2 4" xfId="6710"/>
    <cellStyle name="20 % - Markeringsfarve6 6 3 2 4 2" xfId="17518"/>
    <cellStyle name="20 % - Markeringsfarve6 6 3 2 4 3" xfId="28875"/>
    <cellStyle name="20 % - Markeringsfarve6 6 3 2 5" xfId="12533"/>
    <cellStyle name="20 % - Markeringsfarve6 6 3 2 6" xfId="23891"/>
    <cellStyle name="20 % - Markeringsfarve6 6 3 3" xfId="2553"/>
    <cellStyle name="20 % - Markeringsfarve6 6 3 3 2" xfId="7541"/>
    <cellStyle name="20 % - Markeringsfarve6 6 3 3 2 2" xfId="18348"/>
    <cellStyle name="20 % - Markeringsfarve6 6 3 3 2 3" xfId="29705"/>
    <cellStyle name="20 % - Markeringsfarve6 6 3 3 3" xfId="13363"/>
    <cellStyle name="20 % - Markeringsfarve6 6 3 3 4" xfId="24721"/>
    <cellStyle name="20 % - Markeringsfarve6 6 3 4" xfId="4217"/>
    <cellStyle name="20 % - Markeringsfarve6 6 3 4 2" xfId="9202"/>
    <cellStyle name="20 % - Markeringsfarve6 6 3 4 2 2" xfId="20009"/>
    <cellStyle name="20 % - Markeringsfarve6 6 3 4 2 3" xfId="31366"/>
    <cellStyle name="20 % - Markeringsfarve6 6 3 4 3" xfId="15024"/>
    <cellStyle name="20 % - Markeringsfarve6 6 3 4 4" xfId="26382"/>
    <cellStyle name="20 % - Markeringsfarve6 6 3 5" xfId="5879"/>
    <cellStyle name="20 % - Markeringsfarve6 6 3 5 2" xfId="16687"/>
    <cellStyle name="20 % - Markeringsfarve6 6 3 5 3" xfId="28044"/>
    <cellStyle name="20 % - Markeringsfarve6 6 3 6" xfId="10866"/>
    <cellStyle name="20 % - Markeringsfarve6 6 3 6 2" xfId="21673"/>
    <cellStyle name="20 % - Markeringsfarve6 6 3 6 3" xfId="33030"/>
    <cellStyle name="20 % - Markeringsfarve6 6 3 7" xfId="11701"/>
    <cellStyle name="20 % - Markeringsfarve6 6 3 8" xfId="23060"/>
    <cellStyle name="20 % - Markeringsfarve6 6 4" xfId="1166"/>
    <cellStyle name="20 % - Markeringsfarve6 6 4 2" xfId="2831"/>
    <cellStyle name="20 % - Markeringsfarve6 6 4 2 2" xfId="7819"/>
    <cellStyle name="20 % - Markeringsfarve6 6 4 2 2 2" xfId="18626"/>
    <cellStyle name="20 % - Markeringsfarve6 6 4 2 2 3" xfId="29983"/>
    <cellStyle name="20 % - Markeringsfarve6 6 4 2 3" xfId="13641"/>
    <cellStyle name="20 % - Markeringsfarve6 6 4 2 4" xfId="24999"/>
    <cellStyle name="20 % - Markeringsfarve6 6 4 3" xfId="4495"/>
    <cellStyle name="20 % - Markeringsfarve6 6 4 3 2" xfId="9480"/>
    <cellStyle name="20 % - Markeringsfarve6 6 4 3 2 2" xfId="20287"/>
    <cellStyle name="20 % - Markeringsfarve6 6 4 3 2 3" xfId="31644"/>
    <cellStyle name="20 % - Markeringsfarve6 6 4 3 3" xfId="15302"/>
    <cellStyle name="20 % - Markeringsfarve6 6 4 3 4" xfId="26660"/>
    <cellStyle name="20 % - Markeringsfarve6 6 4 4" xfId="6157"/>
    <cellStyle name="20 % - Markeringsfarve6 6 4 4 2" xfId="16965"/>
    <cellStyle name="20 % - Markeringsfarve6 6 4 4 3" xfId="28322"/>
    <cellStyle name="20 % - Markeringsfarve6 6 4 5" xfId="11980"/>
    <cellStyle name="20 % - Markeringsfarve6 6 4 6" xfId="23338"/>
    <cellStyle name="20 % - Markeringsfarve6 6 5" xfId="2001"/>
    <cellStyle name="20 % - Markeringsfarve6 6 5 2" xfId="6989"/>
    <cellStyle name="20 % - Markeringsfarve6 6 5 2 2" xfId="17797"/>
    <cellStyle name="20 % - Markeringsfarve6 6 5 2 3" xfId="29154"/>
    <cellStyle name="20 % - Markeringsfarve6 6 5 3" xfId="12812"/>
    <cellStyle name="20 % - Markeringsfarve6 6 5 4" xfId="24170"/>
    <cellStyle name="20 % - Markeringsfarve6 6 6" xfId="3666"/>
    <cellStyle name="20 % - Markeringsfarve6 6 6 2" xfId="8651"/>
    <cellStyle name="20 % - Markeringsfarve6 6 6 2 2" xfId="19458"/>
    <cellStyle name="20 % - Markeringsfarve6 6 6 2 3" xfId="30815"/>
    <cellStyle name="20 % - Markeringsfarve6 6 6 3" xfId="14473"/>
    <cellStyle name="20 % - Markeringsfarve6 6 6 4" xfId="25831"/>
    <cellStyle name="20 % - Markeringsfarve6 6 7" xfId="5327"/>
    <cellStyle name="20 % - Markeringsfarve6 6 7 2" xfId="16136"/>
    <cellStyle name="20 % - Markeringsfarve6 6 7 3" xfId="27493"/>
    <cellStyle name="20 % - Markeringsfarve6 6 8" xfId="10312"/>
    <cellStyle name="20 % - Markeringsfarve6 6 8 2" xfId="21119"/>
    <cellStyle name="20 % - Markeringsfarve6 6 8 3" xfId="32476"/>
    <cellStyle name="20 % - Markeringsfarve6 6 9" xfId="11146"/>
    <cellStyle name="20 % - Markeringsfarve6 7" xfId="351"/>
    <cellStyle name="20 % - Markeringsfarve6 7 10" xfId="22008"/>
    <cellStyle name="20 % - Markeringsfarve6 7 11" xfId="22561"/>
    <cellStyle name="20 % - Markeringsfarve6 7 12" xfId="33364"/>
    <cellStyle name="20 % - Markeringsfarve6 7 13" xfId="33639"/>
    <cellStyle name="20 % - Markeringsfarve6 7 14" xfId="33910"/>
    <cellStyle name="20 % - Markeringsfarve6 7 2" xfId="668"/>
    <cellStyle name="20 % - Markeringsfarve6 7 2 2" xfId="1500"/>
    <cellStyle name="20 % - Markeringsfarve6 7 2 2 2" xfId="3165"/>
    <cellStyle name="20 % - Markeringsfarve6 7 2 2 2 2" xfId="8153"/>
    <cellStyle name="20 % - Markeringsfarve6 7 2 2 2 2 2" xfId="18960"/>
    <cellStyle name="20 % - Markeringsfarve6 7 2 2 2 2 3" xfId="30317"/>
    <cellStyle name="20 % - Markeringsfarve6 7 2 2 2 3" xfId="13975"/>
    <cellStyle name="20 % - Markeringsfarve6 7 2 2 2 4" xfId="25333"/>
    <cellStyle name="20 % - Markeringsfarve6 7 2 2 3" xfId="4829"/>
    <cellStyle name="20 % - Markeringsfarve6 7 2 2 3 2" xfId="9814"/>
    <cellStyle name="20 % - Markeringsfarve6 7 2 2 3 2 2" xfId="20621"/>
    <cellStyle name="20 % - Markeringsfarve6 7 2 2 3 2 3" xfId="31978"/>
    <cellStyle name="20 % - Markeringsfarve6 7 2 2 3 3" xfId="15636"/>
    <cellStyle name="20 % - Markeringsfarve6 7 2 2 3 4" xfId="26994"/>
    <cellStyle name="20 % - Markeringsfarve6 7 2 2 4" xfId="6491"/>
    <cellStyle name="20 % - Markeringsfarve6 7 2 2 4 2" xfId="17299"/>
    <cellStyle name="20 % - Markeringsfarve6 7 2 2 4 3" xfId="28656"/>
    <cellStyle name="20 % - Markeringsfarve6 7 2 2 5" xfId="12314"/>
    <cellStyle name="20 % - Markeringsfarve6 7 2 2 6" xfId="23672"/>
    <cellStyle name="20 % - Markeringsfarve6 7 2 3" xfId="2334"/>
    <cellStyle name="20 % - Markeringsfarve6 7 2 3 2" xfId="7322"/>
    <cellStyle name="20 % - Markeringsfarve6 7 2 3 2 2" xfId="18129"/>
    <cellStyle name="20 % - Markeringsfarve6 7 2 3 2 3" xfId="29486"/>
    <cellStyle name="20 % - Markeringsfarve6 7 2 3 3" xfId="13144"/>
    <cellStyle name="20 % - Markeringsfarve6 7 2 3 4" xfId="24502"/>
    <cellStyle name="20 % - Markeringsfarve6 7 2 4" xfId="3998"/>
    <cellStyle name="20 % - Markeringsfarve6 7 2 4 2" xfId="8983"/>
    <cellStyle name="20 % - Markeringsfarve6 7 2 4 2 2" xfId="19790"/>
    <cellStyle name="20 % - Markeringsfarve6 7 2 4 2 3" xfId="31147"/>
    <cellStyle name="20 % - Markeringsfarve6 7 2 4 3" xfId="14805"/>
    <cellStyle name="20 % - Markeringsfarve6 7 2 4 4" xfId="26163"/>
    <cellStyle name="20 % - Markeringsfarve6 7 2 5" xfId="5660"/>
    <cellStyle name="20 % - Markeringsfarve6 7 2 5 2" xfId="16468"/>
    <cellStyle name="20 % - Markeringsfarve6 7 2 5 3" xfId="27825"/>
    <cellStyle name="20 % - Markeringsfarve6 7 2 6" xfId="10647"/>
    <cellStyle name="20 % - Markeringsfarve6 7 2 6 2" xfId="21454"/>
    <cellStyle name="20 % - Markeringsfarve6 7 2 6 3" xfId="32811"/>
    <cellStyle name="20 % - Markeringsfarve6 7 2 7" xfId="11481"/>
    <cellStyle name="20 % - Markeringsfarve6 7 2 8" xfId="22287"/>
    <cellStyle name="20 % - Markeringsfarve6 7 2 9" xfId="22841"/>
    <cellStyle name="20 % - Markeringsfarve6 7 3" xfId="942"/>
    <cellStyle name="20 % - Markeringsfarve6 7 3 2" xfId="1774"/>
    <cellStyle name="20 % - Markeringsfarve6 7 3 2 2" xfId="3439"/>
    <cellStyle name="20 % - Markeringsfarve6 7 3 2 2 2" xfId="8427"/>
    <cellStyle name="20 % - Markeringsfarve6 7 3 2 2 2 2" xfId="19234"/>
    <cellStyle name="20 % - Markeringsfarve6 7 3 2 2 2 3" xfId="30591"/>
    <cellStyle name="20 % - Markeringsfarve6 7 3 2 2 3" xfId="14249"/>
    <cellStyle name="20 % - Markeringsfarve6 7 3 2 2 4" xfId="25607"/>
    <cellStyle name="20 % - Markeringsfarve6 7 3 2 3" xfId="5103"/>
    <cellStyle name="20 % - Markeringsfarve6 7 3 2 3 2" xfId="10088"/>
    <cellStyle name="20 % - Markeringsfarve6 7 3 2 3 2 2" xfId="20895"/>
    <cellStyle name="20 % - Markeringsfarve6 7 3 2 3 2 3" xfId="32252"/>
    <cellStyle name="20 % - Markeringsfarve6 7 3 2 3 3" xfId="15910"/>
    <cellStyle name="20 % - Markeringsfarve6 7 3 2 3 4" xfId="27268"/>
    <cellStyle name="20 % - Markeringsfarve6 7 3 2 4" xfId="6765"/>
    <cellStyle name="20 % - Markeringsfarve6 7 3 2 4 2" xfId="17573"/>
    <cellStyle name="20 % - Markeringsfarve6 7 3 2 4 3" xfId="28930"/>
    <cellStyle name="20 % - Markeringsfarve6 7 3 2 5" xfId="12588"/>
    <cellStyle name="20 % - Markeringsfarve6 7 3 2 6" xfId="23946"/>
    <cellStyle name="20 % - Markeringsfarve6 7 3 3" xfId="2608"/>
    <cellStyle name="20 % - Markeringsfarve6 7 3 3 2" xfId="7596"/>
    <cellStyle name="20 % - Markeringsfarve6 7 3 3 2 2" xfId="18403"/>
    <cellStyle name="20 % - Markeringsfarve6 7 3 3 2 3" xfId="29760"/>
    <cellStyle name="20 % - Markeringsfarve6 7 3 3 3" xfId="13418"/>
    <cellStyle name="20 % - Markeringsfarve6 7 3 3 4" xfId="24776"/>
    <cellStyle name="20 % - Markeringsfarve6 7 3 4" xfId="4272"/>
    <cellStyle name="20 % - Markeringsfarve6 7 3 4 2" xfId="9257"/>
    <cellStyle name="20 % - Markeringsfarve6 7 3 4 2 2" xfId="20064"/>
    <cellStyle name="20 % - Markeringsfarve6 7 3 4 2 3" xfId="31421"/>
    <cellStyle name="20 % - Markeringsfarve6 7 3 4 3" xfId="15079"/>
    <cellStyle name="20 % - Markeringsfarve6 7 3 4 4" xfId="26437"/>
    <cellStyle name="20 % - Markeringsfarve6 7 3 5" xfId="5934"/>
    <cellStyle name="20 % - Markeringsfarve6 7 3 5 2" xfId="16742"/>
    <cellStyle name="20 % - Markeringsfarve6 7 3 5 3" xfId="28099"/>
    <cellStyle name="20 % - Markeringsfarve6 7 3 6" xfId="10921"/>
    <cellStyle name="20 % - Markeringsfarve6 7 3 6 2" xfId="21728"/>
    <cellStyle name="20 % - Markeringsfarve6 7 3 6 3" xfId="33085"/>
    <cellStyle name="20 % - Markeringsfarve6 7 3 7" xfId="11756"/>
    <cellStyle name="20 % - Markeringsfarve6 7 3 8" xfId="23115"/>
    <cellStyle name="20 % - Markeringsfarve6 7 4" xfId="1221"/>
    <cellStyle name="20 % - Markeringsfarve6 7 4 2" xfId="2886"/>
    <cellStyle name="20 % - Markeringsfarve6 7 4 2 2" xfId="7874"/>
    <cellStyle name="20 % - Markeringsfarve6 7 4 2 2 2" xfId="18681"/>
    <cellStyle name="20 % - Markeringsfarve6 7 4 2 2 3" xfId="30038"/>
    <cellStyle name="20 % - Markeringsfarve6 7 4 2 3" xfId="13696"/>
    <cellStyle name="20 % - Markeringsfarve6 7 4 2 4" xfId="25054"/>
    <cellStyle name="20 % - Markeringsfarve6 7 4 3" xfId="4550"/>
    <cellStyle name="20 % - Markeringsfarve6 7 4 3 2" xfId="9535"/>
    <cellStyle name="20 % - Markeringsfarve6 7 4 3 2 2" xfId="20342"/>
    <cellStyle name="20 % - Markeringsfarve6 7 4 3 2 3" xfId="31699"/>
    <cellStyle name="20 % - Markeringsfarve6 7 4 3 3" xfId="15357"/>
    <cellStyle name="20 % - Markeringsfarve6 7 4 3 4" xfId="26715"/>
    <cellStyle name="20 % - Markeringsfarve6 7 4 4" xfId="6212"/>
    <cellStyle name="20 % - Markeringsfarve6 7 4 4 2" xfId="17020"/>
    <cellStyle name="20 % - Markeringsfarve6 7 4 4 3" xfId="28377"/>
    <cellStyle name="20 % - Markeringsfarve6 7 4 5" xfId="12035"/>
    <cellStyle name="20 % - Markeringsfarve6 7 4 6" xfId="23393"/>
    <cellStyle name="20 % - Markeringsfarve6 7 5" xfId="2056"/>
    <cellStyle name="20 % - Markeringsfarve6 7 5 2" xfId="7044"/>
    <cellStyle name="20 % - Markeringsfarve6 7 5 2 2" xfId="17852"/>
    <cellStyle name="20 % - Markeringsfarve6 7 5 2 3" xfId="29209"/>
    <cellStyle name="20 % - Markeringsfarve6 7 5 3" xfId="12867"/>
    <cellStyle name="20 % - Markeringsfarve6 7 5 4" xfId="24225"/>
    <cellStyle name="20 % - Markeringsfarve6 7 6" xfId="3721"/>
    <cellStyle name="20 % - Markeringsfarve6 7 6 2" xfId="8706"/>
    <cellStyle name="20 % - Markeringsfarve6 7 6 2 2" xfId="19513"/>
    <cellStyle name="20 % - Markeringsfarve6 7 6 2 3" xfId="30870"/>
    <cellStyle name="20 % - Markeringsfarve6 7 6 3" xfId="14528"/>
    <cellStyle name="20 % - Markeringsfarve6 7 6 4" xfId="25886"/>
    <cellStyle name="20 % - Markeringsfarve6 7 7" xfId="5382"/>
    <cellStyle name="20 % - Markeringsfarve6 7 7 2" xfId="16191"/>
    <cellStyle name="20 % - Markeringsfarve6 7 7 3" xfId="27548"/>
    <cellStyle name="20 % - Markeringsfarve6 7 8" xfId="10367"/>
    <cellStyle name="20 % - Markeringsfarve6 7 8 2" xfId="21174"/>
    <cellStyle name="20 % - Markeringsfarve6 7 8 3" xfId="32531"/>
    <cellStyle name="20 % - Markeringsfarve6 7 9" xfId="11201"/>
    <cellStyle name="20 % - Markeringsfarve6 8" xfId="452"/>
    <cellStyle name="20 % - Markeringsfarve6 8 2" xfId="1282"/>
    <cellStyle name="20 % - Markeringsfarve6 8 2 2" xfId="2947"/>
    <cellStyle name="20 % - Markeringsfarve6 8 2 2 2" xfId="7935"/>
    <cellStyle name="20 % - Markeringsfarve6 8 2 2 2 2" xfId="18742"/>
    <cellStyle name="20 % - Markeringsfarve6 8 2 2 2 3" xfId="30099"/>
    <cellStyle name="20 % - Markeringsfarve6 8 2 2 3" xfId="13757"/>
    <cellStyle name="20 % - Markeringsfarve6 8 2 2 4" xfId="25115"/>
    <cellStyle name="20 % - Markeringsfarve6 8 2 3" xfId="4611"/>
    <cellStyle name="20 % - Markeringsfarve6 8 2 3 2" xfId="9596"/>
    <cellStyle name="20 % - Markeringsfarve6 8 2 3 2 2" xfId="20403"/>
    <cellStyle name="20 % - Markeringsfarve6 8 2 3 2 3" xfId="31760"/>
    <cellStyle name="20 % - Markeringsfarve6 8 2 3 3" xfId="15418"/>
    <cellStyle name="20 % - Markeringsfarve6 8 2 3 4" xfId="26776"/>
    <cellStyle name="20 % - Markeringsfarve6 8 2 4" xfId="6273"/>
    <cellStyle name="20 % - Markeringsfarve6 8 2 4 2" xfId="17081"/>
    <cellStyle name="20 % - Markeringsfarve6 8 2 4 3" xfId="28438"/>
    <cellStyle name="20 % - Markeringsfarve6 8 2 5" xfId="12096"/>
    <cellStyle name="20 % - Markeringsfarve6 8 2 6" xfId="23454"/>
    <cellStyle name="20 % - Markeringsfarve6 8 3" xfId="2118"/>
    <cellStyle name="20 % - Markeringsfarve6 8 3 2" xfId="7106"/>
    <cellStyle name="20 % - Markeringsfarve6 8 3 2 2" xfId="17913"/>
    <cellStyle name="20 % - Markeringsfarve6 8 3 2 3" xfId="29270"/>
    <cellStyle name="20 % - Markeringsfarve6 8 3 3" xfId="12928"/>
    <cellStyle name="20 % - Markeringsfarve6 8 3 4" xfId="24286"/>
    <cellStyle name="20 % - Markeringsfarve6 8 4" xfId="3782"/>
    <cellStyle name="20 % - Markeringsfarve6 8 4 2" xfId="8767"/>
    <cellStyle name="20 % - Markeringsfarve6 8 4 2 2" xfId="19574"/>
    <cellStyle name="20 % - Markeringsfarve6 8 4 2 3" xfId="30931"/>
    <cellStyle name="20 % - Markeringsfarve6 8 4 3" xfId="14589"/>
    <cellStyle name="20 % - Markeringsfarve6 8 4 4" xfId="25947"/>
    <cellStyle name="20 % - Markeringsfarve6 8 5" xfId="5444"/>
    <cellStyle name="20 % - Markeringsfarve6 8 5 2" xfId="16252"/>
    <cellStyle name="20 % - Markeringsfarve6 8 5 3" xfId="27609"/>
    <cellStyle name="20 % - Markeringsfarve6 8 6" xfId="10452"/>
    <cellStyle name="20 % - Markeringsfarve6 8 6 2" xfId="21259"/>
    <cellStyle name="20 % - Markeringsfarve6 8 6 3" xfId="32616"/>
    <cellStyle name="20 % - Markeringsfarve6 8 7" xfId="11263"/>
    <cellStyle name="20 % - Markeringsfarve6 8 8" xfId="22069"/>
    <cellStyle name="20 % - Markeringsfarve6 8 9" xfId="22623"/>
    <cellStyle name="20 % - Markeringsfarve6 9" xfId="724"/>
    <cellStyle name="20 % - Markeringsfarve6 9 2" xfId="1556"/>
    <cellStyle name="20 % - Markeringsfarve6 9 2 2" xfId="3221"/>
    <cellStyle name="20 % - Markeringsfarve6 9 2 2 2" xfId="8209"/>
    <cellStyle name="20 % - Markeringsfarve6 9 2 2 2 2" xfId="19016"/>
    <cellStyle name="20 % - Markeringsfarve6 9 2 2 2 3" xfId="30373"/>
    <cellStyle name="20 % - Markeringsfarve6 9 2 2 3" xfId="14031"/>
    <cellStyle name="20 % - Markeringsfarve6 9 2 2 4" xfId="25389"/>
    <cellStyle name="20 % - Markeringsfarve6 9 2 3" xfId="4885"/>
    <cellStyle name="20 % - Markeringsfarve6 9 2 3 2" xfId="9870"/>
    <cellStyle name="20 % - Markeringsfarve6 9 2 3 2 2" xfId="20677"/>
    <cellStyle name="20 % - Markeringsfarve6 9 2 3 2 3" xfId="32034"/>
    <cellStyle name="20 % - Markeringsfarve6 9 2 3 3" xfId="15692"/>
    <cellStyle name="20 % - Markeringsfarve6 9 2 3 4" xfId="27050"/>
    <cellStyle name="20 % - Markeringsfarve6 9 2 4" xfId="6547"/>
    <cellStyle name="20 % - Markeringsfarve6 9 2 4 2" xfId="17355"/>
    <cellStyle name="20 % - Markeringsfarve6 9 2 4 3" xfId="28712"/>
    <cellStyle name="20 % - Markeringsfarve6 9 2 5" xfId="12370"/>
    <cellStyle name="20 % - Markeringsfarve6 9 2 6" xfId="23728"/>
    <cellStyle name="20 % - Markeringsfarve6 9 3" xfId="2390"/>
    <cellStyle name="20 % - Markeringsfarve6 9 3 2" xfId="7378"/>
    <cellStyle name="20 % - Markeringsfarve6 9 3 2 2" xfId="18185"/>
    <cellStyle name="20 % - Markeringsfarve6 9 3 2 3" xfId="29542"/>
    <cellStyle name="20 % - Markeringsfarve6 9 3 3" xfId="13200"/>
    <cellStyle name="20 % - Markeringsfarve6 9 3 4" xfId="24558"/>
    <cellStyle name="20 % - Markeringsfarve6 9 4" xfId="4054"/>
    <cellStyle name="20 % - Markeringsfarve6 9 4 2" xfId="9039"/>
    <cellStyle name="20 % - Markeringsfarve6 9 4 2 2" xfId="19846"/>
    <cellStyle name="20 % - Markeringsfarve6 9 4 2 3" xfId="31203"/>
    <cellStyle name="20 % - Markeringsfarve6 9 4 3" xfId="14861"/>
    <cellStyle name="20 % - Markeringsfarve6 9 4 4" xfId="26219"/>
    <cellStyle name="20 % - Markeringsfarve6 9 5" xfId="5716"/>
    <cellStyle name="20 % - Markeringsfarve6 9 5 2" xfId="16524"/>
    <cellStyle name="20 % - Markeringsfarve6 9 5 3" xfId="27881"/>
    <cellStyle name="20 % - Markeringsfarve6 9 6" xfId="10703"/>
    <cellStyle name="20 % - Markeringsfarve6 9 6 2" xfId="21510"/>
    <cellStyle name="20 % - Markeringsfarve6 9 6 3" xfId="32867"/>
    <cellStyle name="20 % - Markeringsfarve6 9 7" xfId="11538"/>
    <cellStyle name="20 % - Markeringsfarve6 9 8" xfId="22897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40 % - Markeringsfarve1" xfId="22" builtinId="31" customBuiltin="1"/>
    <cellStyle name="40 % - Markeringsfarve1 10" xfId="994"/>
    <cellStyle name="40 % - Markeringsfarve1 10 2" xfId="2659"/>
    <cellStyle name="40 % - Markeringsfarve1 10 2 2" xfId="7647"/>
    <cellStyle name="40 % - Markeringsfarve1 10 2 2 2" xfId="18454"/>
    <cellStyle name="40 % - Markeringsfarve1 10 2 2 3" xfId="29811"/>
    <cellStyle name="40 % - Markeringsfarve1 10 2 3" xfId="13469"/>
    <cellStyle name="40 % - Markeringsfarve1 10 2 4" xfId="24827"/>
    <cellStyle name="40 % - Markeringsfarve1 10 3" xfId="4323"/>
    <cellStyle name="40 % - Markeringsfarve1 10 3 2" xfId="9308"/>
    <cellStyle name="40 % - Markeringsfarve1 10 3 2 2" xfId="20115"/>
    <cellStyle name="40 % - Markeringsfarve1 10 3 2 3" xfId="31472"/>
    <cellStyle name="40 % - Markeringsfarve1 10 3 3" xfId="15130"/>
    <cellStyle name="40 % - Markeringsfarve1 10 3 4" xfId="26488"/>
    <cellStyle name="40 % - Markeringsfarve1 10 4" xfId="5985"/>
    <cellStyle name="40 % - Markeringsfarve1 10 4 2" xfId="16793"/>
    <cellStyle name="40 % - Markeringsfarve1 10 4 3" xfId="28150"/>
    <cellStyle name="40 % - Markeringsfarve1 10 5" xfId="11808"/>
    <cellStyle name="40 % - Markeringsfarve1 10 6" xfId="23166"/>
    <cellStyle name="40 % - Markeringsfarve1 11" xfId="1829"/>
    <cellStyle name="40 % - Markeringsfarve1 11 2" xfId="6817"/>
    <cellStyle name="40 % - Markeringsfarve1 11 2 2" xfId="17625"/>
    <cellStyle name="40 % - Markeringsfarve1 11 2 3" xfId="28982"/>
    <cellStyle name="40 % - Markeringsfarve1 11 3" xfId="12640"/>
    <cellStyle name="40 % - Markeringsfarve1 11 4" xfId="23998"/>
    <cellStyle name="40 % - Markeringsfarve1 12" xfId="3494"/>
    <cellStyle name="40 % - Markeringsfarve1 12 2" xfId="8479"/>
    <cellStyle name="40 % - Markeringsfarve1 12 2 2" xfId="19286"/>
    <cellStyle name="40 % - Markeringsfarve1 12 2 3" xfId="30643"/>
    <cellStyle name="40 % - Markeringsfarve1 12 3" xfId="14301"/>
    <cellStyle name="40 % - Markeringsfarve1 12 4" xfId="25659"/>
    <cellStyle name="40 % - Markeringsfarve1 13" xfId="5155"/>
    <cellStyle name="40 % - Markeringsfarve1 13 2" xfId="15964"/>
    <cellStyle name="40 % - Markeringsfarve1 13 3" xfId="27321"/>
    <cellStyle name="40 % - Markeringsfarve1 14" xfId="10140"/>
    <cellStyle name="40 % - Markeringsfarve1 14 2" xfId="20947"/>
    <cellStyle name="40 % - Markeringsfarve1 14 3" xfId="32304"/>
    <cellStyle name="40 % - Markeringsfarve1 15" xfId="10974"/>
    <cellStyle name="40 % - Markeringsfarve1 16" xfId="21781"/>
    <cellStyle name="40 % - Markeringsfarve1 17" xfId="22334"/>
    <cellStyle name="40 % - Markeringsfarve1 18" xfId="33137"/>
    <cellStyle name="40 % - Markeringsfarve1 19" xfId="33416"/>
    <cellStyle name="40 % - Markeringsfarve1 2" xfId="71"/>
    <cellStyle name="40 % - Markeringsfarve1 2 10" xfId="3518"/>
    <cellStyle name="40 % - Markeringsfarve1 2 10 2" xfId="8503"/>
    <cellStyle name="40 % - Markeringsfarve1 2 10 2 2" xfId="19310"/>
    <cellStyle name="40 % - Markeringsfarve1 2 10 2 3" xfId="30667"/>
    <cellStyle name="40 % - Markeringsfarve1 2 10 3" xfId="14325"/>
    <cellStyle name="40 % - Markeringsfarve1 2 10 4" xfId="25683"/>
    <cellStyle name="40 % - Markeringsfarve1 2 11" xfId="5179"/>
    <cellStyle name="40 % - Markeringsfarve1 2 11 2" xfId="15988"/>
    <cellStyle name="40 % - Markeringsfarve1 2 11 3" xfId="27345"/>
    <cellStyle name="40 % - Markeringsfarve1 2 12" xfId="10163"/>
    <cellStyle name="40 % - Markeringsfarve1 2 12 2" xfId="20970"/>
    <cellStyle name="40 % - Markeringsfarve1 2 12 3" xfId="32327"/>
    <cellStyle name="40 % - Markeringsfarve1 2 13" xfId="10997"/>
    <cellStyle name="40 % - Markeringsfarve1 2 14" xfId="21804"/>
    <cellStyle name="40 % - Markeringsfarve1 2 15" xfId="22357"/>
    <cellStyle name="40 % - Markeringsfarve1 2 16" xfId="33160"/>
    <cellStyle name="40 % - Markeringsfarve1 2 17" xfId="33429"/>
    <cellStyle name="40 % - Markeringsfarve1 2 18" xfId="33700"/>
    <cellStyle name="40 % - Markeringsfarve1 2 2" xfId="200"/>
    <cellStyle name="40 % - Markeringsfarve1 2 2 10" xfId="21858"/>
    <cellStyle name="40 % - Markeringsfarve1 2 2 11" xfId="22411"/>
    <cellStyle name="40 % - Markeringsfarve1 2 2 12" xfId="33214"/>
    <cellStyle name="40 % - Markeringsfarve1 2 2 13" xfId="33489"/>
    <cellStyle name="40 % - Markeringsfarve1 2 2 14" xfId="33760"/>
    <cellStyle name="40 % - Markeringsfarve1 2 2 2" xfId="518"/>
    <cellStyle name="40 % - Markeringsfarve1 2 2 2 2" xfId="1350"/>
    <cellStyle name="40 % - Markeringsfarve1 2 2 2 2 2" xfId="3015"/>
    <cellStyle name="40 % - Markeringsfarve1 2 2 2 2 2 2" xfId="8003"/>
    <cellStyle name="40 % - Markeringsfarve1 2 2 2 2 2 2 2" xfId="18810"/>
    <cellStyle name="40 % - Markeringsfarve1 2 2 2 2 2 2 3" xfId="30167"/>
    <cellStyle name="40 % - Markeringsfarve1 2 2 2 2 2 3" xfId="13825"/>
    <cellStyle name="40 % - Markeringsfarve1 2 2 2 2 2 4" xfId="25183"/>
    <cellStyle name="40 % - Markeringsfarve1 2 2 2 2 3" xfId="4679"/>
    <cellStyle name="40 % - Markeringsfarve1 2 2 2 2 3 2" xfId="9664"/>
    <cellStyle name="40 % - Markeringsfarve1 2 2 2 2 3 2 2" xfId="20471"/>
    <cellStyle name="40 % - Markeringsfarve1 2 2 2 2 3 2 3" xfId="31828"/>
    <cellStyle name="40 % - Markeringsfarve1 2 2 2 2 3 3" xfId="15486"/>
    <cellStyle name="40 % - Markeringsfarve1 2 2 2 2 3 4" xfId="26844"/>
    <cellStyle name="40 % - Markeringsfarve1 2 2 2 2 4" xfId="6341"/>
    <cellStyle name="40 % - Markeringsfarve1 2 2 2 2 4 2" xfId="17149"/>
    <cellStyle name="40 % - Markeringsfarve1 2 2 2 2 4 3" xfId="28506"/>
    <cellStyle name="40 % - Markeringsfarve1 2 2 2 2 5" xfId="12164"/>
    <cellStyle name="40 % - Markeringsfarve1 2 2 2 2 6" xfId="23522"/>
    <cellStyle name="40 % - Markeringsfarve1 2 2 2 3" xfId="2184"/>
    <cellStyle name="40 % - Markeringsfarve1 2 2 2 3 2" xfId="7172"/>
    <cellStyle name="40 % - Markeringsfarve1 2 2 2 3 2 2" xfId="17979"/>
    <cellStyle name="40 % - Markeringsfarve1 2 2 2 3 2 3" xfId="29336"/>
    <cellStyle name="40 % - Markeringsfarve1 2 2 2 3 3" xfId="12994"/>
    <cellStyle name="40 % - Markeringsfarve1 2 2 2 3 4" xfId="24352"/>
    <cellStyle name="40 % - Markeringsfarve1 2 2 2 4" xfId="3848"/>
    <cellStyle name="40 % - Markeringsfarve1 2 2 2 4 2" xfId="8833"/>
    <cellStyle name="40 % - Markeringsfarve1 2 2 2 4 2 2" xfId="19640"/>
    <cellStyle name="40 % - Markeringsfarve1 2 2 2 4 2 3" xfId="30997"/>
    <cellStyle name="40 % - Markeringsfarve1 2 2 2 4 3" xfId="14655"/>
    <cellStyle name="40 % - Markeringsfarve1 2 2 2 4 4" xfId="26013"/>
    <cellStyle name="40 % - Markeringsfarve1 2 2 2 5" xfId="5510"/>
    <cellStyle name="40 % - Markeringsfarve1 2 2 2 5 2" xfId="16318"/>
    <cellStyle name="40 % - Markeringsfarve1 2 2 2 5 3" xfId="27675"/>
    <cellStyle name="40 % - Markeringsfarve1 2 2 2 6" xfId="10497"/>
    <cellStyle name="40 % - Markeringsfarve1 2 2 2 6 2" xfId="21304"/>
    <cellStyle name="40 % - Markeringsfarve1 2 2 2 6 3" xfId="32661"/>
    <cellStyle name="40 % - Markeringsfarve1 2 2 2 7" xfId="11331"/>
    <cellStyle name="40 % - Markeringsfarve1 2 2 2 8" xfId="22137"/>
    <cellStyle name="40 % - Markeringsfarve1 2 2 2 9" xfId="22691"/>
    <cellStyle name="40 % - Markeringsfarve1 2 2 3" xfId="792"/>
    <cellStyle name="40 % - Markeringsfarve1 2 2 3 2" xfId="1624"/>
    <cellStyle name="40 % - Markeringsfarve1 2 2 3 2 2" xfId="3289"/>
    <cellStyle name="40 % - Markeringsfarve1 2 2 3 2 2 2" xfId="8277"/>
    <cellStyle name="40 % - Markeringsfarve1 2 2 3 2 2 2 2" xfId="19084"/>
    <cellStyle name="40 % - Markeringsfarve1 2 2 3 2 2 2 3" xfId="30441"/>
    <cellStyle name="40 % - Markeringsfarve1 2 2 3 2 2 3" xfId="14099"/>
    <cellStyle name="40 % - Markeringsfarve1 2 2 3 2 2 4" xfId="25457"/>
    <cellStyle name="40 % - Markeringsfarve1 2 2 3 2 3" xfId="4953"/>
    <cellStyle name="40 % - Markeringsfarve1 2 2 3 2 3 2" xfId="9938"/>
    <cellStyle name="40 % - Markeringsfarve1 2 2 3 2 3 2 2" xfId="20745"/>
    <cellStyle name="40 % - Markeringsfarve1 2 2 3 2 3 2 3" xfId="32102"/>
    <cellStyle name="40 % - Markeringsfarve1 2 2 3 2 3 3" xfId="15760"/>
    <cellStyle name="40 % - Markeringsfarve1 2 2 3 2 3 4" xfId="27118"/>
    <cellStyle name="40 % - Markeringsfarve1 2 2 3 2 4" xfId="6615"/>
    <cellStyle name="40 % - Markeringsfarve1 2 2 3 2 4 2" xfId="17423"/>
    <cellStyle name="40 % - Markeringsfarve1 2 2 3 2 4 3" xfId="28780"/>
    <cellStyle name="40 % - Markeringsfarve1 2 2 3 2 5" xfId="12438"/>
    <cellStyle name="40 % - Markeringsfarve1 2 2 3 2 6" xfId="23796"/>
    <cellStyle name="40 % - Markeringsfarve1 2 2 3 3" xfId="2458"/>
    <cellStyle name="40 % - Markeringsfarve1 2 2 3 3 2" xfId="7446"/>
    <cellStyle name="40 % - Markeringsfarve1 2 2 3 3 2 2" xfId="18253"/>
    <cellStyle name="40 % - Markeringsfarve1 2 2 3 3 2 3" xfId="29610"/>
    <cellStyle name="40 % - Markeringsfarve1 2 2 3 3 3" xfId="13268"/>
    <cellStyle name="40 % - Markeringsfarve1 2 2 3 3 4" xfId="24626"/>
    <cellStyle name="40 % - Markeringsfarve1 2 2 3 4" xfId="4122"/>
    <cellStyle name="40 % - Markeringsfarve1 2 2 3 4 2" xfId="9107"/>
    <cellStyle name="40 % - Markeringsfarve1 2 2 3 4 2 2" xfId="19914"/>
    <cellStyle name="40 % - Markeringsfarve1 2 2 3 4 2 3" xfId="31271"/>
    <cellStyle name="40 % - Markeringsfarve1 2 2 3 4 3" xfId="14929"/>
    <cellStyle name="40 % - Markeringsfarve1 2 2 3 4 4" xfId="26287"/>
    <cellStyle name="40 % - Markeringsfarve1 2 2 3 5" xfId="5784"/>
    <cellStyle name="40 % - Markeringsfarve1 2 2 3 5 2" xfId="16592"/>
    <cellStyle name="40 % - Markeringsfarve1 2 2 3 5 3" xfId="27949"/>
    <cellStyle name="40 % - Markeringsfarve1 2 2 3 6" xfId="10771"/>
    <cellStyle name="40 % - Markeringsfarve1 2 2 3 6 2" xfId="21578"/>
    <cellStyle name="40 % - Markeringsfarve1 2 2 3 6 3" xfId="32935"/>
    <cellStyle name="40 % - Markeringsfarve1 2 2 3 7" xfId="11606"/>
    <cellStyle name="40 % - Markeringsfarve1 2 2 3 8" xfId="22965"/>
    <cellStyle name="40 % - Markeringsfarve1 2 2 4" xfId="1071"/>
    <cellStyle name="40 % - Markeringsfarve1 2 2 4 2" xfId="2736"/>
    <cellStyle name="40 % - Markeringsfarve1 2 2 4 2 2" xfId="7724"/>
    <cellStyle name="40 % - Markeringsfarve1 2 2 4 2 2 2" xfId="18531"/>
    <cellStyle name="40 % - Markeringsfarve1 2 2 4 2 2 3" xfId="29888"/>
    <cellStyle name="40 % - Markeringsfarve1 2 2 4 2 3" xfId="13546"/>
    <cellStyle name="40 % - Markeringsfarve1 2 2 4 2 4" xfId="24904"/>
    <cellStyle name="40 % - Markeringsfarve1 2 2 4 3" xfId="4400"/>
    <cellStyle name="40 % - Markeringsfarve1 2 2 4 3 2" xfId="9385"/>
    <cellStyle name="40 % - Markeringsfarve1 2 2 4 3 2 2" xfId="20192"/>
    <cellStyle name="40 % - Markeringsfarve1 2 2 4 3 2 3" xfId="31549"/>
    <cellStyle name="40 % - Markeringsfarve1 2 2 4 3 3" xfId="15207"/>
    <cellStyle name="40 % - Markeringsfarve1 2 2 4 3 4" xfId="26565"/>
    <cellStyle name="40 % - Markeringsfarve1 2 2 4 4" xfId="6062"/>
    <cellStyle name="40 % - Markeringsfarve1 2 2 4 4 2" xfId="16870"/>
    <cellStyle name="40 % - Markeringsfarve1 2 2 4 4 3" xfId="28227"/>
    <cellStyle name="40 % - Markeringsfarve1 2 2 4 5" xfId="11885"/>
    <cellStyle name="40 % - Markeringsfarve1 2 2 4 6" xfId="23243"/>
    <cellStyle name="40 % - Markeringsfarve1 2 2 5" xfId="1906"/>
    <cellStyle name="40 % - Markeringsfarve1 2 2 5 2" xfId="6894"/>
    <cellStyle name="40 % - Markeringsfarve1 2 2 5 2 2" xfId="17702"/>
    <cellStyle name="40 % - Markeringsfarve1 2 2 5 2 3" xfId="29059"/>
    <cellStyle name="40 % - Markeringsfarve1 2 2 5 3" xfId="12717"/>
    <cellStyle name="40 % - Markeringsfarve1 2 2 5 4" xfId="24075"/>
    <cellStyle name="40 % - Markeringsfarve1 2 2 6" xfId="3571"/>
    <cellStyle name="40 % - Markeringsfarve1 2 2 6 2" xfId="8556"/>
    <cellStyle name="40 % - Markeringsfarve1 2 2 6 2 2" xfId="19363"/>
    <cellStyle name="40 % - Markeringsfarve1 2 2 6 2 3" xfId="30720"/>
    <cellStyle name="40 % - Markeringsfarve1 2 2 6 3" xfId="14378"/>
    <cellStyle name="40 % - Markeringsfarve1 2 2 6 4" xfId="25736"/>
    <cellStyle name="40 % - Markeringsfarve1 2 2 7" xfId="5232"/>
    <cellStyle name="40 % - Markeringsfarve1 2 2 7 2" xfId="16041"/>
    <cellStyle name="40 % - Markeringsfarve1 2 2 7 3" xfId="27398"/>
    <cellStyle name="40 % - Markeringsfarve1 2 2 8" xfId="10217"/>
    <cellStyle name="40 % - Markeringsfarve1 2 2 8 2" xfId="21024"/>
    <cellStyle name="40 % - Markeringsfarve1 2 2 8 3" xfId="32381"/>
    <cellStyle name="40 % - Markeringsfarve1 2 2 9" xfId="11051"/>
    <cellStyle name="40 % - Markeringsfarve1 2 3" xfId="255"/>
    <cellStyle name="40 % - Markeringsfarve1 2 3 10" xfId="21912"/>
    <cellStyle name="40 % - Markeringsfarve1 2 3 11" xfId="22465"/>
    <cellStyle name="40 % - Markeringsfarve1 2 3 12" xfId="33268"/>
    <cellStyle name="40 % - Markeringsfarve1 2 3 13" xfId="33543"/>
    <cellStyle name="40 % - Markeringsfarve1 2 3 14" xfId="33814"/>
    <cellStyle name="40 % - Markeringsfarve1 2 3 2" xfId="572"/>
    <cellStyle name="40 % - Markeringsfarve1 2 3 2 2" xfId="1404"/>
    <cellStyle name="40 % - Markeringsfarve1 2 3 2 2 2" xfId="3069"/>
    <cellStyle name="40 % - Markeringsfarve1 2 3 2 2 2 2" xfId="8057"/>
    <cellStyle name="40 % - Markeringsfarve1 2 3 2 2 2 2 2" xfId="18864"/>
    <cellStyle name="40 % - Markeringsfarve1 2 3 2 2 2 2 3" xfId="30221"/>
    <cellStyle name="40 % - Markeringsfarve1 2 3 2 2 2 3" xfId="13879"/>
    <cellStyle name="40 % - Markeringsfarve1 2 3 2 2 2 4" xfId="25237"/>
    <cellStyle name="40 % - Markeringsfarve1 2 3 2 2 3" xfId="4733"/>
    <cellStyle name="40 % - Markeringsfarve1 2 3 2 2 3 2" xfId="9718"/>
    <cellStyle name="40 % - Markeringsfarve1 2 3 2 2 3 2 2" xfId="20525"/>
    <cellStyle name="40 % - Markeringsfarve1 2 3 2 2 3 2 3" xfId="31882"/>
    <cellStyle name="40 % - Markeringsfarve1 2 3 2 2 3 3" xfId="15540"/>
    <cellStyle name="40 % - Markeringsfarve1 2 3 2 2 3 4" xfId="26898"/>
    <cellStyle name="40 % - Markeringsfarve1 2 3 2 2 4" xfId="6395"/>
    <cellStyle name="40 % - Markeringsfarve1 2 3 2 2 4 2" xfId="17203"/>
    <cellStyle name="40 % - Markeringsfarve1 2 3 2 2 4 3" xfId="28560"/>
    <cellStyle name="40 % - Markeringsfarve1 2 3 2 2 5" xfId="12218"/>
    <cellStyle name="40 % - Markeringsfarve1 2 3 2 2 6" xfId="23576"/>
    <cellStyle name="40 % - Markeringsfarve1 2 3 2 3" xfId="2238"/>
    <cellStyle name="40 % - Markeringsfarve1 2 3 2 3 2" xfId="7226"/>
    <cellStyle name="40 % - Markeringsfarve1 2 3 2 3 2 2" xfId="18033"/>
    <cellStyle name="40 % - Markeringsfarve1 2 3 2 3 2 3" xfId="29390"/>
    <cellStyle name="40 % - Markeringsfarve1 2 3 2 3 3" xfId="13048"/>
    <cellStyle name="40 % - Markeringsfarve1 2 3 2 3 4" xfId="24406"/>
    <cellStyle name="40 % - Markeringsfarve1 2 3 2 4" xfId="3902"/>
    <cellStyle name="40 % - Markeringsfarve1 2 3 2 4 2" xfId="8887"/>
    <cellStyle name="40 % - Markeringsfarve1 2 3 2 4 2 2" xfId="19694"/>
    <cellStyle name="40 % - Markeringsfarve1 2 3 2 4 2 3" xfId="31051"/>
    <cellStyle name="40 % - Markeringsfarve1 2 3 2 4 3" xfId="14709"/>
    <cellStyle name="40 % - Markeringsfarve1 2 3 2 4 4" xfId="26067"/>
    <cellStyle name="40 % - Markeringsfarve1 2 3 2 5" xfId="5564"/>
    <cellStyle name="40 % - Markeringsfarve1 2 3 2 5 2" xfId="16372"/>
    <cellStyle name="40 % - Markeringsfarve1 2 3 2 5 3" xfId="27729"/>
    <cellStyle name="40 % - Markeringsfarve1 2 3 2 6" xfId="10551"/>
    <cellStyle name="40 % - Markeringsfarve1 2 3 2 6 2" xfId="21358"/>
    <cellStyle name="40 % - Markeringsfarve1 2 3 2 6 3" xfId="32715"/>
    <cellStyle name="40 % - Markeringsfarve1 2 3 2 7" xfId="11385"/>
    <cellStyle name="40 % - Markeringsfarve1 2 3 2 8" xfId="22191"/>
    <cellStyle name="40 % - Markeringsfarve1 2 3 2 9" xfId="22745"/>
    <cellStyle name="40 % - Markeringsfarve1 2 3 3" xfId="846"/>
    <cellStyle name="40 % - Markeringsfarve1 2 3 3 2" xfId="1678"/>
    <cellStyle name="40 % - Markeringsfarve1 2 3 3 2 2" xfId="3343"/>
    <cellStyle name="40 % - Markeringsfarve1 2 3 3 2 2 2" xfId="8331"/>
    <cellStyle name="40 % - Markeringsfarve1 2 3 3 2 2 2 2" xfId="19138"/>
    <cellStyle name="40 % - Markeringsfarve1 2 3 3 2 2 2 3" xfId="30495"/>
    <cellStyle name="40 % - Markeringsfarve1 2 3 3 2 2 3" xfId="14153"/>
    <cellStyle name="40 % - Markeringsfarve1 2 3 3 2 2 4" xfId="25511"/>
    <cellStyle name="40 % - Markeringsfarve1 2 3 3 2 3" xfId="5007"/>
    <cellStyle name="40 % - Markeringsfarve1 2 3 3 2 3 2" xfId="9992"/>
    <cellStyle name="40 % - Markeringsfarve1 2 3 3 2 3 2 2" xfId="20799"/>
    <cellStyle name="40 % - Markeringsfarve1 2 3 3 2 3 2 3" xfId="32156"/>
    <cellStyle name="40 % - Markeringsfarve1 2 3 3 2 3 3" xfId="15814"/>
    <cellStyle name="40 % - Markeringsfarve1 2 3 3 2 3 4" xfId="27172"/>
    <cellStyle name="40 % - Markeringsfarve1 2 3 3 2 4" xfId="6669"/>
    <cellStyle name="40 % - Markeringsfarve1 2 3 3 2 4 2" xfId="17477"/>
    <cellStyle name="40 % - Markeringsfarve1 2 3 3 2 4 3" xfId="28834"/>
    <cellStyle name="40 % - Markeringsfarve1 2 3 3 2 5" xfId="12492"/>
    <cellStyle name="40 % - Markeringsfarve1 2 3 3 2 6" xfId="23850"/>
    <cellStyle name="40 % - Markeringsfarve1 2 3 3 3" xfId="2512"/>
    <cellStyle name="40 % - Markeringsfarve1 2 3 3 3 2" xfId="7500"/>
    <cellStyle name="40 % - Markeringsfarve1 2 3 3 3 2 2" xfId="18307"/>
    <cellStyle name="40 % - Markeringsfarve1 2 3 3 3 2 3" xfId="29664"/>
    <cellStyle name="40 % - Markeringsfarve1 2 3 3 3 3" xfId="13322"/>
    <cellStyle name="40 % - Markeringsfarve1 2 3 3 3 4" xfId="24680"/>
    <cellStyle name="40 % - Markeringsfarve1 2 3 3 4" xfId="4176"/>
    <cellStyle name="40 % - Markeringsfarve1 2 3 3 4 2" xfId="9161"/>
    <cellStyle name="40 % - Markeringsfarve1 2 3 3 4 2 2" xfId="19968"/>
    <cellStyle name="40 % - Markeringsfarve1 2 3 3 4 2 3" xfId="31325"/>
    <cellStyle name="40 % - Markeringsfarve1 2 3 3 4 3" xfId="14983"/>
    <cellStyle name="40 % - Markeringsfarve1 2 3 3 4 4" xfId="26341"/>
    <cellStyle name="40 % - Markeringsfarve1 2 3 3 5" xfId="5838"/>
    <cellStyle name="40 % - Markeringsfarve1 2 3 3 5 2" xfId="16646"/>
    <cellStyle name="40 % - Markeringsfarve1 2 3 3 5 3" xfId="28003"/>
    <cellStyle name="40 % - Markeringsfarve1 2 3 3 6" xfId="10825"/>
    <cellStyle name="40 % - Markeringsfarve1 2 3 3 6 2" xfId="21632"/>
    <cellStyle name="40 % - Markeringsfarve1 2 3 3 6 3" xfId="32989"/>
    <cellStyle name="40 % - Markeringsfarve1 2 3 3 7" xfId="11660"/>
    <cellStyle name="40 % - Markeringsfarve1 2 3 3 8" xfId="23019"/>
    <cellStyle name="40 % - Markeringsfarve1 2 3 4" xfId="1125"/>
    <cellStyle name="40 % - Markeringsfarve1 2 3 4 2" xfId="2790"/>
    <cellStyle name="40 % - Markeringsfarve1 2 3 4 2 2" xfId="7778"/>
    <cellStyle name="40 % - Markeringsfarve1 2 3 4 2 2 2" xfId="18585"/>
    <cellStyle name="40 % - Markeringsfarve1 2 3 4 2 2 3" xfId="29942"/>
    <cellStyle name="40 % - Markeringsfarve1 2 3 4 2 3" xfId="13600"/>
    <cellStyle name="40 % - Markeringsfarve1 2 3 4 2 4" xfId="24958"/>
    <cellStyle name="40 % - Markeringsfarve1 2 3 4 3" xfId="4454"/>
    <cellStyle name="40 % - Markeringsfarve1 2 3 4 3 2" xfId="9439"/>
    <cellStyle name="40 % - Markeringsfarve1 2 3 4 3 2 2" xfId="20246"/>
    <cellStyle name="40 % - Markeringsfarve1 2 3 4 3 2 3" xfId="31603"/>
    <cellStyle name="40 % - Markeringsfarve1 2 3 4 3 3" xfId="15261"/>
    <cellStyle name="40 % - Markeringsfarve1 2 3 4 3 4" xfId="26619"/>
    <cellStyle name="40 % - Markeringsfarve1 2 3 4 4" xfId="6116"/>
    <cellStyle name="40 % - Markeringsfarve1 2 3 4 4 2" xfId="16924"/>
    <cellStyle name="40 % - Markeringsfarve1 2 3 4 4 3" xfId="28281"/>
    <cellStyle name="40 % - Markeringsfarve1 2 3 4 5" xfId="11939"/>
    <cellStyle name="40 % - Markeringsfarve1 2 3 4 6" xfId="23297"/>
    <cellStyle name="40 % - Markeringsfarve1 2 3 5" xfId="1960"/>
    <cellStyle name="40 % - Markeringsfarve1 2 3 5 2" xfId="6948"/>
    <cellStyle name="40 % - Markeringsfarve1 2 3 5 2 2" xfId="17756"/>
    <cellStyle name="40 % - Markeringsfarve1 2 3 5 2 3" xfId="29113"/>
    <cellStyle name="40 % - Markeringsfarve1 2 3 5 3" xfId="12771"/>
    <cellStyle name="40 % - Markeringsfarve1 2 3 5 4" xfId="24129"/>
    <cellStyle name="40 % - Markeringsfarve1 2 3 6" xfId="3625"/>
    <cellStyle name="40 % - Markeringsfarve1 2 3 6 2" xfId="8610"/>
    <cellStyle name="40 % - Markeringsfarve1 2 3 6 2 2" xfId="19417"/>
    <cellStyle name="40 % - Markeringsfarve1 2 3 6 2 3" xfId="30774"/>
    <cellStyle name="40 % - Markeringsfarve1 2 3 6 3" xfId="14432"/>
    <cellStyle name="40 % - Markeringsfarve1 2 3 6 4" xfId="25790"/>
    <cellStyle name="40 % - Markeringsfarve1 2 3 7" xfId="5286"/>
    <cellStyle name="40 % - Markeringsfarve1 2 3 7 2" xfId="16095"/>
    <cellStyle name="40 % - Markeringsfarve1 2 3 7 3" xfId="27452"/>
    <cellStyle name="40 % - Markeringsfarve1 2 3 8" xfId="10271"/>
    <cellStyle name="40 % - Markeringsfarve1 2 3 8 2" xfId="21078"/>
    <cellStyle name="40 % - Markeringsfarve1 2 3 8 3" xfId="32435"/>
    <cellStyle name="40 % - Markeringsfarve1 2 3 9" xfId="11105"/>
    <cellStyle name="40 % - Markeringsfarve1 2 4" xfId="310"/>
    <cellStyle name="40 % - Markeringsfarve1 2 4 10" xfId="21967"/>
    <cellStyle name="40 % - Markeringsfarve1 2 4 11" xfId="22520"/>
    <cellStyle name="40 % - Markeringsfarve1 2 4 12" xfId="33323"/>
    <cellStyle name="40 % - Markeringsfarve1 2 4 13" xfId="33598"/>
    <cellStyle name="40 % - Markeringsfarve1 2 4 14" xfId="33869"/>
    <cellStyle name="40 % - Markeringsfarve1 2 4 2" xfId="627"/>
    <cellStyle name="40 % - Markeringsfarve1 2 4 2 2" xfId="1459"/>
    <cellStyle name="40 % - Markeringsfarve1 2 4 2 2 2" xfId="3124"/>
    <cellStyle name="40 % - Markeringsfarve1 2 4 2 2 2 2" xfId="8112"/>
    <cellStyle name="40 % - Markeringsfarve1 2 4 2 2 2 2 2" xfId="18919"/>
    <cellStyle name="40 % - Markeringsfarve1 2 4 2 2 2 2 3" xfId="30276"/>
    <cellStyle name="40 % - Markeringsfarve1 2 4 2 2 2 3" xfId="13934"/>
    <cellStyle name="40 % - Markeringsfarve1 2 4 2 2 2 4" xfId="25292"/>
    <cellStyle name="40 % - Markeringsfarve1 2 4 2 2 3" xfId="4788"/>
    <cellStyle name="40 % - Markeringsfarve1 2 4 2 2 3 2" xfId="9773"/>
    <cellStyle name="40 % - Markeringsfarve1 2 4 2 2 3 2 2" xfId="20580"/>
    <cellStyle name="40 % - Markeringsfarve1 2 4 2 2 3 2 3" xfId="31937"/>
    <cellStyle name="40 % - Markeringsfarve1 2 4 2 2 3 3" xfId="15595"/>
    <cellStyle name="40 % - Markeringsfarve1 2 4 2 2 3 4" xfId="26953"/>
    <cellStyle name="40 % - Markeringsfarve1 2 4 2 2 4" xfId="6450"/>
    <cellStyle name="40 % - Markeringsfarve1 2 4 2 2 4 2" xfId="17258"/>
    <cellStyle name="40 % - Markeringsfarve1 2 4 2 2 4 3" xfId="28615"/>
    <cellStyle name="40 % - Markeringsfarve1 2 4 2 2 5" xfId="12273"/>
    <cellStyle name="40 % - Markeringsfarve1 2 4 2 2 6" xfId="23631"/>
    <cellStyle name="40 % - Markeringsfarve1 2 4 2 3" xfId="2293"/>
    <cellStyle name="40 % - Markeringsfarve1 2 4 2 3 2" xfId="7281"/>
    <cellStyle name="40 % - Markeringsfarve1 2 4 2 3 2 2" xfId="18088"/>
    <cellStyle name="40 % - Markeringsfarve1 2 4 2 3 2 3" xfId="29445"/>
    <cellStyle name="40 % - Markeringsfarve1 2 4 2 3 3" xfId="13103"/>
    <cellStyle name="40 % - Markeringsfarve1 2 4 2 3 4" xfId="24461"/>
    <cellStyle name="40 % - Markeringsfarve1 2 4 2 4" xfId="3957"/>
    <cellStyle name="40 % - Markeringsfarve1 2 4 2 4 2" xfId="8942"/>
    <cellStyle name="40 % - Markeringsfarve1 2 4 2 4 2 2" xfId="19749"/>
    <cellStyle name="40 % - Markeringsfarve1 2 4 2 4 2 3" xfId="31106"/>
    <cellStyle name="40 % - Markeringsfarve1 2 4 2 4 3" xfId="14764"/>
    <cellStyle name="40 % - Markeringsfarve1 2 4 2 4 4" xfId="26122"/>
    <cellStyle name="40 % - Markeringsfarve1 2 4 2 5" xfId="5619"/>
    <cellStyle name="40 % - Markeringsfarve1 2 4 2 5 2" xfId="16427"/>
    <cellStyle name="40 % - Markeringsfarve1 2 4 2 5 3" xfId="27784"/>
    <cellStyle name="40 % - Markeringsfarve1 2 4 2 6" xfId="10606"/>
    <cellStyle name="40 % - Markeringsfarve1 2 4 2 6 2" xfId="21413"/>
    <cellStyle name="40 % - Markeringsfarve1 2 4 2 6 3" xfId="32770"/>
    <cellStyle name="40 % - Markeringsfarve1 2 4 2 7" xfId="11440"/>
    <cellStyle name="40 % - Markeringsfarve1 2 4 2 8" xfId="22246"/>
    <cellStyle name="40 % - Markeringsfarve1 2 4 2 9" xfId="22800"/>
    <cellStyle name="40 % - Markeringsfarve1 2 4 3" xfId="901"/>
    <cellStyle name="40 % - Markeringsfarve1 2 4 3 2" xfId="1733"/>
    <cellStyle name="40 % - Markeringsfarve1 2 4 3 2 2" xfId="3398"/>
    <cellStyle name="40 % - Markeringsfarve1 2 4 3 2 2 2" xfId="8386"/>
    <cellStyle name="40 % - Markeringsfarve1 2 4 3 2 2 2 2" xfId="19193"/>
    <cellStyle name="40 % - Markeringsfarve1 2 4 3 2 2 2 3" xfId="30550"/>
    <cellStyle name="40 % - Markeringsfarve1 2 4 3 2 2 3" xfId="14208"/>
    <cellStyle name="40 % - Markeringsfarve1 2 4 3 2 2 4" xfId="25566"/>
    <cellStyle name="40 % - Markeringsfarve1 2 4 3 2 3" xfId="5062"/>
    <cellStyle name="40 % - Markeringsfarve1 2 4 3 2 3 2" xfId="10047"/>
    <cellStyle name="40 % - Markeringsfarve1 2 4 3 2 3 2 2" xfId="20854"/>
    <cellStyle name="40 % - Markeringsfarve1 2 4 3 2 3 2 3" xfId="32211"/>
    <cellStyle name="40 % - Markeringsfarve1 2 4 3 2 3 3" xfId="15869"/>
    <cellStyle name="40 % - Markeringsfarve1 2 4 3 2 3 4" xfId="27227"/>
    <cellStyle name="40 % - Markeringsfarve1 2 4 3 2 4" xfId="6724"/>
    <cellStyle name="40 % - Markeringsfarve1 2 4 3 2 4 2" xfId="17532"/>
    <cellStyle name="40 % - Markeringsfarve1 2 4 3 2 4 3" xfId="28889"/>
    <cellStyle name="40 % - Markeringsfarve1 2 4 3 2 5" xfId="12547"/>
    <cellStyle name="40 % - Markeringsfarve1 2 4 3 2 6" xfId="23905"/>
    <cellStyle name="40 % - Markeringsfarve1 2 4 3 3" xfId="2567"/>
    <cellStyle name="40 % - Markeringsfarve1 2 4 3 3 2" xfId="7555"/>
    <cellStyle name="40 % - Markeringsfarve1 2 4 3 3 2 2" xfId="18362"/>
    <cellStyle name="40 % - Markeringsfarve1 2 4 3 3 2 3" xfId="29719"/>
    <cellStyle name="40 % - Markeringsfarve1 2 4 3 3 3" xfId="13377"/>
    <cellStyle name="40 % - Markeringsfarve1 2 4 3 3 4" xfId="24735"/>
    <cellStyle name="40 % - Markeringsfarve1 2 4 3 4" xfId="4231"/>
    <cellStyle name="40 % - Markeringsfarve1 2 4 3 4 2" xfId="9216"/>
    <cellStyle name="40 % - Markeringsfarve1 2 4 3 4 2 2" xfId="20023"/>
    <cellStyle name="40 % - Markeringsfarve1 2 4 3 4 2 3" xfId="31380"/>
    <cellStyle name="40 % - Markeringsfarve1 2 4 3 4 3" xfId="15038"/>
    <cellStyle name="40 % - Markeringsfarve1 2 4 3 4 4" xfId="26396"/>
    <cellStyle name="40 % - Markeringsfarve1 2 4 3 5" xfId="5893"/>
    <cellStyle name="40 % - Markeringsfarve1 2 4 3 5 2" xfId="16701"/>
    <cellStyle name="40 % - Markeringsfarve1 2 4 3 5 3" xfId="28058"/>
    <cellStyle name="40 % - Markeringsfarve1 2 4 3 6" xfId="10880"/>
    <cellStyle name="40 % - Markeringsfarve1 2 4 3 6 2" xfId="21687"/>
    <cellStyle name="40 % - Markeringsfarve1 2 4 3 6 3" xfId="33044"/>
    <cellStyle name="40 % - Markeringsfarve1 2 4 3 7" xfId="11715"/>
    <cellStyle name="40 % - Markeringsfarve1 2 4 3 8" xfId="23074"/>
    <cellStyle name="40 % - Markeringsfarve1 2 4 4" xfId="1180"/>
    <cellStyle name="40 % - Markeringsfarve1 2 4 4 2" xfId="2845"/>
    <cellStyle name="40 % - Markeringsfarve1 2 4 4 2 2" xfId="7833"/>
    <cellStyle name="40 % - Markeringsfarve1 2 4 4 2 2 2" xfId="18640"/>
    <cellStyle name="40 % - Markeringsfarve1 2 4 4 2 2 3" xfId="29997"/>
    <cellStyle name="40 % - Markeringsfarve1 2 4 4 2 3" xfId="13655"/>
    <cellStyle name="40 % - Markeringsfarve1 2 4 4 2 4" xfId="25013"/>
    <cellStyle name="40 % - Markeringsfarve1 2 4 4 3" xfId="4509"/>
    <cellStyle name="40 % - Markeringsfarve1 2 4 4 3 2" xfId="9494"/>
    <cellStyle name="40 % - Markeringsfarve1 2 4 4 3 2 2" xfId="20301"/>
    <cellStyle name="40 % - Markeringsfarve1 2 4 4 3 2 3" xfId="31658"/>
    <cellStyle name="40 % - Markeringsfarve1 2 4 4 3 3" xfId="15316"/>
    <cellStyle name="40 % - Markeringsfarve1 2 4 4 3 4" xfId="26674"/>
    <cellStyle name="40 % - Markeringsfarve1 2 4 4 4" xfId="6171"/>
    <cellStyle name="40 % - Markeringsfarve1 2 4 4 4 2" xfId="16979"/>
    <cellStyle name="40 % - Markeringsfarve1 2 4 4 4 3" xfId="28336"/>
    <cellStyle name="40 % - Markeringsfarve1 2 4 4 5" xfId="11994"/>
    <cellStyle name="40 % - Markeringsfarve1 2 4 4 6" xfId="23352"/>
    <cellStyle name="40 % - Markeringsfarve1 2 4 5" xfId="2015"/>
    <cellStyle name="40 % - Markeringsfarve1 2 4 5 2" xfId="7003"/>
    <cellStyle name="40 % - Markeringsfarve1 2 4 5 2 2" xfId="17811"/>
    <cellStyle name="40 % - Markeringsfarve1 2 4 5 2 3" xfId="29168"/>
    <cellStyle name="40 % - Markeringsfarve1 2 4 5 3" xfId="12826"/>
    <cellStyle name="40 % - Markeringsfarve1 2 4 5 4" xfId="24184"/>
    <cellStyle name="40 % - Markeringsfarve1 2 4 6" xfId="3680"/>
    <cellStyle name="40 % - Markeringsfarve1 2 4 6 2" xfId="8665"/>
    <cellStyle name="40 % - Markeringsfarve1 2 4 6 2 2" xfId="19472"/>
    <cellStyle name="40 % - Markeringsfarve1 2 4 6 2 3" xfId="30829"/>
    <cellStyle name="40 % - Markeringsfarve1 2 4 6 3" xfId="14487"/>
    <cellStyle name="40 % - Markeringsfarve1 2 4 6 4" xfId="25845"/>
    <cellStyle name="40 % - Markeringsfarve1 2 4 7" xfId="5341"/>
    <cellStyle name="40 % - Markeringsfarve1 2 4 7 2" xfId="16150"/>
    <cellStyle name="40 % - Markeringsfarve1 2 4 7 3" xfId="27507"/>
    <cellStyle name="40 % - Markeringsfarve1 2 4 8" xfId="10326"/>
    <cellStyle name="40 % - Markeringsfarve1 2 4 8 2" xfId="21133"/>
    <cellStyle name="40 % - Markeringsfarve1 2 4 8 3" xfId="32490"/>
    <cellStyle name="40 % - Markeringsfarve1 2 4 9" xfId="11160"/>
    <cellStyle name="40 % - Markeringsfarve1 2 5" xfId="366"/>
    <cellStyle name="40 % - Markeringsfarve1 2 5 10" xfId="22023"/>
    <cellStyle name="40 % - Markeringsfarve1 2 5 11" xfId="22576"/>
    <cellStyle name="40 % - Markeringsfarve1 2 5 12" xfId="33379"/>
    <cellStyle name="40 % - Markeringsfarve1 2 5 13" xfId="33654"/>
    <cellStyle name="40 % - Markeringsfarve1 2 5 14" xfId="33925"/>
    <cellStyle name="40 % - Markeringsfarve1 2 5 2" xfId="683"/>
    <cellStyle name="40 % - Markeringsfarve1 2 5 2 2" xfId="1515"/>
    <cellStyle name="40 % - Markeringsfarve1 2 5 2 2 2" xfId="3180"/>
    <cellStyle name="40 % - Markeringsfarve1 2 5 2 2 2 2" xfId="8168"/>
    <cellStyle name="40 % - Markeringsfarve1 2 5 2 2 2 2 2" xfId="18975"/>
    <cellStyle name="40 % - Markeringsfarve1 2 5 2 2 2 2 3" xfId="30332"/>
    <cellStyle name="40 % - Markeringsfarve1 2 5 2 2 2 3" xfId="13990"/>
    <cellStyle name="40 % - Markeringsfarve1 2 5 2 2 2 4" xfId="25348"/>
    <cellStyle name="40 % - Markeringsfarve1 2 5 2 2 3" xfId="4844"/>
    <cellStyle name="40 % - Markeringsfarve1 2 5 2 2 3 2" xfId="9829"/>
    <cellStyle name="40 % - Markeringsfarve1 2 5 2 2 3 2 2" xfId="20636"/>
    <cellStyle name="40 % - Markeringsfarve1 2 5 2 2 3 2 3" xfId="31993"/>
    <cellStyle name="40 % - Markeringsfarve1 2 5 2 2 3 3" xfId="15651"/>
    <cellStyle name="40 % - Markeringsfarve1 2 5 2 2 3 4" xfId="27009"/>
    <cellStyle name="40 % - Markeringsfarve1 2 5 2 2 4" xfId="6506"/>
    <cellStyle name="40 % - Markeringsfarve1 2 5 2 2 4 2" xfId="17314"/>
    <cellStyle name="40 % - Markeringsfarve1 2 5 2 2 4 3" xfId="28671"/>
    <cellStyle name="40 % - Markeringsfarve1 2 5 2 2 5" xfId="12329"/>
    <cellStyle name="40 % - Markeringsfarve1 2 5 2 2 6" xfId="23687"/>
    <cellStyle name="40 % - Markeringsfarve1 2 5 2 3" xfId="2349"/>
    <cellStyle name="40 % - Markeringsfarve1 2 5 2 3 2" xfId="7337"/>
    <cellStyle name="40 % - Markeringsfarve1 2 5 2 3 2 2" xfId="18144"/>
    <cellStyle name="40 % - Markeringsfarve1 2 5 2 3 2 3" xfId="29501"/>
    <cellStyle name="40 % - Markeringsfarve1 2 5 2 3 3" xfId="13159"/>
    <cellStyle name="40 % - Markeringsfarve1 2 5 2 3 4" xfId="24517"/>
    <cellStyle name="40 % - Markeringsfarve1 2 5 2 4" xfId="4013"/>
    <cellStyle name="40 % - Markeringsfarve1 2 5 2 4 2" xfId="8998"/>
    <cellStyle name="40 % - Markeringsfarve1 2 5 2 4 2 2" xfId="19805"/>
    <cellStyle name="40 % - Markeringsfarve1 2 5 2 4 2 3" xfId="31162"/>
    <cellStyle name="40 % - Markeringsfarve1 2 5 2 4 3" xfId="14820"/>
    <cellStyle name="40 % - Markeringsfarve1 2 5 2 4 4" xfId="26178"/>
    <cellStyle name="40 % - Markeringsfarve1 2 5 2 5" xfId="5675"/>
    <cellStyle name="40 % - Markeringsfarve1 2 5 2 5 2" xfId="16483"/>
    <cellStyle name="40 % - Markeringsfarve1 2 5 2 5 3" xfId="27840"/>
    <cellStyle name="40 % - Markeringsfarve1 2 5 2 6" xfId="10662"/>
    <cellStyle name="40 % - Markeringsfarve1 2 5 2 6 2" xfId="21469"/>
    <cellStyle name="40 % - Markeringsfarve1 2 5 2 6 3" xfId="32826"/>
    <cellStyle name="40 % - Markeringsfarve1 2 5 2 7" xfId="11496"/>
    <cellStyle name="40 % - Markeringsfarve1 2 5 2 8" xfId="22302"/>
    <cellStyle name="40 % - Markeringsfarve1 2 5 2 9" xfId="22856"/>
    <cellStyle name="40 % - Markeringsfarve1 2 5 3" xfId="957"/>
    <cellStyle name="40 % - Markeringsfarve1 2 5 3 2" xfId="1789"/>
    <cellStyle name="40 % - Markeringsfarve1 2 5 3 2 2" xfId="3454"/>
    <cellStyle name="40 % - Markeringsfarve1 2 5 3 2 2 2" xfId="8442"/>
    <cellStyle name="40 % - Markeringsfarve1 2 5 3 2 2 2 2" xfId="19249"/>
    <cellStyle name="40 % - Markeringsfarve1 2 5 3 2 2 2 3" xfId="30606"/>
    <cellStyle name="40 % - Markeringsfarve1 2 5 3 2 2 3" xfId="14264"/>
    <cellStyle name="40 % - Markeringsfarve1 2 5 3 2 2 4" xfId="25622"/>
    <cellStyle name="40 % - Markeringsfarve1 2 5 3 2 3" xfId="5118"/>
    <cellStyle name="40 % - Markeringsfarve1 2 5 3 2 3 2" xfId="10103"/>
    <cellStyle name="40 % - Markeringsfarve1 2 5 3 2 3 2 2" xfId="20910"/>
    <cellStyle name="40 % - Markeringsfarve1 2 5 3 2 3 2 3" xfId="32267"/>
    <cellStyle name="40 % - Markeringsfarve1 2 5 3 2 3 3" xfId="15925"/>
    <cellStyle name="40 % - Markeringsfarve1 2 5 3 2 3 4" xfId="27283"/>
    <cellStyle name="40 % - Markeringsfarve1 2 5 3 2 4" xfId="6780"/>
    <cellStyle name="40 % - Markeringsfarve1 2 5 3 2 4 2" xfId="17588"/>
    <cellStyle name="40 % - Markeringsfarve1 2 5 3 2 4 3" xfId="28945"/>
    <cellStyle name="40 % - Markeringsfarve1 2 5 3 2 5" xfId="12603"/>
    <cellStyle name="40 % - Markeringsfarve1 2 5 3 2 6" xfId="23961"/>
    <cellStyle name="40 % - Markeringsfarve1 2 5 3 3" xfId="2623"/>
    <cellStyle name="40 % - Markeringsfarve1 2 5 3 3 2" xfId="7611"/>
    <cellStyle name="40 % - Markeringsfarve1 2 5 3 3 2 2" xfId="18418"/>
    <cellStyle name="40 % - Markeringsfarve1 2 5 3 3 2 3" xfId="29775"/>
    <cellStyle name="40 % - Markeringsfarve1 2 5 3 3 3" xfId="13433"/>
    <cellStyle name="40 % - Markeringsfarve1 2 5 3 3 4" xfId="24791"/>
    <cellStyle name="40 % - Markeringsfarve1 2 5 3 4" xfId="4287"/>
    <cellStyle name="40 % - Markeringsfarve1 2 5 3 4 2" xfId="9272"/>
    <cellStyle name="40 % - Markeringsfarve1 2 5 3 4 2 2" xfId="20079"/>
    <cellStyle name="40 % - Markeringsfarve1 2 5 3 4 2 3" xfId="31436"/>
    <cellStyle name="40 % - Markeringsfarve1 2 5 3 4 3" xfId="15094"/>
    <cellStyle name="40 % - Markeringsfarve1 2 5 3 4 4" xfId="26452"/>
    <cellStyle name="40 % - Markeringsfarve1 2 5 3 5" xfId="5949"/>
    <cellStyle name="40 % - Markeringsfarve1 2 5 3 5 2" xfId="16757"/>
    <cellStyle name="40 % - Markeringsfarve1 2 5 3 5 3" xfId="28114"/>
    <cellStyle name="40 % - Markeringsfarve1 2 5 3 6" xfId="10936"/>
    <cellStyle name="40 % - Markeringsfarve1 2 5 3 6 2" xfId="21743"/>
    <cellStyle name="40 % - Markeringsfarve1 2 5 3 6 3" xfId="33100"/>
    <cellStyle name="40 % - Markeringsfarve1 2 5 3 7" xfId="11771"/>
    <cellStyle name="40 % - Markeringsfarve1 2 5 3 8" xfId="23130"/>
    <cellStyle name="40 % - Markeringsfarve1 2 5 4" xfId="1236"/>
    <cellStyle name="40 % - Markeringsfarve1 2 5 4 2" xfId="2901"/>
    <cellStyle name="40 % - Markeringsfarve1 2 5 4 2 2" xfId="7889"/>
    <cellStyle name="40 % - Markeringsfarve1 2 5 4 2 2 2" xfId="18696"/>
    <cellStyle name="40 % - Markeringsfarve1 2 5 4 2 2 3" xfId="30053"/>
    <cellStyle name="40 % - Markeringsfarve1 2 5 4 2 3" xfId="13711"/>
    <cellStyle name="40 % - Markeringsfarve1 2 5 4 2 4" xfId="25069"/>
    <cellStyle name="40 % - Markeringsfarve1 2 5 4 3" xfId="4565"/>
    <cellStyle name="40 % - Markeringsfarve1 2 5 4 3 2" xfId="9550"/>
    <cellStyle name="40 % - Markeringsfarve1 2 5 4 3 2 2" xfId="20357"/>
    <cellStyle name="40 % - Markeringsfarve1 2 5 4 3 2 3" xfId="31714"/>
    <cellStyle name="40 % - Markeringsfarve1 2 5 4 3 3" xfId="15372"/>
    <cellStyle name="40 % - Markeringsfarve1 2 5 4 3 4" xfId="26730"/>
    <cellStyle name="40 % - Markeringsfarve1 2 5 4 4" xfId="6227"/>
    <cellStyle name="40 % - Markeringsfarve1 2 5 4 4 2" xfId="17035"/>
    <cellStyle name="40 % - Markeringsfarve1 2 5 4 4 3" xfId="28392"/>
    <cellStyle name="40 % - Markeringsfarve1 2 5 4 5" xfId="12050"/>
    <cellStyle name="40 % - Markeringsfarve1 2 5 4 6" xfId="23408"/>
    <cellStyle name="40 % - Markeringsfarve1 2 5 5" xfId="2071"/>
    <cellStyle name="40 % - Markeringsfarve1 2 5 5 2" xfId="7059"/>
    <cellStyle name="40 % - Markeringsfarve1 2 5 5 2 2" xfId="17867"/>
    <cellStyle name="40 % - Markeringsfarve1 2 5 5 2 3" xfId="29224"/>
    <cellStyle name="40 % - Markeringsfarve1 2 5 5 3" xfId="12882"/>
    <cellStyle name="40 % - Markeringsfarve1 2 5 5 4" xfId="24240"/>
    <cellStyle name="40 % - Markeringsfarve1 2 5 6" xfId="3736"/>
    <cellStyle name="40 % - Markeringsfarve1 2 5 6 2" xfId="8721"/>
    <cellStyle name="40 % - Markeringsfarve1 2 5 6 2 2" xfId="19528"/>
    <cellStyle name="40 % - Markeringsfarve1 2 5 6 2 3" xfId="30885"/>
    <cellStyle name="40 % - Markeringsfarve1 2 5 6 3" xfId="14543"/>
    <cellStyle name="40 % - Markeringsfarve1 2 5 6 4" xfId="25901"/>
    <cellStyle name="40 % - Markeringsfarve1 2 5 7" xfId="5397"/>
    <cellStyle name="40 % - Markeringsfarve1 2 5 7 2" xfId="16206"/>
    <cellStyle name="40 % - Markeringsfarve1 2 5 7 3" xfId="27563"/>
    <cellStyle name="40 % - Markeringsfarve1 2 5 8" xfId="10382"/>
    <cellStyle name="40 % - Markeringsfarve1 2 5 8 2" xfId="21189"/>
    <cellStyle name="40 % - Markeringsfarve1 2 5 8 3" xfId="32546"/>
    <cellStyle name="40 % - Markeringsfarve1 2 5 9" xfId="11216"/>
    <cellStyle name="40 % - Markeringsfarve1 2 6" xfId="466"/>
    <cellStyle name="40 % - Markeringsfarve1 2 6 2" xfId="1296"/>
    <cellStyle name="40 % - Markeringsfarve1 2 6 2 2" xfId="2961"/>
    <cellStyle name="40 % - Markeringsfarve1 2 6 2 2 2" xfId="7949"/>
    <cellStyle name="40 % - Markeringsfarve1 2 6 2 2 2 2" xfId="18756"/>
    <cellStyle name="40 % - Markeringsfarve1 2 6 2 2 2 3" xfId="30113"/>
    <cellStyle name="40 % - Markeringsfarve1 2 6 2 2 3" xfId="13771"/>
    <cellStyle name="40 % - Markeringsfarve1 2 6 2 2 4" xfId="25129"/>
    <cellStyle name="40 % - Markeringsfarve1 2 6 2 3" xfId="4625"/>
    <cellStyle name="40 % - Markeringsfarve1 2 6 2 3 2" xfId="9610"/>
    <cellStyle name="40 % - Markeringsfarve1 2 6 2 3 2 2" xfId="20417"/>
    <cellStyle name="40 % - Markeringsfarve1 2 6 2 3 2 3" xfId="31774"/>
    <cellStyle name="40 % - Markeringsfarve1 2 6 2 3 3" xfId="15432"/>
    <cellStyle name="40 % - Markeringsfarve1 2 6 2 3 4" xfId="26790"/>
    <cellStyle name="40 % - Markeringsfarve1 2 6 2 4" xfId="6287"/>
    <cellStyle name="40 % - Markeringsfarve1 2 6 2 4 2" xfId="17095"/>
    <cellStyle name="40 % - Markeringsfarve1 2 6 2 4 3" xfId="28452"/>
    <cellStyle name="40 % - Markeringsfarve1 2 6 2 5" xfId="12110"/>
    <cellStyle name="40 % - Markeringsfarve1 2 6 2 6" xfId="23468"/>
    <cellStyle name="40 % - Markeringsfarve1 2 6 3" xfId="2132"/>
    <cellStyle name="40 % - Markeringsfarve1 2 6 3 2" xfId="7120"/>
    <cellStyle name="40 % - Markeringsfarve1 2 6 3 2 2" xfId="17927"/>
    <cellStyle name="40 % - Markeringsfarve1 2 6 3 2 3" xfId="29284"/>
    <cellStyle name="40 % - Markeringsfarve1 2 6 3 3" xfId="12942"/>
    <cellStyle name="40 % - Markeringsfarve1 2 6 3 4" xfId="24300"/>
    <cellStyle name="40 % - Markeringsfarve1 2 6 4" xfId="3796"/>
    <cellStyle name="40 % - Markeringsfarve1 2 6 4 2" xfId="8781"/>
    <cellStyle name="40 % - Markeringsfarve1 2 6 4 2 2" xfId="19588"/>
    <cellStyle name="40 % - Markeringsfarve1 2 6 4 2 3" xfId="30945"/>
    <cellStyle name="40 % - Markeringsfarve1 2 6 4 3" xfId="14603"/>
    <cellStyle name="40 % - Markeringsfarve1 2 6 4 4" xfId="25961"/>
    <cellStyle name="40 % - Markeringsfarve1 2 6 5" xfId="5458"/>
    <cellStyle name="40 % - Markeringsfarve1 2 6 5 2" xfId="16266"/>
    <cellStyle name="40 % - Markeringsfarve1 2 6 5 3" xfId="27623"/>
    <cellStyle name="40 % - Markeringsfarve1 2 6 6" xfId="10417"/>
    <cellStyle name="40 % - Markeringsfarve1 2 6 6 2" xfId="21224"/>
    <cellStyle name="40 % - Markeringsfarve1 2 6 6 3" xfId="32581"/>
    <cellStyle name="40 % - Markeringsfarve1 2 6 7" xfId="11277"/>
    <cellStyle name="40 % - Markeringsfarve1 2 6 8" xfId="22083"/>
    <cellStyle name="40 % - Markeringsfarve1 2 6 9" xfId="22637"/>
    <cellStyle name="40 % - Markeringsfarve1 2 7" xfId="738"/>
    <cellStyle name="40 % - Markeringsfarve1 2 7 2" xfId="1570"/>
    <cellStyle name="40 % - Markeringsfarve1 2 7 2 2" xfId="3235"/>
    <cellStyle name="40 % - Markeringsfarve1 2 7 2 2 2" xfId="8223"/>
    <cellStyle name="40 % - Markeringsfarve1 2 7 2 2 2 2" xfId="19030"/>
    <cellStyle name="40 % - Markeringsfarve1 2 7 2 2 2 3" xfId="30387"/>
    <cellStyle name="40 % - Markeringsfarve1 2 7 2 2 3" xfId="14045"/>
    <cellStyle name="40 % - Markeringsfarve1 2 7 2 2 4" xfId="25403"/>
    <cellStyle name="40 % - Markeringsfarve1 2 7 2 3" xfId="4899"/>
    <cellStyle name="40 % - Markeringsfarve1 2 7 2 3 2" xfId="9884"/>
    <cellStyle name="40 % - Markeringsfarve1 2 7 2 3 2 2" xfId="20691"/>
    <cellStyle name="40 % - Markeringsfarve1 2 7 2 3 2 3" xfId="32048"/>
    <cellStyle name="40 % - Markeringsfarve1 2 7 2 3 3" xfId="15706"/>
    <cellStyle name="40 % - Markeringsfarve1 2 7 2 3 4" xfId="27064"/>
    <cellStyle name="40 % - Markeringsfarve1 2 7 2 4" xfId="6561"/>
    <cellStyle name="40 % - Markeringsfarve1 2 7 2 4 2" xfId="17369"/>
    <cellStyle name="40 % - Markeringsfarve1 2 7 2 4 3" xfId="28726"/>
    <cellStyle name="40 % - Markeringsfarve1 2 7 2 5" xfId="12384"/>
    <cellStyle name="40 % - Markeringsfarve1 2 7 2 6" xfId="23742"/>
    <cellStyle name="40 % - Markeringsfarve1 2 7 3" xfId="2404"/>
    <cellStyle name="40 % - Markeringsfarve1 2 7 3 2" xfId="7392"/>
    <cellStyle name="40 % - Markeringsfarve1 2 7 3 2 2" xfId="18199"/>
    <cellStyle name="40 % - Markeringsfarve1 2 7 3 2 3" xfId="29556"/>
    <cellStyle name="40 % - Markeringsfarve1 2 7 3 3" xfId="13214"/>
    <cellStyle name="40 % - Markeringsfarve1 2 7 3 4" xfId="24572"/>
    <cellStyle name="40 % - Markeringsfarve1 2 7 4" xfId="4068"/>
    <cellStyle name="40 % - Markeringsfarve1 2 7 4 2" xfId="9053"/>
    <cellStyle name="40 % - Markeringsfarve1 2 7 4 2 2" xfId="19860"/>
    <cellStyle name="40 % - Markeringsfarve1 2 7 4 2 3" xfId="31217"/>
    <cellStyle name="40 % - Markeringsfarve1 2 7 4 3" xfId="14875"/>
    <cellStyle name="40 % - Markeringsfarve1 2 7 4 4" xfId="26233"/>
    <cellStyle name="40 % - Markeringsfarve1 2 7 5" xfId="5730"/>
    <cellStyle name="40 % - Markeringsfarve1 2 7 5 2" xfId="16538"/>
    <cellStyle name="40 % - Markeringsfarve1 2 7 5 3" xfId="27895"/>
    <cellStyle name="40 % - Markeringsfarve1 2 7 6" xfId="10717"/>
    <cellStyle name="40 % - Markeringsfarve1 2 7 6 2" xfId="21524"/>
    <cellStyle name="40 % - Markeringsfarve1 2 7 6 3" xfId="32881"/>
    <cellStyle name="40 % - Markeringsfarve1 2 7 7" xfId="11552"/>
    <cellStyle name="40 % - Markeringsfarve1 2 7 8" xfId="22911"/>
    <cellStyle name="40 % - Markeringsfarve1 2 8" xfId="1017"/>
    <cellStyle name="40 % - Markeringsfarve1 2 8 2" xfId="2682"/>
    <cellStyle name="40 % - Markeringsfarve1 2 8 2 2" xfId="7670"/>
    <cellStyle name="40 % - Markeringsfarve1 2 8 2 2 2" xfId="18477"/>
    <cellStyle name="40 % - Markeringsfarve1 2 8 2 2 3" xfId="29834"/>
    <cellStyle name="40 % - Markeringsfarve1 2 8 2 3" xfId="13492"/>
    <cellStyle name="40 % - Markeringsfarve1 2 8 2 4" xfId="24850"/>
    <cellStyle name="40 % - Markeringsfarve1 2 8 3" xfId="4346"/>
    <cellStyle name="40 % - Markeringsfarve1 2 8 3 2" xfId="9331"/>
    <cellStyle name="40 % - Markeringsfarve1 2 8 3 2 2" xfId="20138"/>
    <cellStyle name="40 % - Markeringsfarve1 2 8 3 2 3" xfId="31495"/>
    <cellStyle name="40 % - Markeringsfarve1 2 8 3 3" xfId="15153"/>
    <cellStyle name="40 % - Markeringsfarve1 2 8 3 4" xfId="26511"/>
    <cellStyle name="40 % - Markeringsfarve1 2 8 4" xfId="6008"/>
    <cellStyle name="40 % - Markeringsfarve1 2 8 4 2" xfId="16816"/>
    <cellStyle name="40 % - Markeringsfarve1 2 8 4 3" xfId="28173"/>
    <cellStyle name="40 % - Markeringsfarve1 2 8 5" xfId="11831"/>
    <cellStyle name="40 % - Markeringsfarve1 2 8 6" xfId="23189"/>
    <cellStyle name="40 % - Markeringsfarve1 2 9" xfId="1853"/>
    <cellStyle name="40 % - Markeringsfarve1 2 9 2" xfId="6841"/>
    <cellStyle name="40 % - Markeringsfarve1 2 9 2 2" xfId="17649"/>
    <cellStyle name="40 % - Markeringsfarve1 2 9 2 3" xfId="29006"/>
    <cellStyle name="40 % - Markeringsfarve1 2 9 3" xfId="12664"/>
    <cellStyle name="40 % - Markeringsfarve1 2 9 4" xfId="24022"/>
    <cellStyle name="40 % - Markeringsfarve1 20" xfId="33687"/>
    <cellStyle name="40 % - Markeringsfarve1 3" xfId="99"/>
    <cellStyle name="40 % - Markeringsfarve1 3 10" xfId="3537"/>
    <cellStyle name="40 % - Markeringsfarve1 3 10 2" xfId="8522"/>
    <cellStyle name="40 % - Markeringsfarve1 3 10 2 2" xfId="19329"/>
    <cellStyle name="40 % - Markeringsfarve1 3 10 2 3" xfId="30686"/>
    <cellStyle name="40 % - Markeringsfarve1 3 10 3" xfId="14344"/>
    <cellStyle name="40 % - Markeringsfarve1 3 10 4" xfId="25702"/>
    <cellStyle name="40 % - Markeringsfarve1 3 11" xfId="5198"/>
    <cellStyle name="40 % - Markeringsfarve1 3 11 2" xfId="16007"/>
    <cellStyle name="40 % - Markeringsfarve1 3 11 3" xfId="27364"/>
    <cellStyle name="40 % - Markeringsfarve1 3 12" xfId="10182"/>
    <cellStyle name="40 % - Markeringsfarve1 3 12 2" xfId="20989"/>
    <cellStyle name="40 % - Markeringsfarve1 3 12 3" xfId="32346"/>
    <cellStyle name="40 % - Markeringsfarve1 3 13" xfId="11016"/>
    <cellStyle name="40 % - Markeringsfarve1 3 14" xfId="21823"/>
    <cellStyle name="40 % - Markeringsfarve1 3 15" xfId="22376"/>
    <cellStyle name="40 % - Markeringsfarve1 3 16" xfId="33179"/>
    <cellStyle name="40 % - Markeringsfarve1 3 17" xfId="33453"/>
    <cellStyle name="40 % - Markeringsfarve1 3 18" xfId="33724"/>
    <cellStyle name="40 % - Markeringsfarve1 3 2" xfId="219"/>
    <cellStyle name="40 % - Markeringsfarve1 3 2 10" xfId="21877"/>
    <cellStyle name="40 % - Markeringsfarve1 3 2 11" xfId="22430"/>
    <cellStyle name="40 % - Markeringsfarve1 3 2 12" xfId="33233"/>
    <cellStyle name="40 % - Markeringsfarve1 3 2 13" xfId="33508"/>
    <cellStyle name="40 % - Markeringsfarve1 3 2 14" xfId="33779"/>
    <cellStyle name="40 % - Markeringsfarve1 3 2 2" xfId="537"/>
    <cellStyle name="40 % - Markeringsfarve1 3 2 2 2" xfId="1369"/>
    <cellStyle name="40 % - Markeringsfarve1 3 2 2 2 2" xfId="3034"/>
    <cellStyle name="40 % - Markeringsfarve1 3 2 2 2 2 2" xfId="8022"/>
    <cellStyle name="40 % - Markeringsfarve1 3 2 2 2 2 2 2" xfId="18829"/>
    <cellStyle name="40 % - Markeringsfarve1 3 2 2 2 2 2 3" xfId="30186"/>
    <cellStyle name="40 % - Markeringsfarve1 3 2 2 2 2 3" xfId="13844"/>
    <cellStyle name="40 % - Markeringsfarve1 3 2 2 2 2 4" xfId="25202"/>
    <cellStyle name="40 % - Markeringsfarve1 3 2 2 2 3" xfId="4698"/>
    <cellStyle name="40 % - Markeringsfarve1 3 2 2 2 3 2" xfId="9683"/>
    <cellStyle name="40 % - Markeringsfarve1 3 2 2 2 3 2 2" xfId="20490"/>
    <cellStyle name="40 % - Markeringsfarve1 3 2 2 2 3 2 3" xfId="31847"/>
    <cellStyle name="40 % - Markeringsfarve1 3 2 2 2 3 3" xfId="15505"/>
    <cellStyle name="40 % - Markeringsfarve1 3 2 2 2 3 4" xfId="26863"/>
    <cellStyle name="40 % - Markeringsfarve1 3 2 2 2 4" xfId="6360"/>
    <cellStyle name="40 % - Markeringsfarve1 3 2 2 2 4 2" xfId="17168"/>
    <cellStyle name="40 % - Markeringsfarve1 3 2 2 2 4 3" xfId="28525"/>
    <cellStyle name="40 % - Markeringsfarve1 3 2 2 2 5" xfId="12183"/>
    <cellStyle name="40 % - Markeringsfarve1 3 2 2 2 6" xfId="23541"/>
    <cellStyle name="40 % - Markeringsfarve1 3 2 2 3" xfId="2203"/>
    <cellStyle name="40 % - Markeringsfarve1 3 2 2 3 2" xfId="7191"/>
    <cellStyle name="40 % - Markeringsfarve1 3 2 2 3 2 2" xfId="17998"/>
    <cellStyle name="40 % - Markeringsfarve1 3 2 2 3 2 3" xfId="29355"/>
    <cellStyle name="40 % - Markeringsfarve1 3 2 2 3 3" xfId="13013"/>
    <cellStyle name="40 % - Markeringsfarve1 3 2 2 3 4" xfId="24371"/>
    <cellStyle name="40 % - Markeringsfarve1 3 2 2 4" xfId="3867"/>
    <cellStyle name="40 % - Markeringsfarve1 3 2 2 4 2" xfId="8852"/>
    <cellStyle name="40 % - Markeringsfarve1 3 2 2 4 2 2" xfId="19659"/>
    <cellStyle name="40 % - Markeringsfarve1 3 2 2 4 2 3" xfId="31016"/>
    <cellStyle name="40 % - Markeringsfarve1 3 2 2 4 3" xfId="14674"/>
    <cellStyle name="40 % - Markeringsfarve1 3 2 2 4 4" xfId="26032"/>
    <cellStyle name="40 % - Markeringsfarve1 3 2 2 5" xfId="5529"/>
    <cellStyle name="40 % - Markeringsfarve1 3 2 2 5 2" xfId="16337"/>
    <cellStyle name="40 % - Markeringsfarve1 3 2 2 5 3" xfId="27694"/>
    <cellStyle name="40 % - Markeringsfarve1 3 2 2 6" xfId="10516"/>
    <cellStyle name="40 % - Markeringsfarve1 3 2 2 6 2" xfId="21323"/>
    <cellStyle name="40 % - Markeringsfarve1 3 2 2 6 3" xfId="32680"/>
    <cellStyle name="40 % - Markeringsfarve1 3 2 2 7" xfId="11350"/>
    <cellStyle name="40 % - Markeringsfarve1 3 2 2 8" xfId="22156"/>
    <cellStyle name="40 % - Markeringsfarve1 3 2 2 9" xfId="22710"/>
    <cellStyle name="40 % - Markeringsfarve1 3 2 3" xfId="811"/>
    <cellStyle name="40 % - Markeringsfarve1 3 2 3 2" xfId="1643"/>
    <cellStyle name="40 % - Markeringsfarve1 3 2 3 2 2" xfId="3308"/>
    <cellStyle name="40 % - Markeringsfarve1 3 2 3 2 2 2" xfId="8296"/>
    <cellStyle name="40 % - Markeringsfarve1 3 2 3 2 2 2 2" xfId="19103"/>
    <cellStyle name="40 % - Markeringsfarve1 3 2 3 2 2 2 3" xfId="30460"/>
    <cellStyle name="40 % - Markeringsfarve1 3 2 3 2 2 3" xfId="14118"/>
    <cellStyle name="40 % - Markeringsfarve1 3 2 3 2 2 4" xfId="25476"/>
    <cellStyle name="40 % - Markeringsfarve1 3 2 3 2 3" xfId="4972"/>
    <cellStyle name="40 % - Markeringsfarve1 3 2 3 2 3 2" xfId="9957"/>
    <cellStyle name="40 % - Markeringsfarve1 3 2 3 2 3 2 2" xfId="20764"/>
    <cellStyle name="40 % - Markeringsfarve1 3 2 3 2 3 2 3" xfId="32121"/>
    <cellStyle name="40 % - Markeringsfarve1 3 2 3 2 3 3" xfId="15779"/>
    <cellStyle name="40 % - Markeringsfarve1 3 2 3 2 3 4" xfId="27137"/>
    <cellStyle name="40 % - Markeringsfarve1 3 2 3 2 4" xfId="6634"/>
    <cellStyle name="40 % - Markeringsfarve1 3 2 3 2 4 2" xfId="17442"/>
    <cellStyle name="40 % - Markeringsfarve1 3 2 3 2 4 3" xfId="28799"/>
    <cellStyle name="40 % - Markeringsfarve1 3 2 3 2 5" xfId="12457"/>
    <cellStyle name="40 % - Markeringsfarve1 3 2 3 2 6" xfId="23815"/>
    <cellStyle name="40 % - Markeringsfarve1 3 2 3 3" xfId="2477"/>
    <cellStyle name="40 % - Markeringsfarve1 3 2 3 3 2" xfId="7465"/>
    <cellStyle name="40 % - Markeringsfarve1 3 2 3 3 2 2" xfId="18272"/>
    <cellStyle name="40 % - Markeringsfarve1 3 2 3 3 2 3" xfId="29629"/>
    <cellStyle name="40 % - Markeringsfarve1 3 2 3 3 3" xfId="13287"/>
    <cellStyle name="40 % - Markeringsfarve1 3 2 3 3 4" xfId="24645"/>
    <cellStyle name="40 % - Markeringsfarve1 3 2 3 4" xfId="4141"/>
    <cellStyle name="40 % - Markeringsfarve1 3 2 3 4 2" xfId="9126"/>
    <cellStyle name="40 % - Markeringsfarve1 3 2 3 4 2 2" xfId="19933"/>
    <cellStyle name="40 % - Markeringsfarve1 3 2 3 4 2 3" xfId="31290"/>
    <cellStyle name="40 % - Markeringsfarve1 3 2 3 4 3" xfId="14948"/>
    <cellStyle name="40 % - Markeringsfarve1 3 2 3 4 4" xfId="26306"/>
    <cellStyle name="40 % - Markeringsfarve1 3 2 3 5" xfId="5803"/>
    <cellStyle name="40 % - Markeringsfarve1 3 2 3 5 2" xfId="16611"/>
    <cellStyle name="40 % - Markeringsfarve1 3 2 3 5 3" xfId="27968"/>
    <cellStyle name="40 % - Markeringsfarve1 3 2 3 6" xfId="10790"/>
    <cellStyle name="40 % - Markeringsfarve1 3 2 3 6 2" xfId="21597"/>
    <cellStyle name="40 % - Markeringsfarve1 3 2 3 6 3" xfId="32954"/>
    <cellStyle name="40 % - Markeringsfarve1 3 2 3 7" xfId="11625"/>
    <cellStyle name="40 % - Markeringsfarve1 3 2 3 8" xfId="22984"/>
    <cellStyle name="40 % - Markeringsfarve1 3 2 4" xfId="1090"/>
    <cellStyle name="40 % - Markeringsfarve1 3 2 4 2" xfId="2755"/>
    <cellStyle name="40 % - Markeringsfarve1 3 2 4 2 2" xfId="7743"/>
    <cellStyle name="40 % - Markeringsfarve1 3 2 4 2 2 2" xfId="18550"/>
    <cellStyle name="40 % - Markeringsfarve1 3 2 4 2 2 3" xfId="29907"/>
    <cellStyle name="40 % - Markeringsfarve1 3 2 4 2 3" xfId="13565"/>
    <cellStyle name="40 % - Markeringsfarve1 3 2 4 2 4" xfId="24923"/>
    <cellStyle name="40 % - Markeringsfarve1 3 2 4 3" xfId="4419"/>
    <cellStyle name="40 % - Markeringsfarve1 3 2 4 3 2" xfId="9404"/>
    <cellStyle name="40 % - Markeringsfarve1 3 2 4 3 2 2" xfId="20211"/>
    <cellStyle name="40 % - Markeringsfarve1 3 2 4 3 2 3" xfId="31568"/>
    <cellStyle name="40 % - Markeringsfarve1 3 2 4 3 3" xfId="15226"/>
    <cellStyle name="40 % - Markeringsfarve1 3 2 4 3 4" xfId="26584"/>
    <cellStyle name="40 % - Markeringsfarve1 3 2 4 4" xfId="6081"/>
    <cellStyle name="40 % - Markeringsfarve1 3 2 4 4 2" xfId="16889"/>
    <cellStyle name="40 % - Markeringsfarve1 3 2 4 4 3" xfId="28246"/>
    <cellStyle name="40 % - Markeringsfarve1 3 2 4 5" xfId="11904"/>
    <cellStyle name="40 % - Markeringsfarve1 3 2 4 6" xfId="23262"/>
    <cellStyle name="40 % - Markeringsfarve1 3 2 5" xfId="1925"/>
    <cellStyle name="40 % - Markeringsfarve1 3 2 5 2" xfId="6913"/>
    <cellStyle name="40 % - Markeringsfarve1 3 2 5 2 2" xfId="17721"/>
    <cellStyle name="40 % - Markeringsfarve1 3 2 5 2 3" xfId="29078"/>
    <cellStyle name="40 % - Markeringsfarve1 3 2 5 3" xfId="12736"/>
    <cellStyle name="40 % - Markeringsfarve1 3 2 5 4" xfId="24094"/>
    <cellStyle name="40 % - Markeringsfarve1 3 2 6" xfId="3590"/>
    <cellStyle name="40 % - Markeringsfarve1 3 2 6 2" xfId="8575"/>
    <cellStyle name="40 % - Markeringsfarve1 3 2 6 2 2" xfId="19382"/>
    <cellStyle name="40 % - Markeringsfarve1 3 2 6 2 3" xfId="30739"/>
    <cellStyle name="40 % - Markeringsfarve1 3 2 6 3" xfId="14397"/>
    <cellStyle name="40 % - Markeringsfarve1 3 2 6 4" xfId="25755"/>
    <cellStyle name="40 % - Markeringsfarve1 3 2 7" xfId="5251"/>
    <cellStyle name="40 % - Markeringsfarve1 3 2 7 2" xfId="16060"/>
    <cellStyle name="40 % - Markeringsfarve1 3 2 7 3" xfId="27417"/>
    <cellStyle name="40 % - Markeringsfarve1 3 2 8" xfId="10236"/>
    <cellStyle name="40 % - Markeringsfarve1 3 2 8 2" xfId="21043"/>
    <cellStyle name="40 % - Markeringsfarve1 3 2 8 3" xfId="32400"/>
    <cellStyle name="40 % - Markeringsfarve1 3 2 9" xfId="11070"/>
    <cellStyle name="40 % - Markeringsfarve1 3 3" xfId="274"/>
    <cellStyle name="40 % - Markeringsfarve1 3 3 10" xfId="21931"/>
    <cellStyle name="40 % - Markeringsfarve1 3 3 11" xfId="22484"/>
    <cellStyle name="40 % - Markeringsfarve1 3 3 12" xfId="33287"/>
    <cellStyle name="40 % - Markeringsfarve1 3 3 13" xfId="33562"/>
    <cellStyle name="40 % - Markeringsfarve1 3 3 14" xfId="33833"/>
    <cellStyle name="40 % - Markeringsfarve1 3 3 2" xfId="591"/>
    <cellStyle name="40 % - Markeringsfarve1 3 3 2 2" xfId="1423"/>
    <cellStyle name="40 % - Markeringsfarve1 3 3 2 2 2" xfId="3088"/>
    <cellStyle name="40 % - Markeringsfarve1 3 3 2 2 2 2" xfId="8076"/>
    <cellStyle name="40 % - Markeringsfarve1 3 3 2 2 2 2 2" xfId="18883"/>
    <cellStyle name="40 % - Markeringsfarve1 3 3 2 2 2 2 3" xfId="30240"/>
    <cellStyle name="40 % - Markeringsfarve1 3 3 2 2 2 3" xfId="13898"/>
    <cellStyle name="40 % - Markeringsfarve1 3 3 2 2 2 4" xfId="25256"/>
    <cellStyle name="40 % - Markeringsfarve1 3 3 2 2 3" xfId="4752"/>
    <cellStyle name="40 % - Markeringsfarve1 3 3 2 2 3 2" xfId="9737"/>
    <cellStyle name="40 % - Markeringsfarve1 3 3 2 2 3 2 2" xfId="20544"/>
    <cellStyle name="40 % - Markeringsfarve1 3 3 2 2 3 2 3" xfId="31901"/>
    <cellStyle name="40 % - Markeringsfarve1 3 3 2 2 3 3" xfId="15559"/>
    <cellStyle name="40 % - Markeringsfarve1 3 3 2 2 3 4" xfId="26917"/>
    <cellStyle name="40 % - Markeringsfarve1 3 3 2 2 4" xfId="6414"/>
    <cellStyle name="40 % - Markeringsfarve1 3 3 2 2 4 2" xfId="17222"/>
    <cellStyle name="40 % - Markeringsfarve1 3 3 2 2 4 3" xfId="28579"/>
    <cellStyle name="40 % - Markeringsfarve1 3 3 2 2 5" xfId="12237"/>
    <cellStyle name="40 % - Markeringsfarve1 3 3 2 2 6" xfId="23595"/>
    <cellStyle name="40 % - Markeringsfarve1 3 3 2 3" xfId="2257"/>
    <cellStyle name="40 % - Markeringsfarve1 3 3 2 3 2" xfId="7245"/>
    <cellStyle name="40 % - Markeringsfarve1 3 3 2 3 2 2" xfId="18052"/>
    <cellStyle name="40 % - Markeringsfarve1 3 3 2 3 2 3" xfId="29409"/>
    <cellStyle name="40 % - Markeringsfarve1 3 3 2 3 3" xfId="13067"/>
    <cellStyle name="40 % - Markeringsfarve1 3 3 2 3 4" xfId="24425"/>
    <cellStyle name="40 % - Markeringsfarve1 3 3 2 4" xfId="3921"/>
    <cellStyle name="40 % - Markeringsfarve1 3 3 2 4 2" xfId="8906"/>
    <cellStyle name="40 % - Markeringsfarve1 3 3 2 4 2 2" xfId="19713"/>
    <cellStyle name="40 % - Markeringsfarve1 3 3 2 4 2 3" xfId="31070"/>
    <cellStyle name="40 % - Markeringsfarve1 3 3 2 4 3" xfId="14728"/>
    <cellStyle name="40 % - Markeringsfarve1 3 3 2 4 4" xfId="26086"/>
    <cellStyle name="40 % - Markeringsfarve1 3 3 2 5" xfId="5583"/>
    <cellStyle name="40 % - Markeringsfarve1 3 3 2 5 2" xfId="16391"/>
    <cellStyle name="40 % - Markeringsfarve1 3 3 2 5 3" xfId="27748"/>
    <cellStyle name="40 % - Markeringsfarve1 3 3 2 6" xfId="10570"/>
    <cellStyle name="40 % - Markeringsfarve1 3 3 2 6 2" xfId="21377"/>
    <cellStyle name="40 % - Markeringsfarve1 3 3 2 6 3" xfId="32734"/>
    <cellStyle name="40 % - Markeringsfarve1 3 3 2 7" xfId="11404"/>
    <cellStyle name="40 % - Markeringsfarve1 3 3 2 8" xfId="22210"/>
    <cellStyle name="40 % - Markeringsfarve1 3 3 2 9" xfId="22764"/>
    <cellStyle name="40 % - Markeringsfarve1 3 3 3" xfId="865"/>
    <cellStyle name="40 % - Markeringsfarve1 3 3 3 2" xfId="1697"/>
    <cellStyle name="40 % - Markeringsfarve1 3 3 3 2 2" xfId="3362"/>
    <cellStyle name="40 % - Markeringsfarve1 3 3 3 2 2 2" xfId="8350"/>
    <cellStyle name="40 % - Markeringsfarve1 3 3 3 2 2 2 2" xfId="19157"/>
    <cellStyle name="40 % - Markeringsfarve1 3 3 3 2 2 2 3" xfId="30514"/>
    <cellStyle name="40 % - Markeringsfarve1 3 3 3 2 2 3" xfId="14172"/>
    <cellStyle name="40 % - Markeringsfarve1 3 3 3 2 2 4" xfId="25530"/>
    <cellStyle name="40 % - Markeringsfarve1 3 3 3 2 3" xfId="5026"/>
    <cellStyle name="40 % - Markeringsfarve1 3 3 3 2 3 2" xfId="10011"/>
    <cellStyle name="40 % - Markeringsfarve1 3 3 3 2 3 2 2" xfId="20818"/>
    <cellStyle name="40 % - Markeringsfarve1 3 3 3 2 3 2 3" xfId="32175"/>
    <cellStyle name="40 % - Markeringsfarve1 3 3 3 2 3 3" xfId="15833"/>
    <cellStyle name="40 % - Markeringsfarve1 3 3 3 2 3 4" xfId="27191"/>
    <cellStyle name="40 % - Markeringsfarve1 3 3 3 2 4" xfId="6688"/>
    <cellStyle name="40 % - Markeringsfarve1 3 3 3 2 4 2" xfId="17496"/>
    <cellStyle name="40 % - Markeringsfarve1 3 3 3 2 4 3" xfId="28853"/>
    <cellStyle name="40 % - Markeringsfarve1 3 3 3 2 5" xfId="12511"/>
    <cellStyle name="40 % - Markeringsfarve1 3 3 3 2 6" xfId="23869"/>
    <cellStyle name="40 % - Markeringsfarve1 3 3 3 3" xfId="2531"/>
    <cellStyle name="40 % - Markeringsfarve1 3 3 3 3 2" xfId="7519"/>
    <cellStyle name="40 % - Markeringsfarve1 3 3 3 3 2 2" xfId="18326"/>
    <cellStyle name="40 % - Markeringsfarve1 3 3 3 3 2 3" xfId="29683"/>
    <cellStyle name="40 % - Markeringsfarve1 3 3 3 3 3" xfId="13341"/>
    <cellStyle name="40 % - Markeringsfarve1 3 3 3 3 4" xfId="24699"/>
    <cellStyle name="40 % - Markeringsfarve1 3 3 3 4" xfId="4195"/>
    <cellStyle name="40 % - Markeringsfarve1 3 3 3 4 2" xfId="9180"/>
    <cellStyle name="40 % - Markeringsfarve1 3 3 3 4 2 2" xfId="19987"/>
    <cellStyle name="40 % - Markeringsfarve1 3 3 3 4 2 3" xfId="31344"/>
    <cellStyle name="40 % - Markeringsfarve1 3 3 3 4 3" xfId="15002"/>
    <cellStyle name="40 % - Markeringsfarve1 3 3 3 4 4" xfId="26360"/>
    <cellStyle name="40 % - Markeringsfarve1 3 3 3 5" xfId="5857"/>
    <cellStyle name="40 % - Markeringsfarve1 3 3 3 5 2" xfId="16665"/>
    <cellStyle name="40 % - Markeringsfarve1 3 3 3 5 3" xfId="28022"/>
    <cellStyle name="40 % - Markeringsfarve1 3 3 3 6" xfId="10844"/>
    <cellStyle name="40 % - Markeringsfarve1 3 3 3 6 2" xfId="21651"/>
    <cellStyle name="40 % - Markeringsfarve1 3 3 3 6 3" xfId="33008"/>
    <cellStyle name="40 % - Markeringsfarve1 3 3 3 7" xfId="11679"/>
    <cellStyle name="40 % - Markeringsfarve1 3 3 3 8" xfId="23038"/>
    <cellStyle name="40 % - Markeringsfarve1 3 3 4" xfId="1144"/>
    <cellStyle name="40 % - Markeringsfarve1 3 3 4 2" xfId="2809"/>
    <cellStyle name="40 % - Markeringsfarve1 3 3 4 2 2" xfId="7797"/>
    <cellStyle name="40 % - Markeringsfarve1 3 3 4 2 2 2" xfId="18604"/>
    <cellStyle name="40 % - Markeringsfarve1 3 3 4 2 2 3" xfId="29961"/>
    <cellStyle name="40 % - Markeringsfarve1 3 3 4 2 3" xfId="13619"/>
    <cellStyle name="40 % - Markeringsfarve1 3 3 4 2 4" xfId="24977"/>
    <cellStyle name="40 % - Markeringsfarve1 3 3 4 3" xfId="4473"/>
    <cellStyle name="40 % - Markeringsfarve1 3 3 4 3 2" xfId="9458"/>
    <cellStyle name="40 % - Markeringsfarve1 3 3 4 3 2 2" xfId="20265"/>
    <cellStyle name="40 % - Markeringsfarve1 3 3 4 3 2 3" xfId="31622"/>
    <cellStyle name="40 % - Markeringsfarve1 3 3 4 3 3" xfId="15280"/>
    <cellStyle name="40 % - Markeringsfarve1 3 3 4 3 4" xfId="26638"/>
    <cellStyle name="40 % - Markeringsfarve1 3 3 4 4" xfId="6135"/>
    <cellStyle name="40 % - Markeringsfarve1 3 3 4 4 2" xfId="16943"/>
    <cellStyle name="40 % - Markeringsfarve1 3 3 4 4 3" xfId="28300"/>
    <cellStyle name="40 % - Markeringsfarve1 3 3 4 5" xfId="11958"/>
    <cellStyle name="40 % - Markeringsfarve1 3 3 4 6" xfId="23316"/>
    <cellStyle name="40 % - Markeringsfarve1 3 3 5" xfId="1979"/>
    <cellStyle name="40 % - Markeringsfarve1 3 3 5 2" xfId="6967"/>
    <cellStyle name="40 % - Markeringsfarve1 3 3 5 2 2" xfId="17775"/>
    <cellStyle name="40 % - Markeringsfarve1 3 3 5 2 3" xfId="29132"/>
    <cellStyle name="40 % - Markeringsfarve1 3 3 5 3" xfId="12790"/>
    <cellStyle name="40 % - Markeringsfarve1 3 3 5 4" xfId="24148"/>
    <cellStyle name="40 % - Markeringsfarve1 3 3 6" xfId="3644"/>
    <cellStyle name="40 % - Markeringsfarve1 3 3 6 2" xfId="8629"/>
    <cellStyle name="40 % - Markeringsfarve1 3 3 6 2 2" xfId="19436"/>
    <cellStyle name="40 % - Markeringsfarve1 3 3 6 2 3" xfId="30793"/>
    <cellStyle name="40 % - Markeringsfarve1 3 3 6 3" xfId="14451"/>
    <cellStyle name="40 % - Markeringsfarve1 3 3 6 4" xfId="25809"/>
    <cellStyle name="40 % - Markeringsfarve1 3 3 7" xfId="5305"/>
    <cellStyle name="40 % - Markeringsfarve1 3 3 7 2" xfId="16114"/>
    <cellStyle name="40 % - Markeringsfarve1 3 3 7 3" xfId="27471"/>
    <cellStyle name="40 % - Markeringsfarve1 3 3 8" xfId="10290"/>
    <cellStyle name="40 % - Markeringsfarve1 3 3 8 2" xfId="21097"/>
    <cellStyle name="40 % - Markeringsfarve1 3 3 8 3" xfId="32454"/>
    <cellStyle name="40 % - Markeringsfarve1 3 3 9" xfId="11124"/>
    <cellStyle name="40 % - Markeringsfarve1 3 4" xfId="329"/>
    <cellStyle name="40 % - Markeringsfarve1 3 4 10" xfId="21986"/>
    <cellStyle name="40 % - Markeringsfarve1 3 4 11" xfId="22539"/>
    <cellStyle name="40 % - Markeringsfarve1 3 4 12" xfId="33342"/>
    <cellStyle name="40 % - Markeringsfarve1 3 4 13" xfId="33617"/>
    <cellStyle name="40 % - Markeringsfarve1 3 4 14" xfId="33888"/>
    <cellStyle name="40 % - Markeringsfarve1 3 4 2" xfId="646"/>
    <cellStyle name="40 % - Markeringsfarve1 3 4 2 2" xfId="1478"/>
    <cellStyle name="40 % - Markeringsfarve1 3 4 2 2 2" xfId="3143"/>
    <cellStyle name="40 % - Markeringsfarve1 3 4 2 2 2 2" xfId="8131"/>
    <cellStyle name="40 % - Markeringsfarve1 3 4 2 2 2 2 2" xfId="18938"/>
    <cellStyle name="40 % - Markeringsfarve1 3 4 2 2 2 2 3" xfId="30295"/>
    <cellStyle name="40 % - Markeringsfarve1 3 4 2 2 2 3" xfId="13953"/>
    <cellStyle name="40 % - Markeringsfarve1 3 4 2 2 2 4" xfId="25311"/>
    <cellStyle name="40 % - Markeringsfarve1 3 4 2 2 3" xfId="4807"/>
    <cellStyle name="40 % - Markeringsfarve1 3 4 2 2 3 2" xfId="9792"/>
    <cellStyle name="40 % - Markeringsfarve1 3 4 2 2 3 2 2" xfId="20599"/>
    <cellStyle name="40 % - Markeringsfarve1 3 4 2 2 3 2 3" xfId="31956"/>
    <cellStyle name="40 % - Markeringsfarve1 3 4 2 2 3 3" xfId="15614"/>
    <cellStyle name="40 % - Markeringsfarve1 3 4 2 2 3 4" xfId="26972"/>
    <cellStyle name="40 % - Markeringsfarve1 3 4 2 2 4" xfId="6469"/>
    <cellStyle name="40 % - Markeringsfarve1 3 4 2 2 4 2" xfId="17277"/>
    <cellStyle name="40 % - Markeringsfarve1 3 4 2 2 4 3" xfId="28634"/>
    <cellStyle name="40 % - Markeringsfarve1 3 4 2 2 5" xfId="12292"/>
    <cellStyle name="40 % - Markeringsfarve1 3 4 2 2 6" xfId="23650"/>
    <cellStyle name="40 % - Markeringsfarve1 3 4 2 3" xfId="2312"/>
    <cellStyle name="40 % - Markeringsfarve1 3 4 2 3 2" xfId="7300"/>
    <cellStyle name="40 % - Markeringsfarve1 3 4 2 3 2 2" xfId="18107"/>
    <cellStyle name="40 % - Markeringsfarve1 3 4 2 3 2 3" xfId="29464"/>
    <cellStyle name="40 % - Markeringsfarve1 3 4 2 3 3" xfId="13122"/>
    <cellStyle name="40 % - Markeringsfarve1 3 4 2 3 4" xfId="24480"/>
    <cellStyle name="40 % - Markeringsfarve1 3 4 2 4" xfId="3976"/>
    <cellStyle name="40 % - Markeringsfarve1 3 4 2 4 2" xfId="8961"/>
    <cellStyle name="40 % - Markeringsfarve1 3 4 2 4 2 2" xfId="19768"/>
    <cellStyle name="40 % - Markeringsfarve1 3 4 2 4 2 3" xfId="31125"/>
    <cellStyle name="40 % - Markeringsfarve1 3 4 2 4 3" xfId="14783"/>
    <cellStyle name="40 % - Markeringsfarve1 3 4 2 4 4" xfId="26141"/>
    <cellStyle name="40 % - Markeringsfarve1 3 4 2 5" xfId="5638"/>
    <cellStyle name="40 % - Markeringsfarve1 3 4 2 5 2" xfId="16446"/>
    <cellStyle name="40 % - Markeringsfarve1 3 4 2 5 3" xfId="27803"/>
    <cellStyle name="40 % - Markeringsfarve1 3 4 2 6" xfId="10625"/>
    <cellStyle name="40 % - Markeringsfarve1 3 4 2 6 2" xfId="21432"/>
    <cellStyle name="40 % - Markeringsfarve1 3 4 2 6 3" xfId="32789"/>
    <cellStyle name="40 % - Markeringsfarve1 3 4 2 7" xfId="11459"/>
    <cellStyle name="40 % - Markeringsfarve1 3 4 2 8" xfId="22265"/>
    <cellStyle name="40 % - Markeringsfarve1 3 4 2 9" xfId="22819"/>
    <cellStyle name="40 % - Markeringsfarve1 3 4 3" xfId="920"/>
    <cellStyle name="40 % - Markeringsfarve1 3 4 3 2" xfId="1752"/>
    <cellStyle name="40 % - Markeringsfarve1 3 4 3 2 2" xfId="3417"/>
    <cellStyle name="40 % - Markeringsfarve1 3 4 3 2 2 2" xfId="8405"/>
    <cellStyle name="40 % - Markeringsfarve1 3 4 3 2 2 2 2" xfId="19212"/>
    <cellStyle name="40 % - Markeringsfarve1 3 4 3 2 2 2 3" xfId="30569"/>
    <cellStyle name="40 % - Markeringsfarve1 3 4 3 2 2 3" xfId="14227"/>
    <cellStyle name="40 % - Markeringsfarve1 3 4 3 2 2 4" xfId="25585"/>
    <cellStyle name="40 % - Markeringsfarve1 3 4 3 2 3" xfId="5081"/>
    <cellStyle name="40 % - Markeringsfarve1 3 4 3 2 3 2" xfId="10066"/>
    <cellStyle name="40 % - Markeringsfarve1 3 4 3 2 3 2 2" xfId="20873"/>
    <cellStyle name="40 % - Markeringsfarve1 3 4 3 2 3 2 3" xfId="32230"/>
    <cellStyle name="40 % - Markeringsfarve1 3 4 3 2 3 3" xfId="15888"/>
    <cellStyle name="40 % - Markeringsfarve1 3 4 3 2 3 4" xfId="27246"/>
    <cellStyle name="40 % - Markeringsfarve1 3 4 3 2 4" xfId="6743"/>
    <cellStyle name="40 % - Markeringsfarve1 3 4 3 2 4 2" xfId="17551"/>
    <cellStyle name="40 % - Markeringsfarve1 3 4 3 2 4 3" xfId="28908"/>
    <cellStyle name="40 % - Markeringsfarve1 3 4 3 2 5" xfId="12566"/>
    <cellStyle name="40 % - Markeringsfarve1 3 4 3 2 6" xfId="23924"/>
    <cellStyle name="40 % - Markeringsfarve1 3 4 3 3" xfId="2586"/>
    <cellStyle name="40 % - Markeringsfarve1 3 4 3 3 2" xfId="7574"/>
    <cellStyle name="40 % - Markeringsfarve1 3 4 3 3 2 2" xfId="18381"/>
    <cellStyle name="40 % - Markeringsfarve1 3 4 3 3 2 3" xfId="29738"/>
    <cellStyle name="40 % - Markeringsfarve1 3 4 3 3 3" xfId="13396"/>
    <cellStyle name="40 % - Markeringsfarve1 3 4 3 3 4" xfId="24754"/>
    <cellStyle name="40 % - Markeringsfarve1 3 4 3 4" xfId="4250"/>
    <cellStyle name="40 % - Markeringsfarve1 3 4 3 4 2" xfId="9235"/>
    <cellStyle name="40 % - Markeringsfarve1 3 4 3 4 2 2" xfId="20042"/>
    <cellStyle name="40 % - Markeringsfarve1 3 4 3 4 2 3" xfId="31399"/>
    <cellStyle name="40 % - Markeringsfarve1 3 4 3 4 3" xfId="15057"/>
    <cellStyle name="40 % - Markeringsfarve1 3 4 3 4 4" xfId="26415"/>
    <cellStyle name="40 % - Markeringsfarve1 3 4 3 5" xfId="5912"/>
    <cellStyle name="40 % - Markeringsfarve1 3 4 3 5 2" xfId="16720"/>
    <cellStyle name="40 % - Markeringsfarve1 3 4 3 5 3" xfId="28077"/>
    <cellStyle name="40 % - Markeringsfarve1 3 4 3 6" xfId="10899"/>
    <cellStyle name="40 % - Markeringsfarve1 3 4 3 6 2" xfId="21706"/>
    <cellStyle name="40 % - Markeringsfarve1 3 4 3 6 3" xfId="33063"/>
    <cellStyle name="40 % - Markeringsfarve1 3 4 3 7" xfId="11734"/>
    <cellStyle name="40 % - Markeringsfarve1 3 4 3 8" xfId="23093"/>
    <cellStyle name="40 % - Markeringsfarve1 3 4 4" xfId="1199"/>
    <cellStyle name="40 % - Markeringsfarve1 3 4 4 2" xfId="2864"/>
    <cellStyle name="40 % - Markeringsfarve1 3 4 4 2 2" xfId="7852"/>
    <cellStyle name="40 % - Markeringsfarve1 3 4 4 2 2 2" xfId="18659"/>
    <cellStyle name="40 % - Markeringsfarve1 3 4 4 2 2 3" xfId="30016"/>
    <cellStyle name="40 % - Markeringsfarve1 3 4 4 2 3" xfId="13674"/>
    <cellStyle name="40 % - Markeringsfarve1 3 4 4 2 4" xfId="25032"/>
    <cellStyle name="40 % - Markeringsfarve1 3 4 4 3" xfId="4528"/>
    <cellStyle name="40 % - Markeringsfarve1 3 4 4 3 2" xfId="9513"/>
    <cellStyle name="40 % - Markeringsfarve1 3 4 4 3 2 2" xfId="20320"/>
    <cellStyle name="40 % - Markeringsfarve1 3 4 4 3 2 3" xfId="31677"/>
    <cellStyle name="40 % - Markeringsfarve1 3 4 4 3 3" xfId="15335"/>
    <cellStyle name="40 % - Markeringsfarve1 3 4 4 3 4" xfId="26693"/>
    <cellStyle name="40 % - Markeringsfarve1 3 4 4 4" xfId="6190"/>
    <cellStyle name="40 % - Markeringsfarve1 3 4 4 4 2" xfId="16998"/>
    <cellStyle name="40 % - Markeringsfarve1 3 4 4 4 3" xfId="28355"/>
    <cellStyle name="40 % - Markeringsfarve1 3 4 4 5" xfId="12013"/>
    <cellStyle name="40 % - Markeringsfarve1 3 4 4 6" xfId="23371"/>
    <cellStyle name="40 % - Markeringsfarve1 3 4 5" xfId="2034"/>
    <cellStyle name="40 % - Markeringsfarve1 3 4 5 2" xfId="7022"/>
    <cellStyle name="40 % - Markeringsfarve1 3 4 5 2 2" xfId="17830"/>
    <cellStyle name="40 % - Markeringsfarve1 3 4 5 2 3" xfId="29187"/>
    <cellStyle name="40 % - Markeringsfarve1 3 4 5 3" xfId="12845"/>
    <cellStyle name="40 % - Markeringsfarve1 3 4 5 4" xfId="24203"/>
    <cellStyle name="40 % - Markeringsfarve1 3 4 6" xfId="3699"/>
    <cellStyle name="40 % - Markeringsfarve1 3 4 6 2" xfId="8684"/>
    <cellStyle name="40 % - Markeringsfarve1 3 4 6 2 2" xfId="19491"/>
    <cellStyle name="40 % - Markeringsfarve1 3 4 6 2 3" xfId="30848"/>
    <cellStyle name="40 % - Markeringsfarve1 3 4 6 3" xfId="14506"/>
    <cellStyle name="40 % - Markeringsfarve1 3 4 6 4" xfId="25864"/>
    <cellStyle name="40 % - Markeringsfarve1 3 4 7" xfId="5360"/>
    <cellStyle name="40 % - Markeringsfarve1 3 4 7 2" xfId="16169"/>
    <cellStyle name="40 % - Markeringsfarve1 3 4 7 3" xfId="27526"/>
    <cellStyle name="40 % - Markeringsfarve1 3 4 8" xfId="10345"/>
    <cellStyle name="40 % - Markeringsfarve1 3 4 8 2" xfId="21152"/>
    <cellStyle name="40 % - Markeringsfarve1 3 4 8 3" xfId="32509"/>
    <cellStyle name="40 % - Markeringsfarve1 3 4 9" xfId="11179"/>
    <cellStyle name="40 % - Markeringsfarve1 3 5" xfId="385"/>
    <cellStyle name="40 % - Markeringsfarve1 3 5 10" xfId="22042"/>
    <cellStyle name="40 % - Markeringsfarve1 3 5 11" xfId="22595"/>
    <cellStyle name="40 % - Markeringsfarve1 3 5 12" xfId="33398"/>
    <cellStyle name="40 % - Markeringsfarve1 3 5 13" xfId="33673"/>
    <cellStyle name="40 % - Markeringsfarve1 3 5 14" xfId="33944"/>
    <cellStyle name="40 % - Markeringsfarve1 3 5 2" xfId="702"/>
    <cellStyle name="40 % - Markeringsfarve1 3 5 2 2" xfId="1534"/>
    <cellStyle name="40 % - Markeringsfarve1 3 5 2 2 2" xfId="3199"/>
    <cellStyle name="40 % - Markeringsfarve1 3 5 2 2 2 2" xfId="8187"/>
    <cellStyle name="40 % - Markeringsfarve1 3 5 2 2 2 2 2" xfId="18994"/>
    <cellStyle name="40 % - Markeringsfarve1 3 5 2 2 2 2 3" xfId="30351"/>
    <cellStyle name="40 % - Markeringsfarve1 3 5 2 2 2 3" xfId="14009"/>
    <cellStyle name="40 % - Markeringsfarve1 3 5 2 2 2 4" xfId="25367"/>
    <cellStyle name="40 % - Markeringsfarve1 3 5 2 2 3" xfId="4863"/>
    <cellStyle name="40 % - Markeringsfarve1 3 5 2 2 3 2" xfId="9848"/>
    <cellStyle name="40 % - Markeringsfarve1 3 5 2 2 3 2 2" xfId="20655"/>
    <cellStyle name="40 % - Markeringsfarve1 3 5 2 2 3 2 3" xfId="32012"/>
    <cellStyle name="40 % - Markeringsfarve1 3 5 2 2 3 3" xfId="15670"/>
    <cellStyle name="40 % - Markeringsfarve1 3 5 2 2 3 4" xfId="27028"/>
    <cellStyle name="40 % - Markeringsfarve1 3 5 2 2 4" xfId="6525"/>
    <cellStyle name="40 % - Markeringsfarve1 3 5 2 2 4 2" xfId="17333"/>
    <cellStyle name="40 % - Markeringsfarve1 3 5 2 2 4 3" xfId="28690"/>
    <cellStyle name="40 % - Markeringsfarve1 3 5 2 2 5" xfId="12348"/>
    <cellStyle name="40 % - Markeringsfarve1 3 5 2 2 6" xfId="23706"/>
    <cellStyle name="40 % - Markeringsfarve1 3 5 2 3" xfId="2368"/>
    <cellStyle name="40 % - Markeringsfarve1 3 5 2 3 2" xfId="7356"/>
    <cellStyle name="40 % - Markeringsfarve1 3 5 2 3 2 2" xfId="18163"/>
    <cellStyle name="40 % - Markeringsfarve1 3 5 2 3 2 3" xfId="29520"/>
    <cellStyle name="40 % - Markeringsfarve1 3 5 2 3 3" xfId="13178"/>
    <cellStyle name="40 % - Markeringsfarve1 3 5 2 3 4" xfId="24536"/>
    <cellStyle name="40 % - Markeringsfarve1 3 5 2 4" xfId="4032"/>
    <cellStyle name="40 % - Markeringsfarve1 3 5 2 4 2" xfId="9017"/>
    <cellStyle name="40 % - Markeringsfarve1 3 5 2 4 2 2" xfId="19824"/>
    <cellStyle name="40 % - Markeringsfarve1 3 5 2 4 2 3" xfId="31181"/>
    <cellStyle name="40 % - Markeringsfarve1 3 5 2 4 3" xfId="14839"/>
    <cellStyle name="40 % - Markeringsfarve1 3 5 2 4 4" xfId="26197"/>
    <cellStyle name="40 % - Markeringsfarve1 3 5 2 5" xfId="5694"/>
    <cellStyle name="40 % - Markeringsfarve1 3 5 2 5 2" xfId="16502"/>
    <cellStyle name="40 % - Markeringsfarve1 3 5 2 5 3" xfId="27859"/>
    <cellStyle name="40 % - Markeringsfarve1 3 5 2 6" xfId="10681"/>
    <cellStyle name="40 % - Markeringsfarve1 3 5 2 6 2" xfId="21488"/>
    <cellStyle name="40 % - Markeringsfarve1 3 5 2 6 3" xfId="32845"/>
    <cellStyle name="40 % - Markeringsfarve1 3 5 2 7" xfId="11515"/>
    <cellStyle name="40 % - Markeringsfarve1 3 5 2 8" xfId="22321"/>
    <cellStyle name="40 % - Markeringsfarve1 3 5 2 9" xfId="22875"/>
    <cellStyle name="40 % - Markeringsfarve1 3 5 3" xfId="976"/>
    <cellStyle name="40 % - Markeringsfarve1 3 5 3 2" xfId="1808"/>
    <cellStyle name="40 % - Markeringsfarve1 3 5 3 2 2" xfId="3473"/>
    <cellStyle name="40 % - Markeringsfarve1 3 5 3 2 2 2" xfId="8461"/>
    <cellStyle name="40 % - Markeringsfarve1 3 5 3 2 2 2 2" xfId="19268"/>
    <cellStyle name="40 % - Markeringsfarve1 3 5 3 2 2 2 3" xfId="30625"/>
    <cellStyle name="40 % - Markeringsfarve1 3 5 3 2 2 3" xfId="14283"/>
    <cellStyle name="40 % - Markeringsfarve1 3 5 3 2 2 4" xfId="25641"/>
    <cellStyle name="40 % - Markeringsfarve1 3 5 3 2 3" xfId="5137"/>
    <cellStyle name="40 % - Markeringsfarve1 3 5 3 2 3 2" xfId="10122"/>
    <cellStyle name="40 % - Markeringsfarve1 3 5 3 2 3 2 2" xfId="20929"/>
    <cellStyle name="40 % - Markeringsfarve1 3 5 3 2 3 2 3" xfId="32286"/>
    <cellStyle name="40 % - Markeringsfarve1 3 5 3 2 3 3" xfId="15944"/>
    <cellStyle name="40 % - Markeringsfarve1 3 5 3 2 3 4" xfId="27302"/>
    <cellStyle name="40 % - Markeringsfarve1 3 5 3 2 4" xfId="6799"/>
    <cellStyle name="40 % - Markeringsfarve1 3 5 3 2 4 2" xfId="17607"/>
    <cellStyle name="40 % - Markeringsfarve1 3 5 3 2 4 3" xfId="28964"/>
    <cellStyle name="40 % - Markeringsfarve1 3 5 3 2 5" xfId="12622"/>
    <cellStyle name="40 % - Markeringsfarve1 3 5 3 2 6" xfId="23980"/>
    <cellStyle name="40 % - Markeringsfarve1 3 5 3 3" xfId="2642"/>
    <cellStyle name="40 % - Markeringsfarve1 3 5 3 3 2" xfId="7630"/>
    <cellStyle name="40 % - Markeringsfarve1 3 5 3 3 2 2" xfId="18437"/>
    <cellStyle name="40 % - Markeringsfarve1 3 5 3 3 2 3" xfId="29794"/>
    <cellStyle name="40 % - Markeringsfarve1 3 5 3 3 3" xfId="13452"/>
    <cellStyle name="40 % - Markeringsfarve1 3 5 3 3 4" xfId="24810"/>
    <cellStyle name="40 % - Markeringsfarve1 3 5 3 4" xfId="4306"/>
    <cellStyle name="40 % - Markeringsfarve1 3 5 3 4 2" xfId="9291"/>
    <cellStyle name="40 % - Markeringsfarve1 3 5 3 4 2 2" xfId="20098"/>
    <cellStyle name="40 % - Markeringsfarve1 3 5 3 4 2 3" xfId="31455"/>
    <cellStyle name="40 % - Markeringsfarve1 3 5 3 4 3" xfId="15113"/>
    <cellStyle name="40 % - Markeringsfarve1 3 5 3 4 4" xfId="26471"/>
    <cellStyle name="40 % - Markeringsfarve1 3 5 3 5" xfId="5968"/>
    <cellStyle name="40 % - Markeringsfarve1 3 5 3 5 2" xfId="16776"/>
    <cellStyle name="40 % - Markeringsfarve1 3 5 3 5 3" xfId="28133"/>
    <cellStyle name="40 % - Markeringsfarve1 3 5 3 6" xfId="10955"/>
    <cellStyle name="40 % - Markeringsfarve1 3 5 3 6 2" xfId="21762"/>
    <cellStyle name="40 % - Markeringsfarve1 3 5 3 6 3" xfId="33119"/>
    <cellStyle name="40 % - Markeringsfarve1 3 5 3 7" xfId="11790"/>
    <cellStyle name="40 % - Markeringsfarve1 3 5 3 8" xfId="23149"/>
    <cellStyle name="40 % - Markeringsfarve1 3 5 4" xfId="1255"/>
    <cellStyle name="40 % - Markeringsfarve1 3 5 4 2" xfId="2920"/>
    <cellStyle name="40 % - Markeringsfarve1 3 5 4 2 2" xfId="7908"/>
    <cellStyle name="40 % - Markeringsfarve1 3 5 4 2 2 2" xfId="18715"/>
    <cellStyle name="40 % - Markeringsfarve1 3 5 4 2 2 3" xfId="30072"/>
    <cellStyle name="40 % - Markeringsfarve1 3 5 4 2 3" xfId="13730"/>
    <cellStyle name="40 % - Markeringsfarve1 3 5 4 2 4" xfId="25088"/>
    <cellStyle name="40 % - Markeringsfarve1 3 5 4 3" xfId="4584"/>
    <cellStyle name="40 % - Markeringsfarve1 3 5 4 3 2" xfId="9569"/>
    <cellStyle name="40 % - Markeringsfarve1 3 5 4 3 2 2" xfId="20376"/>
    <cellStyle name="40 % - Markeringsfarve1 3 5 4 3 2 3" xfId="31733"/>
    <cellStyle name="40 % - Markeringsfarve1 3 5 4 3 3" xfId="15391"/>
    <cellStyle name="40 % - Markeringsfarve1 3 5 4 3 4" xfId="26749"/>
    <cellStyle name="40 % - Markeringsfarve1 3 5 4 4" xfId="6246"/>
    <cellStyle name="40 % - Markeringsfarve1 3 5 4 4 2" xfId="17054"/>
    <cellStyle name="40 % - Markeringsfarve1 3 5 4 4 3" xfId="28411"/>
    <cellStyle name="40 % - Markeringsfarve1 3 5 4 5" xfId="12069"/>
    <cellStyle name="40 % - Markeringsfarve1 3 5 4 6" xfId="23427"/>
    <cellStyle name="40 % - Markeringsfarve1 3 5 5" xfId="2090"/>
    <cellStyle name="40 % - Markeringsfarve1 3 5 5 2" xfId="7078"/>
    <cellStyle name="40 % - Markeringsfarve1 3 5 5 2 2" xfId="17886"/>
    <cellStyle name="40 % - Markeringsfarve1 3 5 5 2 3" xfId="29243"/>
    <cellStyle name="40 % - Markeringsfarve1 3 5 5 3" xfId="12901"/>
    <cellStyle name="40 % - Markeringsfarve1 3 5 5 4" xfId="24259"/>
    <cellStyle name="40 % - Markeringsfarve1 3 5 6" xfId="3755"/>
    <cellStyle name="40 % - Markeringsfarve1 3 5 6 2" xfId="8740"/>
    <cellStyle name="40 % - Markeringsfarve1 3 5 6 2 2" xfId="19547"/>
    <cellStyle name="40 % - Markeringsfarve1 3 5 6 2 3" xfId="30904"/>
    <cellStyle name="40 % - Markeringsfarve1 3 5 6 3" xfId="14562"/>
    <cellStyle name="40 % - Markeringsfarve1 3 5 6 4" xfId="25920"/>
    <cellStyle name="40 % - Markeringsfarve1 3 5 7" xfId="5416"/>
    <cellStyle name="40 % - Markeringsfarve1 3 5 7 2" xfId="16225"/>
    <cellStyle name="40 % - Markeringsfarve1 3 5 7 3" xfId="27582"/>
    <cellStyle name="40 % - Markeringsfarve1 3 5 8" xfId="10401"/>
    <cellStyle name="40 % - Markeringsfarve1 3 5 8 2" xfId="21208"/>
    <cellStyle name="40 % - Markeringsfarve1 3 5 8 3" xfId="32565"/>
    <cellStyle name="40 % - Markeringsfarve1 3 5 9" xfId="11235"/>
    <cellStyle name="40 % - Markeringsfarve1 3 6" xfId="485"/>
    <cellStyle name="40 % - Markeringsfarve1 3 6 2" xfId="1315"/>
    <cellStyle name="40 % - Markeringsfarve1 3 6 2 2" xfId="2980"/>
    <cellStyle name="40 % - Markeringsfarve1 3 6 2 2 2" xfId="7968"/>
    <cellStyle name="40 % - Markeringsfarve1 3 6 2 2 2 2" xfId="18775"/>
    <cellStyle name="40 % - Markeringsfarve1 3 6 2 2 2 3" xfId="30132"/>
    <cellStyle name="40 % - Markeringsfarve1 3 6 2 2 3" xfId="13790"/>
    <cellStyle name="40 % - Markeringsfarve1 3 6 2 2 4" xfId="25148"/>
    <cellStyle name="40 % - Markeringsfarve1 3 6 2 3" xfId="4644"/>
    <cellStyle name="40 % - Markeringsfarve1 3 6 2 3 2" xfId="9629"/>
    <cellStyle name="40 % - Markeringsfarve1 3 6 2 3 2 2" xfId="20436"/>
    <cellStyle name="40 % - Markeringsfarve1 3 6 2 3 2 3" xfId="31793"/>
    <cellStyle name="40 % - Markeringsfarve1 3 6 2 3 3" xfId="15451"/>
    <cellStyle name="40 % - Markeringsfarve1 3 6 2 3 4" xfId="26809"/>
    <cellStyle name="40 % - Markeringsfarve1 3 6 2 4" xfId="6306"/>
    <cellStyle name="40 % - Markeringsfarve1 3 6 2 4 2" xfId="17114"/>
    <cellStyle name="40 % - Markeringsfarve1 3 6 2 4 3" xfId="28471"/>
    <cellStyle name="40 % - Markeringsfarve1 3 6 2 5" xfId="12129"/>
    <cellStyle name="40 % - Markeringsfarve1 3 6 2 6" xfId="23487"/>
    <cellStyle name="40 % - Markeringsfarve1 3 6 3" xfId="2151"/>
    <cellStyle name="40 % - Markeringsfarve1 3 6 3 2" xfId="7139"/>
    <cellStyle name="40 % - Markeringsfarve1 3 6 3 2 2" xfId="17946"/>
    <cellStyle name="40 % - Markeringsfarve1 3 6 3 2 3" xfId="29303"/>
    <cellStyle name="40 % - Markeringsfarve1 3 6 3 3" xfId="12961"/>
    <cellStyle name="40 % - Markeringsfarve1 3 6 3 4" xfId="24319"/>
    <cellStyle name="40 % - Markeringsfarve1 3 6 4" xfId="3815"/>
    <cellStyle name="40 % - Markeringsfarve1 3 6 4 2" xfId="8800"/>
    <cellStyle name="40 % - Markeringsfarve1 3 6 4 2 2" xfId="19607"/>
    <cellStyle name="40 % - Markeringsfarve1 3 6 4 2 3" xfId="30964"/>
    <cellStyle name="40 % - Markeringsfarve1 3 6 4 3" xfId="14622"/>
    <cellStyle name="40 % - Markeringsfarve1 3 6 4 4" xfId="25980"/>
    <cellStyle name="40 % - Markeringsfarve1 3 6 5" xfId="5477"/>
    <cellStyle name="40 % - Markeringsfarve1 3 6 5 2" xfId="16285"/>
    <cellStyle name="40 % - Markeringsfarve1 3 6 5 3" xfId="27642"/>
    <cellStyle name="40 % - Markeringsfarve1 3 6 6" xfId="10462"/>
    <cellStyle name="40 % - Markeringsfarve1 3 6 6 2" xfId="21269"/>
    <cellStyle name="40 % - Markeringsfarve1 3 6 6 3" xfId="32626"/>
    <cellStyle name="40 % - Markeringsfarve1 3 6 7" xfId="11296"/>
    <cellStyle name="40 % - Markeringsfarve1 3 6 8" xfId="22102"/>
    <cellStyle name="40 % - Markeringsfarve1 3 6 9" xfId="22656"/>
    <cellStyle name="40 % - Markeringsfarve1 3 7" xfId="757"/>
    <cellStyle name="40 % - Markeringsfarve1 3 7 2" xfId="1589"/>
    <cellStyle name="40 % - Markeringsfarve1 3 7 2 2" xfId="3254"/>
    <cellStyle name="40 % - Markeringsfarve1 3 7 2 2 2" xfId="8242"/>
    <cellStyle name="40 % - Markeringsfarve1 3 7 2 2 2 2" xfId="19049"/>
    <cellStyle name="40 % - Markeringsfarve1 3 7 2 2 2 3" xfId="30406"/>
    <cellStyle name="40 % - Markeringsfarve1 3 7 2 2 3" xfId="14064"/>
    <cellStyle name="40 % - Markeringsfarve1 3 7 2 2 4" xfId="25422"/>
    <cellStyle name="40 % - Markeringsfarve1 3 7 2 3" xfId="4918"/>
    <cellStyle name="40 % - Markeringsfarve1 3 7 2 3 2" xfId="9903"/>
    <cellStyle name="40 % - Markeringsfarve1 3 7 2 3 2 2" xfId="20710"/>
    <cellStyle name="40 % - Markeringsfarve1 3 7 2 3 2 3" xfId="32067"/>
    <cellStyle name="40 % - Markeringsfarve1 3 7 2 3 3" xfId="15725"/>
    <cellStyle name="40 % - Markeringsfarve1 3 7 2 3 4" xfId="27083"/>
    <cellStyle name="40 % - Markeringsfarve1 3 7 2 4" xfId="6580"/>
    <cellStyle name="40 % - Markeringsfarve1 3 7 2 4 2" xfId="17388"/>
    <cellStyle name="40 % - Markeringsfarve1 3 7 2 4 3" xfId="28745"/>
    <cellStyle name="40 % - Markeringsfarve1 3 7 2 5" xfId="12403"/>
    <cellStyle name="40 % - Markeringsfarve1 3 7 2 6" xfId="23761"/>
    <cellStyle name="40 % - Markeringsfarve1 3 7 3" xfId="2423"/>
    <cellStyle name="40 % - Markeringsfarve1 3 7 3 2" xfId="7411"/>
    <cellStyle name="40 % - Markeringsfarve1 3 7 3 2 2" xfId="18218"/>
    <cellStyle name="40 % - Markeringsfarve1 3 7 3 2 3" xfId="29575"/>
    <cellStyle name="40 % - Markeringsfarve1 3 7 3 3" xfId="13233"/>
    <cellStyle name="40 % - Markeringsfarve1 3 7 3 4" xfId="24591"/>
    <cellStyle name="40 % - Markeringsfarve1 3 7 4" xfId="4087"/>
    <cellStyle name="40 % - Markeringsfarve1 3 7 4 2" xfId="9072"/>
    <cellStyle name="40 % - Markeringsfarve1 3 7 4 2 2" xfId="19879"/>
    <cellStyle name="40 % - Markeringsfarve1 3 7 4 2 3" xfId="31236"/>
    <cellStyle name="40 % - Markeringsfarve1 3 7 4 3" xfId="14894"/>
    <cellStyle name="40 % - Markeringsfarve1 3 7 4 4" xfId="26252"/>
    <cellStyle name="40 % - Markeringsfarve1 3 7 5" xfId="5749"/>
    <cellStyle name="40 % - Markeringsfarve1 3 7 5 2" xfId="16557"/>
    <cellStyle name="40 % - Markeringsfarve1 3 7 5 3" xfId="27914"/>
    <cellStyle name="40 % - Markeringsfarve1 3 7 6" xfId="10736"/>
    <cellStyle name="40 % - Markeringsfarve1 3 7 6 2" xfId="21543"/>
    <cellStyle name="40 % - Markeringsfarve1 3 7 6 3" xfId="32900"/>
    <cellStyle name="40 % - Markeringsfarve1 3 7 7" xfId="11571"/>
    <cellStyle name="40 % - Markeringsfarve1 3 7 8" xfId="22930"/>
    <cellStyle name="40 % - Markeringsfarve1 3 8" xfId="1036"/>
    <cellStyle name="40 % - Markeringsfarve1 3 8 2" xfId="2701"/>
    <cellStyle name="40 % - Markeringsfarve1 3 8 2 2" xfId="7689"/>
    <cellStyle name="40 % - Markeringsfarve1 3 8 2 2 2" xfId="18496"/>
    <cellStyle name="40 % - Markeringsfarve1 3 8 2 2 3" xfId="29853"/>
    <cellStyle name="40 % - Markeringsfarve1 3 8 2 3" xfId="13511"/>
    <cellStyle name="40 % - Markeringsfarve1 3 8 2 4" xfId="24869"/>
    <cellStyle name="40 % - Markeringsfarve1 3 8 3" xfId="4365"/>
    <cellStyle name="40 % - Markeringsfarve1 3 8 3 2" xfId="9350"/>
    <cellStyle name="40 % - Markeringsfarve1 3 8 3 2 2" xfId="20157"/>
    <cellStyle name="40 % - Markeringsfarve1 3 8 3 2 3" xfId="31514"/>
    <cellStyle name="40 % - Markeringsfarve1 3 8 3 3" xfId="15172"/>
    <cellStyle name="40 % - Markeringsfarve1 3 8 3 4" xfId="26530"/>
    <cellStyle name="40 % - Markeringsfarve1 3 8 4" xfId="6027"/>
    <cellStyle name="40 % - Markeringsfarve1 3 8 4 2" xfId="16835"/>
    <cellStyle name="40 % - Markeringsfarve1 3 8 4 3" xfId="28192"/>
    <cellStyle name="40 % - Markeringsfarve1 3 8 5" xfId="11850"/>
    <cellStyle name="40 % - Markeringsfarve1 3 8 6" xfId="23208"/>
    <cellStyle name="40 % - Markeringsfarve1 3 9" xfId="1872"/>
    <cellStyle name="40 % - Markeringsfarve1 3 9 2" xfId="6860"/>
    <cellStyle name="40 % - Markeringsfarve1 3 9 2 2" xfId="17668"/>
    <cellStyle name="40 % - Markeringsfarve1 3 9 2 3" xfId="29025"/>
    <cellStyle name="40 % - Markeringsfarve1 3 9 3" xfId="12683"/>
    <cellStyle name="40 % - Markeringsfarve1 3 9 4" xfId="24041"/>
    <cellStyle name="40 % - Markeringsfarve1 4" xfId="178"/>
    <cellStyle name="40 % - Markeringsfarve1 4 10" xfId="21836"/>
    <cellStyle name="40 % - Markeringsfarve1 4 11" xfId="22389"/>
    <cellStyle name="40 % - Markeringsfarve1 4 12" xfId="33192"/>
    <cellStyle name="40 % - Markeringsfarve1 4 13" xfId="33465"/>
    <cellStyle name="40 % - Markeringsfarve1 4 14" xfId="33736"/>
    <cellStyle name="40 % - Markeringsfarve1 4 2" xfId="498"/>
    <cellStyle name="40 % - Markeringsfarve1 4 2 2" xfId="1328"/>
    <cellStyle name="40 % - Markeringsfarve1 4 2 2 2" xfId="2993"/>
    <cellStyle name="40 % - Markeringsfarve1 4 2 2 2 2" xfId="7981"/>
    <cellStyle name="40 % - Markeringsfarve1 4 2 2 2 2 2" xfId="18788"/>
    <cellStyle name="40 % - Markeringsfarve1 4 2 2 2 2 3" xfId="30145"/>
    <cellStyle name="40 % - Markeringsfarve1 4 2 2 2 3" xfId="13803"/>
    <cellStyle name="40 % - Markeringsfarve1 4 2 2 2 4" xfId="25161"/>
    <cellStyle name="40 % - Markeringsfarve1 4 2 2 3" xfId="4657"/>
    <cellStyle name="40 % - Markeringsfarve1 4 2 2 3 2" xfId="9642"/>
    <cellStyle name="40 % - Markeringsfarve1 4 2 2 3 2 2" xfId="20449"/>
    <cellStyle name="40 % - Markeringsfarve1 4 2 2 3 2 3" xfId="31806"/>
    <cellStyle name="40 % - Markeringsfarve1 4 2 2 3 3" xfId="15464"/>
    <cellStyle name="40 % - Markeringsfarve1 4 2 2 3 4" xfId="26822"/>
    <cellStyle name="40 % - Markeringsfarve1 4 2 2 4" xfId="6319"/>
    <cellStyle name="40 % - Markeringsfarve1 4 2 2 4 2" xfId="17127"/>
    <cellStyle name="40 % - Markeringsfarve1 4 2 2 4 3" xfId="28484"/>
    <cellStyle name="40 % - Markeringsfarve1 4 2 2 5" xfId="12142"/>
    <cellStyle name="40 % - Markeringsfarve1 4 2 2 6" xfId="23500"/>
    <cellStyle name="40 % - Markeringsfarve1 4 2 3" xfId="2164"/>
    <cellStyle name="40 % - Markeringsfarve1 4 2 3 2" xfId="7152"/>
    <cellStyle name="40 % - Markeringsfarve1 4 2 3 2 2" xfId="17959"/>
    <cellStyle name="40 % - Markeringsfarve1 4 2 3 2 3" xfId="29316"/>
    <cellStyle name="40 % - Markeringsfarve1 4 2 3 3" xfId="12974"/>
    <cellStyle name="40 % - Markeringsfarve1 4 2 3 4" xfId="24332"/>
    <cellStyle name="40 % - Markeringsfarve1 4 2 4" xfId="3828"/>
    <cellStyle name="40 % - Markeringsfarve1 4 2 4 2" xfId="8813"/>
    <cellStyle name="40 % - Markeringsfarve1 4 2 4 2 2" xfId="19620"/>
    <cellStyle name="40 % - Markeringsfarve1 4 2 4 2 3" xfId="30977"/>
    <cellStyle name="40 % - Markeringsfarve1 4 2 4 3" xfId="14635"/>
    <cellStyle name="40 % - Markeringsfarve1 4 2 4 4" xfId="25993"/>
    <cellStyle name="40 % - Markeringsfarve1 4 2 5" xfId="5490"/>
    <cellStyle name="40 % - Markeringsfarve1 4 2 5 2" xfId="16298"/>
    <cellStyle name="40 % - Markeringsfarve1 4 2 5 3" xfId="27655"/>
    <cellStyle name="40 % - Markeringsfarve1 4 2 6" xfId="10475"/>
    <cellStyle name="40 % - Markeringsfarve1 4 2 6 2" xfId="21282"/>
    <cellStyle name="40 % - Markeringsfarve1 4 2 6 3" xfId="32639"/>
    <cellStyle name="40 % - Markeringsfarve1 4 2 7" xfId="11309"/>
    <cellStyle name="40 % - Markeringsfarve1 4 2 8" xfId="22115"/>
    <cellStyle name="40 % - Markeringsfarve1 4 2 9" xfId="22669"/>
    <cellStyle name="40 % - Markeringsfarve1 4 3" xfId="770"/>
    <cellStyle name="40 % - Markeringsfarve1 4 3 2" xfId="1602"/>
    <cellStyle name="40 % - Markeringsfarve1 4 3 2 2" xfId="3267"/>
    <cellStyle name="40 % - Markeringsfarve1 4 3 2 2 2" xfId="8255"/>
    <cellStyle name="40 % - Markeringsfarve1 4 3 2 2 2 2" xfId="19062"/>
    <cellStyle name="40 % - Markeringsfarve1 4 3 2 2 2 3" xfId="30419"/>
    <cellStyle name="40 % - Markeringsfarve1 4 3 2 2 3" xfId="14077"/>
    <cellStyle name="40 % - Markeringsfarve1 4 3 2 2 4" xfId="25435"/>
    <cellStyle name="40 % - Markeringsfarve1 4 3 2 3" xfId="4931"/>
    <cellStyle name="40 % - Markeringsfarve1 4 3 2 3 2" xfId="9916"/>
    <cellStyle name="40 % - Markeringsfarve1 4 3 2 3 2 2" xfId="20723"/>
    <cellStyle name="40 % - Markeringsfarve1 4 3 2 3 2 3" xfId="32080"/>
    <cellStyle name="40 % - Markeringsfarve1 4 3 2 3 3" xfId="15738"/>
    <cellStyle name="40 % - Markeringsfarve1 4 3 2 3 4" xfId="27096"/>
    <cellStyle name="40 % - Markeringsfarve1 4 3 2 4" xfId="6593"/>
    <cellStyle name="40 % - Markeringsfarve1 4 3 2 4 2" xfId="17401"/>
    <cellStyle name="40 % - Markeringsfarve1 4 3 2 4 3" xfId="28758"/>
    <cellStyle name="40 % - Markeringsfarve1 4 3 2 5" xfId="12416"/>
    <cellStyle name="40 % - Markeringsfarve1 4 3 2 6" xfId="23774"/>
    <cellStyle name="40 % - Markeringsfarve1 4 3 3" xfId="2436"/>
    <cellStyle name="40 % - Markeringsfarve1 4 3 3 2" xfId="7424"/>
    <cellStyle name="40 % - Markeringsfarve1 4 3 3 2 2" xfId="18231"/>
    <cellStyle name="40 % - Markeringsfarve1 4 3 3 2 3" xfId="29588"/>
    <cellStyle name="40 % - Markeringsfarve1 4 3 3 3" xfId="13246"/>
    <cellStyle name="40 % - Markeringsfarve1 4 3 3 4" xfId="24604"/>
    <cellStyle name="40 % - Markeringsfarve1 4 3 4" xfId="4100"/>
    <cellStyle name="40 % - Markeringsfarve1 4 3 4 2" xfId="9085"/>
    <cellStyle name="40 % - Markeringsfarve1 4 3 4 2 2" xfId="19892"/>
    <cellStyle name="40 % - Markeringsfarve1 4 3 4 2 3" xfId="31249"/>
    <cellStyle name="40 % - Markeringsfarve1 4 3 4 3" xfId="14907"/>
    <cellStyle name="40 % - Markeringsfarve1 4 3 4 4" xfId="26265"/>
    <cellStyle name="40 % - Markeringsfarve1 4 3 5" xfId="5762"/>
    <cellStyle name="40 % - Markeringsfarve1 4 3 5 2" xfId="16570"/>
    <cellStyle name="40 % - Markeringsfarve1 4 3 5 3" xfId="27927"/>
    <cellStyle name="40 % - Markeringsfarve1 4 3 6" xfId="10749"/>
    <cellStyle name="40 % - Markeringsfarve1 4 3 6 2" xfId="21556"/>
    <cellStyle name="40 % - Markeringsfarve1 4 3 6 3" xfId="32913"/>
    <cellStyle name="40 % - Markeringsfarve1 4 3 7" xfId="11584"/>
    <cellStyle name="40 % - Markeringsfarve1 4 3 8" xfId="22943"/>
    <cellStyle name="40 % - Markeringsfarve1 4 4" xfId="1049"/>
    <cellStyle name="40 % - Markeringsfarve1 4 4 2" xfId="2714"/>
    <cellStyle name="40 % - Markeringsfarve1 4 4 2 2" xfId="7702"/>
    <cellStyle name="40 % - Markeringsfarve1 4 4 2 2 2" xfId="18509"/>
    <cellStyle name="40 % - Markeringsfarve1 4 4 2 2 3" xfId="29866"/>
    <cellStyle name="40 % - Markeringsfarve1 4 4 2 3" xfId="13524"/>
    <cellStyle name="40 % - Markeringsfarve1 4 4 2 4" xfId="24882"/>
    <cellStyle name="40 % - Markeringsfarve1 4 4 3" xfId="4378"/>
    <cellStyle name="40 % - Markeringsfarve1 4 4 3 2" xfId="9363"/>
    <cellStyle name="40 % - Markeringsfarve1 4 4 3 2 2" xfId="20170"/>
    <cellStyle name="40 % - Markeringsfarve1 4 4 3 2 3" xfId="31527"/>
    <cellStyle name="40 % - Markeringsfarve1 4 4 3 3" xfId="15185"/>
    <cellStyle name="40 % - Markeringsfarve1 4 4 3 4" xfId="26543"/>
    <cellStyle name="40 % - Markeringsfarve1 4 4 4" xfId="6040"/>
    <cellStyle name="40 % - Markeringsfarve1 4 4 4 2" xfId="16848"/>
    <cellStyle name="40 % - Markeringsfarve1 4 4 4 3" xfId="28205"/>
    <cellStyle name="40 % - Markeringsfarve1 4 4 5" xfId="11863"/>
    <cellStyle name="40 % - Markeringsfarve1 4 4 6" xfId="23221"/>
    <cellStyle name="40 % - Markeringsfarve1 4 5" xfId="1884"/>
    <cellStyle name="40 % - Markeringsfarve1 4 5 2" xfId="6872"/>
    <cellStyle name="40 % - Markeringsfarve1 4 5 2 2" xfId="17680"/>
    <cellStyle name="40 % - Markeringsfarve1 4 5 2 3" xfId="29037"/>
    <cellStyle name="40 % - Markeringsfarve1 4 5 3" xfId="12695"/>
    <cellStyle name="40 % - Markeringsfarve1 4 5 4" xfId="24053"/>
    <cellStyle name="40 % - Markeringsfarve1 4 6" xfId="3549"/>
    <cellStyle name="40 % - Markeringsfarve1 4 6 2" xfId="8534"/>
    <cellStyle name="40 % - Markeringsfarve1 4 6 2 2" xfId="19341"/>
    <cellStyle name="40 % - Markeringsfarve1 4 6 2 3" xfId="30698"/>
    <cellStyle name="40 % - Markeringsfarve1 4 6 3" xfId="14356"/>
    <cellStyle name="40 % - Markeringsfarve1 4 6 4" xfId="25714"/>
    <cellStyle name="40 % - Markeringsfarve1 4 7" xfId="5210"/>
    <cellStyle name="40 % - Markeringsfarve1 4 7 2" xfId="16019"/>
    <cellStyle name="40 % - Markeringsfarve1 4 7 3" xfId="27376"/>
    <cellStyle name="40 % - Markeringsfarve1 4 8" xfId="10195"/>
    <cellStyle name="40 % - Markeringsfarve1 4 8 2" xfId="21002"/>
    <cellStyle name="40 % - Markeringsfarve1 4 8 3" xfId="32359"/>
    <cellStyle name="40 % - Markeringsfarve1 4 9" xfId="11029"/>
    <cellStyle name="40 % - Markeringsfarve1 5" xfId="231"/>
    <cellStyle name="40 % - Markeringsfarve1 5 10" xfId="21889"/>
    <cellStyle name="40 % - Markeringsfarve1 5 11" xfId="22442"/>
    <cellStyle name="40 % - Markeringsfarve1 5 12" xfId="33245"/>
    <cellStyle name="40 % - Markeringsfarve1 5 13" xfId="33520"/>
    <cellStyle name="40 % - Markeringsfarve1 5 14" xfId="33791"/>
    <cellStyle name="40 % - Markeringsfarve1 5 2" xfId="549"/>
    <cellStyle name="40 % - Markeringsfarve1 5 2 2" xfId="1381"/>
    <cellStyle name="40 % - Markeringsfarve1 5 2 2 2" xfId="3046"/>
    <cellStyle name="40 % - Markeringsfarve1 5 2 2 2 2" xfId="8034"/>
    <cellStyle name="40 % - Markeringsfarve1 5 2 2 2 2 2" xfId="18841"/>
    <cellStyle name="40 % - Markeringsfarve1 5 2 2 2 2 3" xfId="30198"/>
    <cellStyle name="40 % - Markeringsfarve1 5 2 2 2 3" xfId="13856"/>
    <cellStyle name="40 % - Markeringsfarve1 5 2 2 2 4" xfId="25214"/>
    <cellStyle name="40 % - Markeringsfarve1 5 2 2 3" xfId="4710"/>
    <cellStyle name="40 % - Markeringsfarve1 5 2 2 3 2" xfId="9695"/>
    <cellStyle name="40 % - Markeringsfarve1 5 2 2 3 2 2" xfId="20502"/>
    <cellStyle name="40 % - Markeringsfarve1 5 2 2 3 2 3" xfId="31859"/>
    <cellStyle name="40 % - Markeringsfarve1 5 2 2 3 3" xfId="15517"/>
    <cellStyle name="40 % - Markeringsfarve1 5 2 2 3 4" xfId="26875"/>
    <cellStyle name="40 % - Markeringsfarve1 5 2 2 4" xfId="6372"/>
    <cellStyle name="40 % - Markeringsfarve1 5 2 2 4 2" xfId="17180"/>
    <cellStyle name="40 % - Markeringsfarve1 5 2 2 4 3" xfId="28537"/>
    <cellStyle name="40 % - Markeringsfarve1 5 2 2 5" xfId="12195"/>
    <cellStyle name="40 % - Markeringsfarve1 5 2 2 6" xfId="23553"/>
    <cellStyle name="40 % - Markeringsfarve1 5 2 3" xfId="2215"/>
    <cellStyle name="40 % - Markeringsfarve1 5 2 3 2" xfId="7203"/>
    <cellStyle name="40 % - Markeringsfarve1 5 2 3 2 2" xfId="18010"/>
    <cellStyle name="40 % - Markeringsfarve1 5 2 3 2 3" xfId="29367"/>
    <cellStyle name="40 % - Markeringsfarve1 5 2 3 3" xfId="13025"/>
    <cellStyle name="40 % - Markeringsfarve1 5 2 3 4" xfId="24383"/>
    <cellStyle name="40 % - Markeringsfarve1 5 2 4" xfId="3879"/>
    <cellStyle name="40 % - Markeringsfarve1 5 2 4 2" xfId="8864"/>
    <cellStyle name="40 % - Markeringsfarve1 5 2 4 2 2" xfId="19671"/>
    <cellStyle name="40 % - Markeringsfarve1 5 2 4 2 3" xfId="31028"/>
    <cellStyle name="40 % - Markeringsfarve1 5 2 4 3" xfId="14686"/>
    <cellStyle name="40 % - Markeringsfarve1 5 2 4 4" xfId="26044"/>
    <cellStyle name="40 % - Markeringsfarve1 5 2 5" xfId="5541"/>
    <cellStyle name="40 % - Markeringsfarve1 5 2 5 2" xfId="16349"/>
    <cellStyle name="40 % - Markeringsfarve1 5 2 5 3" xfId="27706"/>
    <cellStyle name="40 % - Markeringsfarve1 5 2 6" xfId="10528"/>
    <cellStyle name="40 % - Markeringsfarve1 5 2 6 2" xfId="21335"/>
    <cellStyle name="40 % - Markeringsfarve1 5 2 6 3" xfId="32692"/>
    <cellStyle name="40 % - Markeringsfarve1 5 2 7" xfId="11362"/>
    <cellStyle name="40 % - Markeringsfarve1 5 2 8" xfId="22168"/>
    <cellStyle name="40 % - Markeringsfarve1 5 2 9" xfId="22722"/>
    <cellStyle name="40 % - Markeringsfarve1 5 3" xfId="823"/>
    <cellStyle name="40 % - Markeringsfarve1 5 3 2" xfId="1655"/>
    <cellStyle name="40 % - Markeringsfarve1 5 3 2 2" xfId="3320"/>
    <cellStyle name="40 % - Markeringsfarve1 5 3 2 2 2" xfId="8308"/>
    <cellStyle name="40 % - Markeringsfarve1 5 3 2 2 2 2" xfId="19115"/>
    <cellStyle name="40 % - Markeringsfarve1 5 3 2 2 2 3" xfId="30472"/>
    <cellStyle name="40 % - Markeringsfarve1 5 3 2 2 3" xfId="14130"/>
    <cellStyle name="40 % - Markeringsfarve1 5 3 2 2 4" xfId="25488"/>
    <cellStyle name="40 % - Markeringsfarve1 5 3 2 3" xfId="4984"/>
    <cellStyle name="40 % - Markeringsfarve1 5 3 2 3 2" xfId="9969"/>
    <cellStyle name="40 % - Markeringsfarve1 5 3 2 3 2 2" xfId="20776"/>
    <cellStyle name="40 % - Markeringsfarve1 5 3 2 3 2 3" xfId="32133"/>
    <cellStyle name="40 % - Markeringsfarve1 5 3 2 3 3" xfId="15791"/>
    <cellStyle name="40 % - Markeringsfarve1 5 3 2 3 4" xfId="27149"/>
    <cellStyle name="40 % - Markeringsfarve1 5 3 2 4" xfId="6646"/>
    <cellStyle name="40 % - Markeringsfarve1 5 3 2 4 2" xfId="17454"/>
    <cellStyle name="40 % - Markeringsfarve1 5 3 2 4 3" xfId="28811"/>
    <cellStyle name="40 % - Markeringsfarve1 5 3 2 5" xfId="12469"/>
    <cellStyle name="40 % - Markeringsfarve1 5 3 2 6" xfId="23827"/>
    <cellStyle name="40 % - Markeringsfarve1 5 3 3" xfId="2489"/>
    <cellStyle name="40 % - Markeringsfarve1 5 3 3 2" xfId="7477"/>
    <cellStyle name="40 % - Markeringsfarve1 5 3 3 2 2" xfId="18284"/>
    <cellStyle name="40 % - Markeringsfarve1 5 3 3 2 3" xfId="29641"/>
    <cellStyle name="40 % - Markeringsfarve1 5 3 3 3" xfId="13299"/>
    <cellStyle name="40 % - Markeringsfarve1 5 3 3 4" xfId="24657"/>
    <cellStyle name="40 % - Markeringsfarve1 5 3 4" xfId="4153"/>
    <cellStyle name="40 % - Markeringsfarve1 5 3 4 2" xfId="9138"/>
    <cellStyle name="40 % - Markeringsfarve1 5 3 4 2 2" xfId="19945"/>
    <cellStyle name="40 % - Markeringsfarve1 5 3 4 2 3" xfId="31302"/>
    <cellStyle name="40 % - Markeringsfarve1 5 3 4 3" xfId="14960"/>
    <cellStyle name="40 % - Markeringsfarve1 5 3 4 4" xfId="26318"/>
    <cellStyle name="40 % - Markeringsfarve1 5 3 5" xfId="5815"/>
    <cellStyle name="40 % - Markeringsfarve1 5 3 5 2" xfId="16623"/>
    <cellStyle name="40 % - Markeringsfarve1 5 3 5 3" xfId="27980"/>
    <cellStyle name="40 % - Markeringsfarve1 5 3 6" xfId="10802"/>
    <cellStyle name="40 % - Markeringsfarve1 5 3 6 2" xfId="21609"/>
    <cellStyle name="40 % - Markeringsfarve1 5 3 6 3" xfId="32966"/>
    <cellStyle name="40 % - Markeringsfarve1 5 3 7" xfId="11637"/>
    <cellStyle name="40 % - Markeringsfarve1 5 3 8" xfId="22996"/>
    <cellStyle name="40 % - Markeringsfarve1 5 4" xfId="1102"/>
    <cellStyle name="40 % - Markeringsfarve1 5 4 2" xfId="2767"/>
    <cellStyle name="40 % - Markeringsfarve1 5 4 2 2" xfId="7755"/>
    <cellStyle name="40 % - Markeringsfarve1 5 4 2 2 2" xfId="18562"/>
    <cellStyle name="40 % - Markeringsfarve1 5 4 2 2 3" xfId="29919"/>
    <cellStyle name="40 % - Markeringsfarve1 5 4 2 3" xfId="13577"/>
    <cellStyle name="40 % - Markeringsfarve1 5 4 2 4" xfId="24935"/>
    <cellStyle name="40 % - Markeringsfarve1 5 4 3" xfId="4431"/>
    <cellStyle name="40 % - Markeringsfarve1 5 4 3 2" xfId="9416"/>
    <cellStyle name="40 % - Markeringsfarve1 5 4 3 2 2" xfId="20223"/>
    <cellStyle name="40 % - Markeringsfarve1 5 4 3 2 3" xfId="31580"/>
    <cellStyle name="40 % - Markeringsfarve1 5 4 3 3" xfId="15238"/>
    <cellStyle name="40 % - Markeringsfarve1 5 4 3 4" xfId="26596"/>
    <cellStyle name="40 % - Markeringsfarve1 5 4 4" xfId="6093"/>
    <cellStyle name="40 % - Markeringsfarve1 5 4 4 2" xfId="16901"/>
    <cellStyle name="40 % - Markeringsfarve1 5 4 4 3" xfId="28258"/>
    <cellStyle name="40 % - Markeringsfarve1 5 4 5" xfId="11916"/>
    <cellStyle name="40 % - Markeringsfarve1 5 4 6" xfId="23274"/>
    <cellStyle name="40 % - Markeringsfarve1 5 5" xfId="1937"/>
    <cellStyle name="40 % - Markeringsfarve1 5 5 2" xfId="6925"/>
    <cellStyle name="40 % - Markeringsfarve1 5 5 2 2" xfId="17733"/>
    <cellStyle name="40 % - Markeringsfarve1 5 5 2 3" xfId="29090"/>
    <cellStyle name="40 % - Markeringsfarve1 5 5 3" xfId="12748"/>
    <cellStyle name="40 % - Markeringsfarve1 5 5 4" xfId="24106"/>
    <cellStyle name="40 % - Markeringsfarve1 5 6" xfId="3602"/>
    <cellStyle name="40 % - Markeringsfarve1 5 6 2" xfId="8587"/>
    <cellStyle name="40 % - Markeringsfarve1 5 6 2 2" xfId="19394"/>
    <cellStyle name="40 % - Markeringsfarve1 5 6 2 3" xfId="30751"/>
    <cellStyle name="40 % - Markeringsfarve1 5 6 3" xfId="14409"/>
    <cellStyle name="40 % - Markeringsfarve1 5 6 4" xfId="25767"/>
    <cellStyle name="40 % - Markeringsfarve1 5 7" xfId="5263"/>
    <cellStyle name="40 % - Markeringsfarve1 5 7 2" xfId="16072"/>
    <cellStyle name="40 % - Markeringsfarve1 5 7 3" xfId="27429"/>
    <cellStyle name="40 % - Markeringsfarve1 5 8" xfId="10248"/>
    <cellStyle name="40 % - Markeringsfarve1 5 8 2" xfId="21055"/>
    <cellStyle name="40 % - Markeringsfarve1 5 8 3" xfId="32412"/>
    <cellStyle name="40 % - Markeringsfarve1 5 9" xfId="11082"/>
    <cellStyle name="40 % - Markeringsfarve1 6" xfId="287"/>
    <cellStyle name="40 % - Markeringsfarve1 6 10" xfId="21944"/>
    <cellStyle name="40 % - Markeringsfarve1 6 11" xfId="22497"/>
    <cellStyle name="40 % - Markeringsfarve1 6 12" xfId="33300"/>
    <cellStyle name="40 % - Markeringsfarve1 6 13" xfId="33575"/>
    <cellStyle name="40 % - Markeringsfarve1 6 14" xfId="33846"/>
    <cellStyle name="40 % - Markeringsfarve1 6 2" xfId="604"/>
    <cellStyle name="40 % - Markeringsfarve1 6 2 2" xfId="1436"/>
    <cellStyle name="40 % - Markeringsfarve1 6 2 2 2" xfId="3101"/>
    <cellStyle name="40 % - Markeringsfarve1 6 2 2 2 2" xfId="8089"/>
    <cellStyle name="40 % - Markeringsfarve1 6 2 2 2 2 2" xfId="18896"/>
    <cellStyle name="40 % - Markeringsfarve1 6 2 2 2 2 3" xfId="30253"/>
    <cellStyle name="40 % - Markeringsfarve1 6 2 2 2 3" xfId="13911"/>
    <cellStyle name="40 % - Markeringsfarve1 6 2 2 2 4" xfId="25269"/>
    <cellStyle name="40 % - Markeringsfarve1 6 2 2 3" xfId="4765"/>
    <cellStyle name="40 % - Markeringsfarve1 6 2 2 3 2" xfId="9750"/>
    <cellStyle name="40 % - Markeringsfarve1 6 2 2 3 2 2" xfId="20557"/>
    <cellStyle name="40 % - Markeringsfarve1 6 2 2 3 2 3" xfId="31914"/>
    <cellStyle name="40 % - Markeringsfarve1 6 2 2 3 3" xfId="15572"/>
    <cellStyle name="40 % - Markeringsfarve1 6 2 2 3 4" xfId="26930"/>
    <cellStyle name="40 % - Markeringsfarve1 6 2 2 4" xfId="6427"/>
    <cellStyle name="40 % - Markeringsfarve1 6 2 2 4 2" xfId="17235"/>
    <cellStyle name="40 % - Markeringsfarve1 6 2 2 4 3" xfId="28592"/>
    <cellStyle name="40 % - Markeringsfarve1 6 2 2 5" xfId="12250"/>
    <cellStyle name="40 % - Markeringsfarve1 6 2 2 6" xfId="23608"/>
    <cellStyle name="40 % - Markeringsfarve1 6 2 3" xfId="2270"/>
    <cellStyle name="40 % - Markeringsfarve1 6 2 3 2" xfId="7258"/>
    <cellStyle name="40 % - Markeringsfarve1 6 2 3 2 2" xfId="18065"/>
    <cellStyle name="40 % - Markeringsfarve1 6 2 3 2 3" xfId="29422"/>
    <cellStyle name="40 % - Markeringsfarve1 6 2 3 3" xfId="13080"/>
    <cellStyle name="40 % - Markeringsfarve1 6 2 3 4" xfId="24438"/>
    <cellStyle name="40 % - Markeringsfarve1 6 2 4" xfId="3934"/>
    <cellStyle name="40 % - Markeringsfarve1 6 2 4 2" xfId="8919"/>
    <cellStyle name="40 % - Markeringsfarve1 6 2 4 2 2" xfId="19726"/>
    <cellStyle name="40 % - Markeringsfarve1 6 2 4 2 3" xfId="31083"/>
    <cellStyle name="40 % - Markeringsfarve1 6 2 4 3" xfId="14741"/>
    <cellStyle name="40 % - Markeringsfarve1 6 2 4 4" xfId="26099"/>
    <cellStyle name="40 % - Markeringsfarve1 6 2 5" xfId="5596"/>
    <cellStyle name="40 % - Markeringsfarve1 6 2 5 2" xfId="16404"/>
    <cellStyle name="40 % - Markeringsfarve1 6 2 5 3" xfId="27761"/>
    <cellStyle name="40 % - Markeringsfarve1 6 2 6" xfId="10583"/>
    <cellStyle name="40 % - Markeringsfarve1 6 2 6 2" xfId="21390"/>
    <cellStyle name="40 % - Markeringsfarve1 6 2 6 3" xfId="32747"/>
    <cellStyle name="40 % - Markeringsfarve1 6 2 7" xfId="11417"/>
    <cellStyle name="40 % - Markeringsfarve1 6 2 8" xfId="22223"/>
    <cellStyle name="40 % - Markeringsfarve1 6 2 9" xfId="22777"/>
    <cellStyle name="40 % - Markeringsfarve1 6 3" xfId="878"/>
    <cellStyle name="40 % - Markeringsfarve1 6 3 2" xfId="1710"/>
    <cellStyle name="40 % - Markeringsfarve1 6 3 2 2" xfId="3375"/>
    <cellStyle name="40 % - Markeringsfarve1 6 3 2 2 2" xfId="8363"/>
    <cellStyle name="40 % - Markeringsfarve1 6 3 2 2 2 2" xfId="19170"/>
    <cellStyle name="40 % - Markeringsfarve1 6 3 2 2 2 3" xfId="30527"/>
    <cellStyle name="40 % - Markeringsfarve1 6 3 2 2 3" xfId="14185"/>
    <cellStyle name="40 % - Markeringsfarve1 6 3 2 2 4" xfId="25543"/>
    <cellStyle name="40 % - Markeringsfarve1 6 3 2 3" xfId="5039"/>
    <cellStyle name="40 % - Markeringsfarve1 6 3 2 3 2" xfId="10024"/>
    <cellStyle name="40 % - Markeringsfarve1 6 3 2 3 2 2" xfId="20831"/>
    <cellStyle name="40 % - Markeringsfarve1 6 3 2 3 2 3" xfId="32188"/>
    <cellStyle name="40 % - Markeringsfarve1 6 3 2 3 3" xfId="15846"/>
    <cellStyle name="40 % - Markeringsfarve1 6 3 2 3 4" xfId="27204"/>
    <cellStyle name="40 % - Markeringsfarve1 6 3 2 4" xfId="6701"/>
    <cellStyle name="40 % - Markeringsfarve1 6 3 2 4 2" xfId="17509"/>
    <cellStyle name="40 % - Markeringsfarve1 6 3 2 4 3" xfId="28866"/>
    <cellStyle name="40 % - Markeringsfarve1 6 3 2 5" xfId="12524"/>
    <cellStyle name="40 % - Markeringsfarve1 6 3 2 6" xfId="23882"/>
    <cellStyle name="40 % - Markeringsfarve1 6 3 3" xfId="2544"/>
    <cellStyle name="40 % - Markeringsfarve1 6 3 3 2" xfId="7532"/>
    <cellStyle name="40 % - Markeringsfarve1 6 3 3 2 2" xfId="18339"/>
    <cellStyle name="40 % - Markeringsfarve1 6 3 3 2 3" xfId="29696"/>
    <cellStyle name="40 % - Markeringsfarve1 6 3 3 3" xfId="13354"/>
    <cellStyle name="40 % - Markeringsfarve1 6 3 3 4" xfId="24712"/>
    <cellStyle name="40 % - Markeringsfarve1 6 3 4" xfId="4208"/>
    <cellStyle name="40 % - Markeringsfarve1 6 3 4 2" xfId="9193"/>
    <cellStyle name="40 % - Markeringsfarve1 6 3 4 2 2" xfId="20000"/>
    <cellStyle name="40 % - Markeringsfarve1 6 3 4 2 3" xfId="31357"/>
    <cellStyle name="40 % - Markeringsfarve1 6 3 4 3" xfId="15015"/>
    <cellStyle name="40 % - Markeringsfarve1 6 3 4 4" xfId="26373"/>
    <cellStyle name="40 % - Markeringsfarve1 6 3 5" xfId="5870"/>
    <cellStyle name="40 % - Markeringsfarve1 6 3 5 2" xfId="16678"/>
    <cellStyle name="40 % - Markeringsfarve1 6 3 5 3" xfId="28035"/>
    <cellStyle name="40 % - Markeringsfarve1 6 3 6" xfId="10857"/>
    <cellStyle name="40 % - Markeringsfarve1 6 3 6 2" xfId="21664"/>
    <cellStyle name="40 % - Markeringsfarve1 6 3 6 3" xfId="33021"/>
    <cellStyle name="40 % - Markeringsfarve1 6 3 7" xfId="11692"/>
    <cellStyle name="40 % - Markeringsfarve1 6 3 8" xfId="23051"/>
    <cellStyle name="40 % - Markeringsfarve1 6 4" xfId="1157"/>
    <cellStyle name="40 % - Markeringsfarve1 6 4 2" xfId="2822"/>
    <cellStyle name="40 % - Markeringsfarve1 6 4 2 2" xfId="7810"/>
    <cellStyle name="40 % - Markeringsfarve1 6 4 2 2 2" xfId="18617"/>
    <cellStyle name="40 % - Markeringsfarve1 6 4 2 2 3" xfId="29974"/>
    <cellStyle name="40 % - Markeringsfarve1 6 4 2 3" xfId="13632"/>
    <cellStyle name="40 % - Markeringsfarve1 6 4 2 4" xfId="24990"/>
    <cellStyle name="40 % - Markeringsfarve1 6 4 3" xfId="4486"/>
    <cellStyle name="40 % - Markeringsfarve1 6 4 3 2" xfId="9471"/>
    <cellStyle name="40 % - Markeringsfarve1 6 4 3 2 2" xfId="20278"/>
    <cellStyle name="40 % - Markeringsfarve1 6 4 3 2 3" xfId="31635"/>
    <cellStyle name="40 % - Markeringsfarve1 6 4 3 3" xfId="15293"/>
    <cellStyle name="40 % - Markeringsfarve1 6 4 3 4" xfId="26651"/>
    <cellStyle name="40 % - Markeringsfarve1 6 4 4" xfId="6148"/>
    <cellStyle name="40 % - Markeringsfarve1 6 4 4 2" xfId="16956"/>
    <cellStyle name="40 % - Markeringsfarve1 6 4 4 3" xfId="28313"/>
    <cellStyle name="40 % - Markeringsfarve1 6 4 5" xfId="11971"/>
    <cellStyle name="40 % - Markeringsfarve1 6 4 6" xfId="23329"/>
    <cellStyle name="40 % - Markeringsfarve1 6 5" xfId="1992"/>
    <cellStyle name="40 % - Markeringsfarve1 6 5 2" xfId="6980"/>
    <cellStyle name="40 % - Markeringsfarve1 6 5 2 2" xfId="17788"/>
    <cellStyle name="40 % - Markeringsfarve1 6 5 2 3" xfId="29145"/>
    <cellStyle name="40 % - Markeringsfarve1 6 5 3" xfId="12803"/>
    <cellStyle name="40 % - Markeringsfarve1 6 5 4" xfId="24161"/>
    <cellStyle name="40 % - Markeringsfarve1 6 6" xfId="3657"/>
    <cellStyle name="40 % - Markeringsfarve1 6 6 2" xfId="8642"/>
    <cellStyle name="40 % - Markeringsfarve1 6 6 2 2" xfId="19449"/>
    <cellStyle name="40 % - Markeringsfarve1 6 6 2 3" xfId="30806"/>
    <cellStyle name="40 % - Markeringsfarve1 6 6 3" xfId="14464"/>
    <cellStyle name="40 % - Markeringsfarve1 6 6 4" xfId="25822"/>
    <cellStyle name="40 % - Markeringsfarve1 6 7" xfId="5318"/>
    <cellStyle name="40 % - Markeringsfarve1 6 7 2" xfId="16127"/>
    <cellStyle name="40 % - Markeringsfarve1 6 7 3" xfId="27484"/>
    <cellStyle name="40 % - Markeringsfarve1 6 8" xfId="10303"/>
    <cellStyle name="40 % - Markeringsfarve1 6 8 2" xfId="21110"/>
    <cellStyle name="40 % - Markeringsfarve1 6 8 3" xfId="32467"/>
    <cellStyle name="40 % - Markeringsfarve1 6 9" xfId="11137"/>
    <cellStyle name="40 % - Markeringsfarve1 7" xfId="342"/>
    <cellStyle name="40 % - Markeringsfarve1 7 10" xfId="21999"/>
    <cellStyle name="40 % - Markeringsfarve1 7 11" xfId="22552"/>
    <cellStyle name="40 % - Markeringsfarve1 7 12" xfId="33355"/>
    <cellStyle name="40 % - Markeringsfarve1 7 13" xfId="33630"/>
    <cellStyle name="40 % - Markeringsfarve1 7 14" xfId="33901"/>
    <cellStyle name="40 % - Markeringsfarve1 7 2" xfId="659"/>
    <cellStyle name="40 % - Markeringsfarve1 7 2 2" xfId="1491"/>
    <cellStyle name="40 % - Markeringsfarve1 7 2 2 2" xfId="3156"/>
    <cellStyle name="40 % - Markeringsfarve1 7 2 2 2 2" xfId="8144"/>
    <cellStyle name="40 % - Markeringsfarve1 7 2 2 2 2 2" xfId="18951"/>
    <cellStyle name="40 % - Markeringsfarve1 7 2 2 2 2 3" xfId="30308"/>
    <cellStyle name="40 % - Markeringsfarve1 7 2 2 2 3" xfId="13966"/>
    <cellStyle name="40 % - Markeringsfarve1 7 2 2 2 4" xfId="25324"/>
    <cellStyle name="40 % - Markeringsfarve1 7 2 2 3" xfId="4820"/>
    <cellStyle name="40 % - Markeringsfarve1 7 2 2 3 2" xfId="9805"/>
    <cellStyle name="40 % - Markeringsfarve1 7 2 2 3 2 2" xfId="20612"/>
    <cellStyle name="40 % - Markeringsfarve1 7 2 2 3 2 3" xfId="31969"/>
    <cellStyle name="40 % - Markeringsfarve1 7 2 2 3 3" xfId="15627"/>
    <cellStyle name="40 % - Markeringsfarve1 7 2 2 3 4" xfId="26985"/>
    <cellStyle name="40 % - Markeringsfarve1 7 2 2 4" xfId="6482"/>
    <cellStyle name="40 % - Markeringsfarve1 7 2 2 4 2" xfId="17290"/>
    <cellStyle name="40 % - Markeringsfarve1 7 2 2 4 3" xfId="28647"/>
    <cellStyle name="40 % - Markeringsfarve1 7 2 2 5" xfId="12305"/>
    <cellStyle name="40 % - Markeringsfarve1 7 2 2 6" xfId="23663"/>
    <cellStyle name="40 % - Markeringsfarve1 7 2 3" xfId="2325"/>
    <cellStyle name="40 % - Markeringsfarve1 7 2 3 2" xfId="7313"/>
    <cellStyle name="40 % - Markeringsfarve1 7 2 3 2 2" xfId="18120"/>
    <cellStyle name="40 % - Markeringsfarve1 7 2 3 2 3" xfId="29477"/>
    <cellStyle name="40 % - Markeringsfarve1 7 2 3 3" xfId="13135"/>
    <cellStyle name="40 % - Markeringsfarve1 7 2 3 4" xfId="24493"/>
    <cellStyle name="40 % - Markeringsfarve1 7 2 4" xfId="3989"/>
    <cellStyle name="40 % - Markeringsfarve1 7 2 4 2" xfId="8974"/>
    <cellStyle name="40 % - Markeringsfarve1 7 2 4 2 2" xfId="19781"/>
    <cellStyle name="40 % - Markeringsfarve1 7 2 4 2 3" xfId="31138"/>
    <cellStyle name="40 % - Markeringsfarve1 7 2 4 3" xfId="14796"/>
    <cellStyle name="40 % - Markeringsfarve1 7 2 4 4" xfId="26154"/>
    <cellStyle name="40 % - Markeringsfarve1 7 2 5" xfId="5651"/>
    <cellStyle name="40 % - Markeringsfarve1 7 2 5 2" xfId="16459"/>
    <cellStyle name="40 % - Markeringsfarve1 7 2 5 3" xfId="27816"/>
    <cellStyle name="40 % - Markeringsfarve1 7 2 6" xfId="10638"/>
    <cellStyle name="40 % - Markeringsfarve1 7 2 6 2" xfId="21445"/>
    <cellStyle name="40 % - Markeringsfarve1 7 2 6 3" xfId="32802"/>
    <cellStyle name="40 % - Markeringsfarve1 7 2 7" xfId="11472"/>
    <cellStyle name="40 % - Markeringsfarve1 7 2 8" xfId="22278"/>
    <cellStyle name="40 % - Markeringsfarve1 7 2 9" xfId="22832"/>
    <cellStyle name="40 % - Markeringsfarve1 7 3" xfId="933"/>
    <cellStyle name="40 % - Markeringsfarve1 7 3 2" xfId="1765"/>
    <cellStyle name="40 % - Markeringsfarve1 7 3 2 2" xfId="3430"/>
    <cellStyle name="40 % - Markeringsfarve1 7 3 2 2 2" xfId="8418"/>
    <cellStyle name="40 % - Markeringsfarve1 7 3 2 2 2 2" xfId="19225"/>
    <cellStyle name="40 % - Markeringsfarve1 7 3 2 2 2 3" xfId="30582"/>
    <cellStyle name="40 % - Markeringsfarve1 7 3 2 2 3" xfId="14240"/>
    <cellStyle name="40 % - Markeringsfarve1 7 3 2 2 4" xfId="25598"/>
    <cellStyle name="40 % - Markeringsfarve1 7 3 2 3" xfId="5094"/>
    <cellStyle name="40 % - Markeringsfarve1 7 3 2 3 2" xfId="10079"/>
    <cellStyle name="40 % - Markeringsfarve1 7 3 2 3 2 2" xfId="20886"/>
    <cellStyle name="40 % - Markeringsfarve1 7 3 2 3 2 3" xfId="32243"/>
    <cellStyle name="40 % - Markeringsfarve1 7 3 2 3 3" xfId="15901"/>
    <cellStyle name="40 % - Markeringsfarve1 7 3 2 3 4" xfId="27259"/>
    <cellStyle name="40 % - Markeringsfarve1 7 3 2 4" xfId="6756"/>
    <cellStyle name="40 % - Markeringsfarve1 7 3 2 4 2" xfId="17564"/>
    <cellStyle name="40 % - Markeringsfarve1 7 3 2 4 3" xfId="28921"/>
    <cellStyle name="40 % - Markeringsfarve1 7 3 2 5" xfId="12579"/>
    <cellStyle name="40 % - Markeringsfarve1 7 3 2 6" xfId="23937"/>
    <cellStyle name="40 % - Markeringsfarve1 7 3 3" xfId="2599"/>
    <cellStyle name="40 % - Markeringsfarve1 7 3 3 2" xfId="7587"/>
    <cellStyle name="40 % - Markeringsfarve1 7 3 3 2 2" xfId="18394"/>
    <cellStyle name="40 % - Markeringsfarve1 7 3 3 2 3" xfId="29751"/>
    <cellStyle name="40 % - Markeringsfarve1 7 3 3 3" xfId="13409"/>
    <cellStyle name="40 % - Markeringsfarve1 7 3 3 4" xfId="24767"/>
    <cellStyle name="40 % - Markeringsfarve1 7 3 4" xfId="4263"/>
    <cellStyle name="40 % - Markeringsfarve1 7 3 4 2" xfId="9248"/>
    <cellStyle name="40 % - Markeringsfarve1 7 3 4 2 2" xfId="20055"/>
    <cellStyle name="40 % - Markeringsfarve1 7 3 4 2 3" xfId="31412"/>
    <cellStyle name="40 % - Markeringsfarve1 7 3 4 3" xfId="15070"/>
    <cellStyle name="40 % - Markeringsfarve1 7 3 4 4" xfId="26428"/>
    <cellStyle name="40 % - Markeringsfarve1 7 3 5" xfId="5925"/>
    <cellStyle name="40 % - Markeringsfarve1 7 3 5 2" xfId="16733"/>
    <cellStyle name="40 % - Markeringsfarve1 7 3 5 3" xfId="28090"/>
    <cellStyle name="40 % - Markeringsfarve1 7 3 6" xfId="10912"/>
    <cellStyle name="40 % - Markeringsfarve1 7 3 6 2" xfId="21719"/>
    <cellStyle name="40 % - Markeringsfarve1 7 3 6 3" xfId="33076"/>
    <cellStyle name="40 % - Markeringsfarve1 7 3 7" xfId="11747"/>
    <cellStyle name="40 % - Markeringsfarve1 7 3 8" xfId="23106"/>
    <cellStyle name="40 % - Markeringsfarve1 7 4" xfId="1212"/>
    <cellStyle name="40 % - Markeringsfarve1 7 4 2" xfId="2877"/>
    <cellStyle name="40 % - Markeringsfarve1 7 4 2 2" xfId="7865"/>
    <cellStyle name="40 % - Markeringsfarve1 7 4 2 2 2" xfId="18672"/>
    <cellStyle name="40 % - Markeringsfarve1 7 4 2 2 3" xfId="30029"/>
    <cellStyle name="40 % - Markeringsfarve1 7 4 2 3" xfId="13687"/>
    <cellStyle name="40 % - Markeringsfarve1 7 4 2 4" xfId="25045"/>
    <cellStyle name="40 % - Markeringsfarve1 7 4 3" xfId="4541"/>
    <cellStyle name="40 % - Markeringsfarve1 7 4 3 2" xfId="9526"/>
    <cellStyle name="40 % - Markeringsfarve1 7 4 3 2 2" xfId="20333"/>
    <cellStyle name="40 % - Markeringsfarve1 7 4 3 2 3" xfId="31690"/>
    <cellStyle name="40 % - Markeringsfarve1 7 4 3 3" xfId="15348"/>
    <cellStyle name="40 % - Markeringsfarve1 7 4 3 4" xfId="26706"/>
    <cellStyle name="40 % - Markeringsfarve1 7 4 4" xfId="6203"/>
    <cellStyle name="40 % - Markeringsfarve1 7 4 4 2" xfId="17011"/>
    <cellStyle name="40 % - Markeringsfarve1 7 4 4 3" xfId="28368"/>
    <cellStyle name="40 % - Markeringsfarve1 7 4 5" xfId="12026"/>
    <cellStyle name="40 % - Markeringsfarve1 7 4 6" xfId="23384"/>
    <cellStyle name="40 % - Markeringsfarve1 7 5" xfId="2047"/>
    <cellStyle name="40 % - Markeringsfarve1 7 5 2" xfId="7035"/>
    <cellStyle name="40 % - Markeringsfarve1 7 5 2 2" xfId="17843"/>
    <cellStyle name="40 % - Markeringsfarve1 7 5 2 3" xfId="29200"/>
    <cellStyle name="40 % - Markeringsfarve1 7 5 3" xfId="12858"/>
    <cellStyle name="40 % - Markeringsfarve1 7 5 4" xfId="24216"/>
    <cellStyle name="40 % - Markeringsfarve1 7 6" xfId="3712"/>
    <cellStyle name="40 % - Markeringsfarve1 7 6 2" xfId="8697"/>
    <cellStyle name="40 % - Markeringsfarve1 7 6 2 2" xfId="19504"/>
    <cellStyle name="40 % - Markeringsfarve1 7 6 2 3" xfId="30861"/>
    <cellStyle name="40 % - Markeringsfarve1 7 6 3" xfId="14519"/>
    <cellStyle name="40 % - Markeringsfarve1 7 6 4" xfId="25877"/>
    <cellStyle name="40 % - Markeringsfarve1 7 7" xfId="5373"/>
    <cellStyle name="40 % - Markeringsfarve1 7 7 2" xfId="16182"/>
    <cellStyle name="40 % - Markeringsfarve1 7 7 3" xfId="27539"/>
    <cellStyle name="40 % - Markeringsfarve1 7 8" xfId="10358"/>
    <cellStyle name="40 % - Markeringsfarve1 7 8 2" xfId="21165"/>
    <cellStyle name="40 % - Markeringsfarve1 7 8 3" xfId="32522"/>
    <cellStyle name="40 % - Markeringsfarve1 7 9" xfId="11192"/>
    <cellStyle name="40 % - Markeringsfarve1 8" xfId="443"/>
    <cellStyle name="40 % - Markeringsfarve1 8 2" xfId="1273"/>
    <cellStyle name="40 % - Markeringsfarve1 8 2 2" xfId="2938"/>
    <cellStyle name="40 % - Markeringsfarve1 8 2 2 2" xfId="7926"/>
    <cellStyle name="40 % - Markeringsfarve1 8 2 2 2 2" xfId="18733"/>
    <cellStyle name="40 % - Markeringsfarve1 8 2 2 2 3" xfId="30090"/>
    <cellStyle name="40 % - Markeringsfarve1 8 2 2 3" xfId="13748"/>
    <cellStyle name="40 % - Markeringsfarve1 8 2 2 4" xfId="25106"/>
    <cellStyle name="40 % - Markeringsfarve1 8 2 3" xfId="4602"/>
    <cellStyle name="40 % - Markeringsfarve1 8 2 3 2" xfId="9587"/>
    <cellStyle name="40 % - Markeringsfarve1 8 2 3 2 2" xfId="20394"/>
    <cellStyle name="40 % - Markeringsfarve1 8 2 3 2 3" xfId="31751"/>
    <cellStyle name="40 % - Markeringsfarve1 8 2 3 3" xfId="15409"/>
    <cellStyle name="40 % - Markeringsfarve1 8 2 3 4" xfId="26767"/>
    <cellStyle name="40 % - Markeringsfarve1 8 2 4" xfId="6264"/>
    <cellStyle name="40 % - Markeringsfarve1 8 2 4 2" xfId="17072"/>
    <cellStyle name="40 % - Markeringsfarve1 8 2 4 3" xfId="28429"/>
    <cellStyle name="40 % - Markeringsfarve1 8 2 5" xfId="12087"/>
    <cellStyle name="40 % - Markeringsfarve1 8 2 6" xfId="23445"/>
    <cellStyle name="40 % - Markeringsfarve1 8 3" xfId="2109"/>
    <cellStyle name="40 % - Markeringsfarve1 8 3 2" xfId="7097"/>
    <cellStyle name="40 % - Markeringsfarve1 8 3 2 2" xfId="17904"/>
    <cellStyle name="40 % - Markeringsfarve1 8 3 2 3" xfId="29261"/>
    <cellStyle name="40 % - Markeringsfarve1 8 3 3" xfId="12919"/>
    <cellStyle name="40 % - Markeringsfarve1 8 3 4" xfId="24277"/>
    <cellStyle name="40 % - Markeringsfarve1 8 4" xfId="3773"/>
    <cellStyle name="40 % - Markeringsfarve1 8 4 2" xfId="8758"/>
    <cellStyle name="40 % - Markeringsfarve1 8 4 2 2" xfId="19565"/>
    <cellStyle name="40 % - Markeringsfarve1 8 4 2 3" xfId="30922"/>
    <cellStyle name="40 % - Markeringsfarve1 8 4 3" xfId="14580"/>
    <cellStyle name="40 % - Markeringsfarve1 8 4 4" xfId="25938"/>
    <cellStyle name="40 % - Markeringsfarve1 8 5" xfId="5435"/>
    <cellStyle name="40 % - Markeringsfarve1 8 5 2" xfId="16243"/>
    <cellStyle name="40 % - Markeringsfarve1 8 5 3" xfId="27600"/>
    <cellStyle name="40 % - Markeringsfarve1 8 6" xfId="10439"/>
    <cellStyle name="40 % - Markeringsfarve1 8 6 2" xfId="21246"/>
    <cellStyle name="40 % - Markeringsfarve1 8 6 3" xfId="32603"/>
    <cellStyle name="40 % - Markeringsfarve1 8 7" xfId="11254"/>
    <cellStyle name="40 % - Markeringsfarve1 8 8" xfId="22060"/>
    <cellStyle name="40 % - Markeringsfarve1 8 9" xfId="22614"/>
    <cellStyle name="40 % - Markeringsfarve1 9" xfId="715"/>
    <cellStyle name="40 % - Markeringsfarve1 9 2" xfId="1547"/>
    <cellStyle name="40 % - Markeringsfarve1 9 2 2" xfId="3212"/>
    <cellStyle name="40 % - Markeringsfarve1 9 2 2 2" xfId="8200"/>
    <cellStyle name="40 % - Markeringsfarve1 9 2 2 2 2" xfId="19007"/>
    <cellStyle name="40 % - Markeringsfarve1 9 2 2 2 3" xfId="30364"/>
    <cellStyle name="40 % - Markeringsfarve1 9 2 2 3" xfId="14022"/>
    <cellStyle name="40 % - Markeringsfarve1 9 2 2 4" xfId="25380"/>
    <cellStyle name="40 % - Markeringsfarve1 9 2 3" xfId="4876"/>
    <cellStyle name="40 % - Markeringsfarve1 9 2 3 2" xfId="9861"/>
    <cellStyle name="40 % - Markeringsfarve1 9 2 3 2 2" xfId="20668"/>
    <cellStyle name="40 % - Markeringsfarve1 9 2 3 2 3" xfId="32025"/>
    <cellStyle name="40 % - Markeringsfarve1 9 2 3 3" xfId="15683"/>
    <cellStyle name="40 % - Markeringsfarve1 9 2 3 4" xfId="27041"/>
    <cellStyle name="40 % - Markeringsfarve1 9 2 4" xfId="6538"/>
    <cellStyle name="40 % - Markeringsfarve1 9 2 4 2" xfId="17346"/>
    <cellStyle name="40 % - Markeringsfarve1 9 2 4 3" xfId="28703"/>
    <cellStyle name="40 % - Markeringsfarve1 9 2 5" xfId="12361"/>
    <cellStyle name="40 % - Markeringsfarve1 9 2 6" xfId="23719"/>
    <cellStyle name="40 % - Markeringsfarve1 9 3" xfId="2381"/>
    <cellStyle name="40 % - Markeringsfarve1 9 3 2" xfId="7369"/>
    <cellStyle name="40 % - Markeringsfarve1 9 3 2 2" xfId="18176"/>
    <cellStyle name="40 % - Markeringsfarve1 9 3 2 3" xfId="29533"/>
    <cellStyle name="40 % - Markeringsfarve1 9 3 3" xfId="13191"/>
    <cellStyle name="40 % - Markeringsfarve1 9 3 4" xfId="24549"/>
    <cellStyle name="40 % - Markeringsfarve1 9 4" xfId="4045"/>
    <cellStyle name="40 % - Markeringsfarve1 9 4 2" xfId="9030"/>
    <cellStyle name="40 % - Markeringsfarve1 9 4 2 2" xfId="19837"/>
    <cellStyle name="40 % - Markeringsfarve1 9 4 2 3" xfId="31194"/>
    <cellStyle name="40 % - Markeringsfarve1 9 4 3" xfId="14852"/>
    <cellStyle name="40 % - Markeringsfarve1 9 4 4" xfId="26210"/>
    <cellStyle name="40 % - Markeringsfarve1 9 5" xfId="5707"/>
    <cellStyle name="40 % - Markeringsfarve1 9 5 2" xfId="16515"/>
    <cellStyle name="40 % - Markeringsfarve1 9 5 3" xfId="27872"/>
    <cellStyle name="40 % - Markeringsfarve1 9 6" xfId="10694"/>
    <cellStyle name="40 % - Markeringsfarve1 9 6 2" xfId="21501"/>
    <cellStyle name="40 % - Markeringsfarve1 9 6 3" xfId="32858"/>
    <cellStyle name="40 % - Markeringsfarve1 9 7" xfId="11529"/>
    <cellStyle name="40 % - Markeringsfarve1 9 8" xfId="22888"/>
    <cellStyle name="40 % - Markeringsfarve2" xfId="26" builtinId="35" customBuiltin="1"/>
    <cellStyle name="40 % - Markeringsfarve2 10" xfId="996"/>
    <cellStyle name="40 % - Markeringsfarve2 10 2" xfId="2661"/>
    <cellStyle name="40 % - Markeringsfarve2 10 2 2" xfId="7649"/>
    <cellStyle name="40 % - Markeringsfarve2 10 2 2 2" xfId="18456"/>
    <cellStyle name="40 % - Markeringsfarve2 10 2 2 3" xfId="29813"/>
    <cellStyle name="40 % - Markeringsfarve2 10 2 3" xfId="13471"/>
    <cellStyle name="40 % - Markeringsfarve2 10 2 4" xfId="24829"/>
    <cellStyle name="40 % - Markeringsfarve2 10 3" xfId="4325"/>
    <cellStyle name="40 % - Markeringsfarve2 10 3 2" xfId="9310"/>
    <cellStyle name="40 % - Markeringsfarve2 10 3 2 2" xfId="20117"/>
    <cellStyle name="40 % - Markeringsfarve2 10 3 2 3" xfId="31474"/>
    <cellStyle name="40 % - Markeringsfarve2 10 3 3" xfId="15132"/>
    <cellStyle name="40 % - Markeringsfarve2 10 3 4" xfId="26490"/>
    <cellStyle name="40 % - Markeringsfarve2 10 4" xfId="5987"/>
    <cellStyle name="40 % - Markeringsfarve2 10 4 2" xfId="16795"/>
    <cellStyle name="40 % - Markeringsfarve2 10 4 3" xfId="28152"/>
    <cellStyle name="40 % - Markeringsfarve2 10 5" xfId="11810"/>
    <cellStyle name="40 % - Markeringsfarve2 10 6" xfId="23168"/>
    <cellStyle name="40 % - Markeringsfarve2 11" xfId="1831"/>
    <cellStyle name="40 % - Markeringsfarve2 11 2" xfId="6819"/>
    <cellStyle name="40 % - Markeringsfarve2 11 2 2" xfId="17627"/>
    <cellStyle name="40 % - Markeringsfarve2 11 2 3" xfId="28984"/>
    <cellStyle name="40 % - Markeringsfarve2 11 3" xfId="12642"/>
    <cellStyle name="40 % - Markeringsfarve2 11 4" xfId="24000"/>
    <cellStyle name="40 % - Markeringsfarve2 12" xfId="3496"/>
    <cellStyle name="40 % - Markeringsfarve2 12 2" xfId="8481"/>
    <cellStyle name="40 % - Markeringsfarve2 12 2 2" xfId="19288"/>
    <cellStyle name="40 % - Markeringsfarve2 12 2 3" xfId="30645"/>
    <cellStyle name="40 % - Markeringsfarve2 12 3" xfId="14303"/>
    <cellStyle name="40 % - Markeringsfarve2 12 4" xfId="25661"/>
    <cellStyle name="40 % - Markeringsfarve2 13" xfId="5157"/>
    <cellStyle name="40 % - Markeringsfarve2 13 2" xfId="15966"/>
    <cellStyle name="40 % - Markeringsfarve2 13 3" xfId="27323"/>
    <cellStyle name="40 % - Markeringsfarve2 14" xfId="10142"/>
    <cellStyle name="40 % - Markeringsfarve2 14 2" xfId="20949"/>
    <cellStyle name="40 % - Markeringsfarve2 14 3" xfId="32306"/>
    <cellStyle name="40 % - Markeringsfarve2 15" xfId="10976"/>
    <cellStyle name="40 % - Markeringsfarve2 16" xfId="21783"/>
    <cellStyle name="40 % - Markeringsfarve2 17" xfId="22336"/>
    <cellStyle name="40 % - Markeringsfarve2 18" xfId="33139"/>
    <cellStyle name="40 % - Markeringsfarve2 19" xfId="33417"/>
    <cellStyle name="40 % - Markeringsfarve2 2" xfId="72"/>
    <cellStyle name="40 % - Markeringsfarve2 2 10" xfId="3519"/>
    <cellStyle name="40 % - Markeringsfarve2 2 10 2" xfId="8504"/>
    <cellStyle name="40 % - Markeringsfarve2 2 10 2 2" xfId="19311"/>
    <cellStyle name="40 % - Markeringsfarve2 2 10 2 3" xfId="30668"/>
    <cellStyle name="40 % - Markeringsfarve2 2 10 3" xfId="14326"/>
    <cellStyle name="40 % - Markeringsfarve2 2 10 4" xfId="25684"/>
    <cellStyle name="40 % - Markeringsfarve2 2 11" xfId="5180"/>
    <cellStyle name="40 % - Markeringsfarve2 2 11 2" xfId="15989"/>
    <cellStyle name="40 % - Markeringsfarve2 2 11 3" xfId="27346"/>
    <cellStyle name="40 % - Markeringsfarve2 2 12" xfId="10164"/>
    <cellStyle name="40 % - Markeringsfarve2 2 12 2" xfId="20971"/>
    <cellStyle name="40 % - Markeringsfarve2 2 12 3" xfId="32328"/>
    <cellStyle name="40 % - Markeringsfarve2 2 13" xfId="10998"/>
    <cellStyle name="40 % - Markeringsfarve2 2 14" xfId="21805"/>
    <cellStyle name="40 % - Markeringsfarve2 2 15" xfId="22358"/>
    <cellStyle name="40 % - Markeringsfarve2 2 16" xfId="33161"/>
    <cellStyle name="40 % - Markeringsfarve2 2 17" xfId="33430"/>
    <cellStyle name="40 % - Markeringsfarve2 2 18" xfId="33701"/>
    <cellStyle name="40 % - Markeringsfarve2 2 2" xfId="201"/>
    <cellStyle name="40 % - Markeringsfarve2 2 2 10" xfId="21859"/>
    <cellStyle name="40 % - Markeringsfarve2 2 2 11" xfId="22412"/>
    <cellStyle name="40 % - Markeringsfarve2 2 2 12" xfId="33215"/>
    <cellStyle name="40 % - Markeringsfarve2 2 2 13" xfId="33490"/>
    <cellStyle name="40 % - Markeringsfarve2 2 2 14" xfId="33761"/>
    <cellStyle name="40 % - Markeringsfarve2 2 2 2" xfId="519"/>
    <cellStyle name="40 % - Markeringsfarve2 2 2 2 2" xfId="1351"/>
    <cellStyle name="40 % - Markeringsfarve2 2 2 2 2 2" xfId="3016"/>
    <cellStyle name="40 % - Markeringsfarve2 2 2 2 2 2 2" xfId="8004"/>
    <cellStyle name="40 % - Markeringsfarve2 2 2 2 2 2 2 2" xfId="18811"/>
    <cellStyle name="40 % - Markeringsfarve2 2 2 2 2 2 2 3" xfId="30168"/>
    <cellStyle name="40 % - Markeringsfarve2 2 2 2 2 2 3" xfId="13826"/>
    <cellStyle name="40 % - Markeringsfarve2 2 2 2 2 2 4" xfId="25184"/>
    <cellStyle name="40 % - Markeringsfarve2 2 2 2 2 3" xfId="4680"/>
    <cellStyle name="40 % - Markeringsfarve2 2 2 2 2 3 2" xfId="9665"/>
    <cellStyle name="40 % - Markeringsfarve2 2 2 2 2 3 2 2" xfId="20472"/>
    <cellStyle name="40 % - Markeringsfarve2 2 2 2 2 3 2 3" xfId="31829"/>
    <cellStyle name="40 % - Markeringsfarve2 2 2 2 2 3 3" xfId="15487"/>
    <cellStyle name="40 % - Markeringsfarve2 2 2 2 2 3 4" xfId="26845"/>
    <cellStyle name="40 % - Markeringsfarve2 2 2 2 2 4" xfId="6342"/>
    <cellStyle name="40 % - Markeringsfarve2 2 2 2 2 4 2" xfId="17150"/>
    <cellStyle name="40 % - Markeringsfarve2 2 2 2 2 4 3" xfId="28507"/>
    <cellStyle name="40 % - Markeringsfarve2 2 2 2 2 5" xfId="12165"/>
    <cellStyle name="40 % - Markeringsfarve2 2 2 2 2 6" xfId="23523"/>
    <cellStyle name="40 % - Markeringsfarve2 2 2 2 3" xfId="2185"/>
    <cellStyle name="40 % - Markeringsfarve2 2 2 2 3 2" xfId="7173"/>
    <cellStyle name="40 % - Markeringsfarve2 2 2 2 3 2 2" xfId="17980"/>
    <cellStyle name="40 % - Markeringsfarve2 2 2 2 3 2 3" xfId="29337"/>
    <cellStyle name="40 % - Markeringsfarve2 2 2 2 3 3" xfId="12995"/>
    <cellStyle name="40 % - Markeringsfarve2 2 2 2 3 4" xfId="24353"/>
    <cellStyle name="40 % - Markeringsfarve2 2 2 2 4" xfId="3849"/>
    <cellStyle name="40 % - Markeringsfarve2 2 2 2 4 2" xfId="8834"/>
    <cellStyle name="40 % - Markeringsfarve2 2 2 2 4 2 2" xfId="19641"/>
    <cellStyle name="40 % - Markeringsfarve2 2 2 2 4 2 3" xfId="30998"/>
    <cellStyle name="40 % - Markeringsfarve2 2 2 2 4 3" xfId="14656"/>
    <cellStyle name="40 % - Markeringsfarve2 2 2 2 4 4" xfId="26014"/>
    <cellStyle name="40 % - Markeringsfarve2 2 2 2 5" xfId="5511"/>
    <cellStyle name="40 % - Markeringsfarve2 2 2 2 5 2" xfId="16319"/>
    <cellStyle name="40 % - Markeringsfarve2 2 2 2 5 3" xfId="27676"/>
    <cellStyle name="40 % - Markeringsfarve2 2 2 2 6" xfId="10498"/>
    <cellStyle name="40 % - Markeringsfarve2 2 2 2 6 2" xfId="21305"/>
    <cellStyle name="40 % - Markeringsfarve2 2 2 2 6 3" xfId="32662"/>
    <cellStyle name="40 % - Markeringsfarve2 2 2 2 7" xfId="11332"/>
    <cellStyle name="40 % - Markeringsfarve2 2 2 2 8" xfId="22138"/>
    <cellStyle name="40 % - Markeringsfarve2 2 2 2 9" xfId="22692"/>
    <cellStyle name="40 % - Markeringsfarve2 2 2 3" xfId="793"/>
    <cellStyle name="40 % - Markeringsfarve2 2 2 3 2" xfId="1625"/>
    <cellStyle name="40 % - Markeringsfarve2 2 2 3 2 2" xfId="3290"/>
    <cellStyle name="40 % - Markeringsfarve2 2 2 3 2 2 2" xfId="8278"/>
    <cellStyle name="40 % - Markeringsfarve2 2 2 3 2 2 2 2" xfId="19085"/>
    <cellStyle name="40 % - Markeringsfarve2 2 2 3 2 2 2 3" xfId="30442"/>
    <cellStyle name="40 % - Markeringsfarve2 2 2 3 2 2 3" xfId="14100"/>
    <cellStyle name="40 % - Markeringsfarve2 2 2 3 2 2 4" xfId="25458"/>
    <cellStyle name="40 % - Markeringsfarve2 2 2 3 2 3" xfId="4954"/>
    <cellStyle name="40 % - Markeringsfarve2 2 2 3 2 3 2" xfId="9939"/>
    <cellStyle name="40 % - Markeringsfarve2 2 2 3 2 3 2 2" xfId="20746"/>
    <cellStyle name="40 % - Markeringsfarve2 2 2 3 2 3 2 3" xfId="32103"/>
    <cellStyle name="40 % - Markeringsfarve2 2 2 3 2 3 3" xfId="15761"/>
    <cellStyle name="40 % - Markeringsfarve2 2 2 3 2 3 4" xfId="27119"/>
    <cellStyle name="40 % - Markeringsfarve2 2 2 3 2 4" xfId="6616"/>
    <cellStyle name="40 % - Markeringsfarve2 2 2 3 2 4 2" xfId="17424"/>
    <cellStyle name="40 % - Markeringsfarve2 2 2 3 2 4 3" xfId="28781"/>
    <cellStyle name="40 % - Markeringsfarve2 2 2 3 2 5" xfId="12439"/>
    <cellStyle name="40 % - Markeringsfarve2 2 2 3 2 6" xfId="23797"/>
    <cellStyle name="40 % - Markeringsfarve2 2 2 3 3" xfId="2459"/>
    <cellStyle name="40 % - Markeringsfarve2 2 2 3 3 2" xfId="7447"/>
    <cellStyle name="40 % - Markeringsfarve2 2 2 3 3 2 2" xfId="18254"/>
    <cellStyle name="40 % - Markeringsfarve2 2 2 3 3 2 3" xfId="29611"/>
    <cellStyle name="40 % - Markeringsfarve2 2 2 3 3 3" xfId="13269"/>
    <cellStyle name="40 % - Markeringsfarve2 2 2 3 3 4" xfId="24627"/>
    <cellStyle name="40 % - Markeringsfarve2 2 2 3 4" xfId="4123"/>
    <cellStyle name="40 % - Markeringsfarve2 2 2 3 4 2" xfId="9108"/>
    <cellStyle name="40 % - Markeringsfarve2 2 2 3 4 2 2" xfId="19915"/>
    <cellStyle name="40 % - Markeringsfarve2 2 2 3 4 2 3" xfId="31272"/>
    <cellStyle name="40 % - Markeringsfarve2 2 2 3 4 3" xfId="14930"/>
    <cellStyle name="40 % - Markeringsfarve2 2 2 3 4 4" xfId="26288"/>
    <cellStyle name="40 % - Markeringsfarve2 2 2 3 5" xfId="5785"/>
    <cellStyle name="40 % - Markeringsfarve2 2 2 3 5 2" xfId="16593"/>
    <cellStyle name="40 % - Markeringsfarve2 2 2 3 5 3" xfId="27950"/>
    <cellStyle name="40 % - Markeringsfarve2 2 2 3 6" xfId="10772"/>
    <cellStyle name="40 % - Markeringsfarve2 2 2 3 6 2" xfId="21579"/>
    <cellStyle name="40 % - Markeringsfarve2 2 2 3 6 3" xfId="32936"/>
    <cellStyle name="40 % - Markeringsfarve2 2 2 3 7" xfId="11607"/>
    <cellStyle name="40 % - Markeringsfarve2 2 2 3 8" xfId="22966"/>
    <cellStyle name="40 % - Markeringsfarve2 2 2 4" xfId="1072"/>
    <cellStyle name="40 % - Markeringsfarve2 2 2 4 2" xfId="2737"/>
    <cellStyle name="40 % - Markeringsfarve2 2 2 4 2 2" xfId="7725"/>
    <cellStyle name="40 % - Markeringsfarve2 2 2 4 2 2 2" xfId="18532"/>
    <cellStyle name="40 % - Markeringsfarve2 2 2 4 2 2 3" xfId="29889"/>
    <cellStyle name="40 % - Markeringsfarve2 2 2 4 2 3" xfId="13547"/>
    <cellStyle name="40 % - Markeringsfarve2 2 2 4 2 4" xfId="24905"/>
    <cellStyle name="40 % - Markeringsfarve2 2 2 4 3" xfId="4401"/>
    <cellStyle name="40 % - Markeringsfarve2 2 2 4 3 2" xfId="9386"/>
    <cellStyle name="40 % - Markeringsfarve2 2 2 4 3 2 2" xfId="20193"/>
    <cellStyle name="40 % - Markeringsfarve2 2 2 4 3 2 3" xfId="31550"/>
    <cellStyle name="40 % - Markeringsfarve2 2 2 4 3 3" xfId="15208"/>
    <cellStyle name="40 % - Markeringsfarve2 2 2 4 3 4" xfId="26566"/>
    <cellStyle name="40 % - Markeringsfarve2 2 2 4 4" xfId="6063"/>
    <cellStyle name="40 % - Markeringsfarve2 2 2 4 4 2" xfId="16871"/>
    <cellStyle name="40 % - Markeringsfarve2 2 2 4 4 3" xfId="28228"/>
    <cellStyle name="40 % - Markeringsfarve2 2 2 4 5" xfId="11886"/>
    <cellStyle name="40 % - Markeringsfarve2 2 2 4 6" xfId="23244"/>
    <cellStyle name="40 % - Markeringsfarve2 2 2 5" xfId="1907"/>
    <cellStyle name="40 % - Markeringsfarve2 2 2 5 2" xfId="6895"/>
    <cellStyle name="40 % - Markeringsfarve2 2 2 5 2 2" xfId="17703"/>
    <cellStyle name="40 % - Markeringsfarve2 2 2 5 2 3" xfId="29060"/>
    <cellStyle name="40 % - Markeringsfarve2 2 2 5 3" xfId="12718"/>
    <cellStyle name="40 % - Markeringsfarve2 2 2 5 4" xfId="24076"/>
    <cellStyle name="40 % - Markeringsfarve2 2 2 6" xfId="3572"/>
    <cellStyle name="40 % - Markeringsfarve2 2 2 6 2" xfId="8557"/>
    <cellStyle name="40 % - Markeringsfarve2 2 2 6 2 2" xfId="19364"/>
    <cellStyle name="40 % - Markeringsfarve2 2 2 6 2 3" xfId="30721"/>
    <cellStyle name="40 % - Markeringsfarve2 2 2 6 3" xfId="14379"/>
    <cellStyle name="40 % - Markeringsfarve2 2 2 6 4" xfId="25737"/>
    <cellStyle name="40 % - Markeringsfarve2 2 2 7" xfId="5233"/>
    <cellStyle name="40 % - Markeringsfarve2 2 2 7 2" xfId="16042"/>
    <cellStyle name="40 % - Markeringsfarve2 2 2 7 3" xfId="27399"/>
    <cellStyle name="40 % - Markeringsfarve2 2 2 8" xfId="10218"/>
    <cellStyle name="40 % - Markeringsfarve2 2 2 8 2" xfId="21025"/>
    <cellStyle name="40 % - Markeringsfarve2 2 2 8 3" xfId="32382"/>
    <cellStyle name="40 % - Markeringsfarve2 2 2 9" xfId="11052"/>
    <cellStyle name="40 % - Markeringsfarve2 2 3" xfId="256"/>
    <cellStyle name="40 % - Markeringsfarve2 2 3 10" xfId="21913"/>
    <cellStyle name="40 % - Markeringsfarve2 2 3 11" xfId="22466"/>
    <cellStyle name="40 % - Markeringsfarve2 2 3 12" xfId="33269"/>
    <cellStyle name="40 % - Markeringsfarve2 2 3 13" xfId="33544"/>
    <cellStyle name="40 % - Markeringsfarve2 2 3 14" xfId="33815"/>
    <cellStyle name="40 % - Markeringsfarve2 2 3 2" xfId="573"/>
    <cellStyle name="40 % - Markeringsfarve2 2 3 2 2" xfId="1405"/>
    <cellStyle name="40 % - Markeringsfarve2 2 3 2 2 2" xfId="3070"/>
    <cellStyle name="40 % - Markeringsfarve2 2 3 2 2 2 2" xfId="8058"/>
    <cellStyle name="40 % - Markeringsfarve2 2 3 2 2 2 2 2" xfId="18865"/>
    <cellStyle name="40 % - Markeringsfarve2 2 3 2 2 2 2 3" xfId="30222"/>
    <cellStyle name="40 % - Markeringsfarve2 2 3 2 2 2 3" xfId="13880"/>
    <cellStyle name="40 % - Markeringsfarve2 2 3 2 2 2 4" xfId="25238"/>
    <cellStyle name="40 % - Markeringsfarve2 2 3 2 2 3" xfId="4734"/>
    <cellStyle name="40 % - Markeringsfarve2 2 3 2 2 3 2" xfId="9719"/>
    <cellStyle name="40 % - Markeringsfarve2 2 3 2 2 3 2 2" xfId="20526"/>
    <cellStyle name="40 % - Markeringsfarve2 2 3 2 2 3 2 3" xfId="31883"/>
    <cellStyle name="40 % - Markeringsfarve2 2 3 2 2 3 3" xfId="15541"/>
    <cellStyle name="40 % - Markeringsfarve2 2 3 2 2 3 4" xfId="26899"/>
    <cellStyle name="40 % - Markeringsfarve2 2 3 2 2 4" xfId="6396"/>
    <cellStyle name="40 % - Markeringsfarve2 2 3 2 2 4 2" xfId="17204"/>
    <cellStyle name="40 % - Markeringsfarve2 2 3 2 2 4 3" xfId="28561"/>
    <cellStyle name="40 % - Markeringsfarve2 2 3 2 2 5" xfId="12219"/>
    <cellStyle name="40 % - Markeringsfarve2 2 3 2 2 6" xfId="23577"/>
    <cellStyle name="40 % - Markeringsfarve2 2 3 2 3" xfId="2239"/>
    <cellStyle name="40 % - Markeringsfarve2 2 3 2 3 2" xfId="7227"/>
    <cellStyle name="40 % - Markeringsfarve2 2 3 2 3 2 2" xfId="18034"/>
    <cellStyle name="40 % - Markeringsfarve2 2 3 2 3 2 3" xfId="29391"/>
    <cellStyle name="40 % - Markeringsfarve2 2 3 2 3 3" xfId="13049"/>
    <cellStyle name="40 % - Markeringsfarve2 2 3 2 3 4" xfId="24407"/>
    <cellStyle name="40 % - Markeringsfarve2 2 3 2 4" xfId="3903"/>
    <cellStyle name="40 % - Markeringsfarve2 2 3 2 4 2" xfId="8888"/>
    <cellStyle name="40 % - Markeringsfarve2 2 3 2 4 2 2" xfId="19695"/>
    <cellStyle name="40 % - Markeringsfarve2 2 3 2 4 2 3" xfId="31052"/>
    <cellStyle name="40 % - Markeringsfarve2 2 3 2 4 3" xfId="14710"/>
    <cellStyle name="40 % - Markeringsfarve2 2 3 2 4 4" xfId="26068"/>
    <cellStyle name="40 % - Markeringsfarve2 2 3 2 5" xfId="5565"/>
    <cellStyle name="40 % - Markeringsfarve2 2 3 2 5 2" xfId="16373"/>
    <cellStyle name="40 % - Markeringsfarve2 2 3 2 5 3" xfId="27730"/>
    <cellStyle name="40 % - Markeringsfarve2 2 3 2 6" xfId="10552"/>
    <cellStyle name="40 % - Markeringsfarve2 2 3 2 6 2" xfId="21359"/>
    <cellStyle name="40 % - Markeringsfarve2 2 3 2 6 3" xfId="32716"/>
    <cellStyle name="40 % - Markeringsfarve2 2 3 2 7" xfId="11386"/>
    <cellStyle name="40 % - Markeringsfarve2 2 3 2 8" xfId="22192"/>
    <cellStyle name="40 % - Markeringsfarve2 2 3 2 9" xfId="22746"/>
    <cellStyle name="40 % - Markeringsfarve2 2 3 3" xfId="847"/>
    <cellStyle name="40 % - Markeringsfarve2 2 3 3 2" xfId="1679"/>
    <cellStyle name="40 % - Markeringsfarve2 2 3 3 2 2" xfId="3344"/>
    <cellStyle name="40 % - Markeringsfarve2 2 3 3 2 2 2" xfId="8332"/>
    <cellStyle name="40 % - Markeringsfarve2 2 3 3 2 2 2 2" xfId="19139"/>
    <cellStyle name="40 % - Markeringsfarve2 2 3 3 2 2 2 3" xfId="30496"/>
    <cellStyle name="40 % - Markeringsfarve2 2 3 3 2 2 3" xfId="14154"/>
    <cellStyle name="40 % - Markeringsfarve2 2 3 3 2 2 4" xfId="25512"/>
    <cellStyle name="40 % - Markeringsfarve2 2 3 3 2 3" xfId="5008"/>
    <cellStyle name="40 % - Markeringsfarve2 2 3 3 2 3 2" xfId="9993"/>
    <cellStyle name="40 % - Markeringsfarve2 2 3 3 2 3 2 2" xfId="20800"/>
    <cellStyle name="40 % - Markeringsfarve2 2 3 3 2 3 2 3" xfId="32157"/>
    <cellStyle name="40 % - Markeringsfarve2 2 3 3 2 3 3" xfId="15815"/>
    <cellStyle name="40 % - Markeringsfarve2 2 3 3 2 3 4" xfId="27173"/>
    <cellStyle name="40 % - Markeringsfarve2 2 3 3 2 4" xfId="6670"/>
    <cellStyle name="40 % - Markeringsfarve2 2 3 3 2 4 2" xfId="17478"/>
    <cellStyle name="40 % - Markeringsfarve2 2 3 3 2 4 3" xfId="28835"/>
    <cellStyle name="40 % - Markeringsfarve2 2 3 3 2 5" xfId="12493"/>
    <cellStyle name="40 % - Markeringsfarve2 2 3 3 2 6" xfId="23851"/>
    <cellStyle name="40 % - Markeringsfarve2 2 3 3 3" xfId="2513"/>
    <cellStyle name="40 % - Markeringsfarve2 2 3 3 3 2" xfId="7501"/>
    <cellStyle name="40 % - Markeringsfarve2 2 3 3 3 2 2" xfId="18308"/>
    <cellStyle name="40 % - Markeringsfarve2 2 3 3 3 2 3" xfId="29665"/>
    <cellStyle name="40 % - Markeringsfarve2 2 3 3 3 3" xfId="13323"/>
    <cellStyle name="40 % - Markeringsfarve2 2 3 3 3 4" xfId="24681"/>
    <cellStyle name="40 % - Markeringsfarve2 2 3 3 4" xfId="4177"/>
    <cellStyle name="40 % - Markeringsfarve2 2 3 3 4 2" xfId="9162"/>
    <cellStyle name="40 % - Markeringsfarve2 2 3 3 4 2 2" xfId="19969"/>
    <cellStyle name="40 % - Markeringsfarve2 2 3 3 4 2 3" xfId="31326"/>
    <cellStyle name="40 % - Markeringsfarve2 2 3 3 4 3" xfId="14984"/>
    <cellStyle name="40 % - Markeringsfarve2 2 3 3 4 4" xfId="26342"/>
    <cellStyle name="40 % - Markeringsfarve2 2 3 3 5" xfId="5839"/>
    <cellStyle name="40 % - Markeringsfarve2 2 3 3 5 2" xfId="16647"/>
    <cellStyle name="40 % - Markeringsfarve2 2 3 3 5 3" xfId="28004"/>
    <cellStyle name="40 % - Markeringsfarve2 2 3 3 6" xfId="10826"/>
    <cellStyle name="40 % - Markeringsfarve2 2 3 3 6 2" xfId="21633"/>
    <cellStyle name="40 % - Markeringsfarve2 2 3 3 6 3" xfId="32990"/>
    <cellStyle name="40 % - Markeringsfarve2 2 3 3 7" xfId="11661"/>
    <cellStyle name="40 % - Markeringsfarve2 2 3 3 8" xfId="23020"/>
    <cellStyle name="40 % - Markeringsfarve2 2 3 4" xfId="1126"/>
    <cellStyle name="40 % - Markeringsfarve2 2 3 4 2" xfId="2791"/>
    <cellStyle name="40 % - Markeringsfarve2 2 3 4 2 2" xfId="7779"/>
    <cellStyle name="40 % - Markeringsfarve2 2 3 4 2 2 2" xfId="18586"/>
    <cellStyle name="40 % - Markeringsfarve2 2 3 4 2 2 3" xfId="29943"/>
    <cellStyle name="40 % - Markeringsfarve2 2 3 4 2 3" xfId="13601"/>
    <cellStyle name="40 % - Markeringsfarve2 2 3 4 2 4" xfId="24959"/>
    <cellStyle name="40 % - Markeringsfarve2 2 3 4 3" xfId="4455"/>
    <cellStyle name="40 % - Markeringsfarve2 2 3 4 3 2" xfId="9440"/>
    <cellStyle name="40 % - Markeringsfarve2 2 3 4 3 2 2" xfId="20247"/>
    <cellStyle name="40 % - Markeringsfarve2 2 3 4 3 2 3" xfId="31604"/>
    <cellStyle name="40 % - Markeringsfarve2 2 3 4 3 3" xfId="15262"/>
    <cellStyle name="40 % - Markeringsfarve2 2 3 4 3 4" xfId="26620"/>
    <cellStyle name="40 % - Markeringsfarve2 2 3 4 4" xfId="6117"/>
    <cellStyle name="40 % - Markeringsfarve2 2 3 4 4 2" xfId="16925"/>
    <cellStyle name="40 % - Markeringsfarve2 2 3 4 4 3" xfId="28282"/>
    <cellStyle name="40 % - Markeringsfarve2 2 3 4 5" xfId="11940"/>
    <cellStyle name="40 % - Markeringsfarve2 2 3 4 6" xfId="23298"/>
    <cellStyle name="40 % - Markeringsfarve2 2 3 5" xfId="1961"/>
    <cellStyle name="40 % - Markeringsfarve2 2 3 5 2" xfId="6949"/>
    <cellStyle name="40 % - Markeringsfarve2 2 3 5 2 2" xfId="17757"/>
    <cellStyle name="40 % - Markeringsfarve2 2 3 5 2 3" xfId="29114"/>
    <cellStyle name="40 % - Markeringsfarve2 2 3 5 3" xfId="12772"/>
    <cellStyle name="40 % - Markeringsfarve2 2 3 5 4" xfId="24130"/>
    <cellStyle name="40 % - Markeringsfarve2 2 3 6" xfId="3626"/>
    <cellStyle name="40 % - Markeringsfarve2 2 3 6 2" xfId="8611"/>
    <cellStyle name="40 % - Markeringsfarve2 2 3 6 2 2" xfId="19418"/>
    <cellStyle name="40 % - Markeringsfarve2 2 3 6 2 3" xfId="30775"/>
    <cellStyle name="40 % - Markeringsfarve2 2 3 6 3" xfId="14433"/>
    <cellStyle name="40 % - Markeringsfarve2 2 3 6 4" xfId="25791"/>
    <cellStyle name="40 % - Markeringsfarve2 2 3 7" xfId="5287"/>
    <cellStyle name="40 % - Markeringsfarve2 2 3 7 2" xfId="16096"/>
    <cellStyle name="40 % - Markeringsfarve2 2 3 7 3" xfId="27453"/>
    <cellStyle name="40 % - Markeringsfarve2 2 3 8" xfId="10272"/>
    <cellStyle name="40 % - Markeringsfarve2 2 3 8 2" xfId="21079"/>
    <cellStyle name="40 % - Markeringsfarve2 2 3 8 3" xfId="32436"/>
    <cellStyle name="40 % - Markeringsfarve2 2 3 9" xfId="11106"/>
    <cellStyle name="40 % - Markeringsfarve2 2 4" xfId="311"/>
    <cellStyle name="40 % - Markeringsfarve2 2 4 10" xfId="21968"/>
    <cellStyle name="40 % - Markeringsfarve2 2 4 11" xfId="22521"/>
    <cellStyle name="40 % - Markeringsfarve2 2 4 12" xfId="33324"/>
    <cellStyle name="40 % - Markeringsfarve2 2 4 13" xfId="33599"/>
    <cellStyle name="40 % - Markeringsfarve2 2 4 14" xfId="33870"/>
    <cellStyle name="40 % - Markeringsfarve2 2 4 2" xfId="628"/>
    <cellStyle name="40 % - Markeringsfarve2 2 4 2 2" xfId="1460"/>
    <cellStyle name="40 % - Markeringsfarve2 2 4 2 2 2" xfId="3125"/>
    <cellStyle name="40 % - Markeringsfarve2 2 4 2 2 2 2" xfId="8113"/>
    <cellStyle name="40 % - Markeringsfarve2 2 4 2 2 2 2 2" xfId="18920"/>
    <cellStyle name="40 % - Markeringsfarve2 2 4 2 2 2 2 3" xfId="30277"/>
    <cellStyle name="40 % - Markeringsfarve2 2 4 2 2 2 3" xfId="13935"/>
    <cellStyle name="40 % - Markeringsfarve2 2 4 2 2 2 4" xfId="25293"/>
    <cellStyle name="40 % - Markeringsfarve2 2 4 2 2 3" xfId="4789"/>
    <cellStyle name="40 % - Markeringsfarve2 2 4 2 2 3 2" xfId="9774"/>
    <cellStyle name="40 % - Markeringsfarve2 2 4 2 2 3 2 2" xfId="20581"/>
    <cellStyle name="40 % - Markeringsfarve2 2 4 2 2 3 2 3" xfId="31938"/>
    <cellStyle name="40 % - Markeringsfarve2 2 4 2 2 3 3" xfId="15596"/>
    <cellStyle name="40 % - Markeringsfarve2 2 4 2 2 3 4" xfId="26954"/>
    <cellStyle name="40 % - Markeringsfarve2 2 4 2 2 4" xfId="6451"/>
    <cellStyle name="40 % - Markeringsfarve2 2 4 2 2 4 2" xfId="17259"/>
    <cellStyle name="40 % - Markeringsfarve2 2 4 2 2 4 3" xfId="28616"/>
    <cellStyle name="40 % - Markeringsfarve2 2 4 2 2 5" xfId="12274"/>
    <cellStyle name="40 % - Markeringsfarve2 2 4 2 2 6" xfId="23632"/>
    <cellStyle name="40 % - Markeringsfarve2 2 4 2 3" xfId="2294"/>
    <cellStyle name="40 % - Markeringsfarve2 2 4 2 3 2" xfId="7282"/>
    <cellStyle name="40 % - Markeringsfarve2 2 4 2 3 2 2" xfId="18089"/>
    <cellStyle name="40 % - Markeringsfarve2 2 4 2 3 2 3" xfId="29446"/>
    <cellStyle name="40 % - Markeringsfarve2 2 4 2 3 3" xfId="13104"/>
    <cellStyle name="40 % - Markeringsfarve2 2 4 2 3 4" xfId="24462"/>
    <cellStyle name="40 % - Markeringsfarve2 2 4 2 4" xfId="3958"/>
    <cellStyle name="40 % - Markeringsfarve2 2 4 2 4 2" xfId="8943"/>
    <cellStyle name="40 % - Markeringsfarve2 2 4 2 4 2 2" xfId="19750"/>
    <cellStyle name="40 % - Markeringsfarve2 2 4 2 4 2 3" xfId="31107"/>
    <cellStyle name="40 % - Markeringsfarve2 2 4 2 4 3" xfId="14765"/>
    <cellStyle name="40 % - Markeringsfarve2 2 4 2 4 4" xfId="26123"/>
    <cellStyle name="40 % - Markeringsfarve2 2 4 2 5" xfId="5620"/>
    <cellStyle name="40 % - Markeringsfarve2 2 4 2 5 2" xfId="16428"/>
    <cellStyle name="40 % - Markeringsfarve2 2 4 2 5 3" xfId="27785"/>
    <cellStyle name="40 % - Markeringsfarve2 2 4 2 6" xfId="10607"/>
    <cellStyle name="40 % - Markeringsfarve2 2 4 2 6 2" xfId="21414"/>
    <cellStyle name="40 % - Markeringsfarve2 2 4 2 6 3" xfId="32771"/>
    <cellStyle name="40 % - Markeringsfarve2 2 4 2 7" xfId="11441"/>
    <cellStyle name="40 % - Markeringsfarve2 2 4 2 8" xfId="22247"/>
    <cellStyle name="40 % - Markeringsfarve2 2 4 2 9" xfId="22801"/>
    <cellStyle name="40 % - Markeringsfarve2 2 4 3" xfId="902"/>
    <cellStyle name="40 % - Markeringsfarve2 2 4 3 2" xfId="1734"/>
    <cellStyle name="40 % - Markeringsfarve2 2 4 3 2 2" xfId="3399"/>
    <cellStyle name="40 % - Markeringsfarve2 2 4 3 2 2 2" xfId="8387"/>
    <cellStyle name="40 % - Markeringsfarve2 2 4 3 2 2 2 2" xfId="19194"/>
    <cellStyle name="40 % - Markeringsfarve2 2 4 3 2 2 2 3" xfId="30551"/>
    <cellStyle name="40 % - Markeringsfarve2 2 4 3 2 2 3" xfId="14209"/>
    <cellStyle name="40 % - Markeringsfarve2 2 4 3 2 2 4" xfId="25567"/>
    <cellStyle name="40 % - Markeringsfarve2 2 4 3 2 3" xfId="5063"/>
    <cellStyle name="40 % - Markeringsfarve2 2 4 3 2 3 2" xfId="10048"/>
    <cellStyle name="40 % - Markeringsfarve2 2 4 3 2 3 2 2" xfId="20855"/>
    <cellStyle name="40 % - Markeringsfarve2 2 4 3 2 3 2 3" xfId="32212"/>
    <cellStyle name="40 % - Markeringsfarve2 2 4 3 2 3 3" xfId="15870"/>
    <cellStyle name="40 % - Markeringsfarve2 2 4 3 2 3 4" xfId="27228"/>
    <cellStyle name="40 % - Markeringsfarve2 2 4 3 2 4" xfId="6725"/>
    <cellStyle name="40 % - Markeringsfarve2 2 4 3 2 4 2" xfId="17533"/>
    <cellStyle name="40 % - Markeringsfarve2 2 4 3 2 4 3" xfId="28890"/>
    <cellStyle name="40 % - Markeringsfarve2 2 4 3 2 5" xfId="12548"/>
    <cellStyle name="40 % - Markeringsfarve2 2 4 3 2 6" xfId="23906"/>
    <cellStyle name="40 % - Markeringsfarve2 2 4 3 3" xfId="2568"/>
    <cellStyle name="40 % - Markeringsfarve2 2 4 3 3 2" xfId="7556"/>
    <cellStyle name="40 % - Markeringsfarve2 2 4 3 3 2 2" xfId="18363"/>
    <cellStyle name="40 % - Markeringsfarve2 2 4 3 3 2 3" xfId="29720"/>
    <cellStyle name="40 % - Markeringsfarve2 2 4 3 3 3" xfId="13378"/>
    <cellStyle name="40 % - Markeringsfarve2 2 4 3 3 4" xfId="24736"/>
    <cellStyle name="40 % - Markeringsfarve2 2 4 3 4" xfId="4232"/>
    <cellStyle name="40 % - Markeringsfarve2 2 4 3 4 2" xfId="9217"/>
    <cellStyle name="40 % - Markeringsfarve2 2 4 3 4 2 2" xfId="20024"/>
    <cellStyle name="40 % - Markeringsfarve2 2 4 3 4 2 3" xfId="31381"/>
    <cellStyle name="40 % - Markeringsfarve2 2 4 3 4 3" xfId="15039"/>
    <cellStyle name="40 % - Markeringsfarve2 2 4 3 4 4" xfId="26397"/>
    <cellStyle name="40 % - Markeringsfarve2 2 4 3 5" xfId="5894"/>
    <cellStyle name="40 % - Markeringsfarve2 2 4 3 5 2" xfId="16702"/>
    <cellStyle name="40 % - Markeringsfarve2 2 4 3 5 3" xfId="28059"/>
    <cellStyle name="40 % - Markeringsfarve2 2 4 3 6" xfId="10881"/>
    <cellStyle name="40 % - Markeringsfarve2 2 4 3 6 2" xfId="21688"/>
    <cellStyle name="40 % - Markeringsfarve2 2 4 3 6 3" xfId="33045"/>
    <cellStyle name="40 % - Markeringsfarve2 2 4 3 7" xfId="11716"/>
    <cellStyle name="40 % - Markeringsfarve2 2 4 3 8" xfId="23075"/>
    <cellStyle name="40 % - Markeringsfarve2 2 4 4" xfId="1181"/>
    <cellStyle name="40 % - Markeringsfarve2 2 4 4 2" xfId="2846"/>
    <cellStyle name="40 % - Markeringsfarve2 2 4 4 2 2" xfId="7834"/>
    <cellStyle name="40 % - Markeringsfarve2 2 4 4 2 2 2" xfId="18641"/>
    <cellStyle name="40 % - Markeringsfarve2 2 4 4 2 2 3" xfId="29998"/>
    <cellStyle name="40 % - Markeringsfarve2 2 4 4 2 3" xfId="13656"/>
    <cellStyle name="40 % - Markeringsfarve2 2 4 4 2 4" xfId="25014"/>
    <cellStyle name="40 % - Markeringsfarve2 2 4 4 3" xfId="4510"/>
    <cellStyle name="40 % - Markeringsfarve2 2 4 4 3 2" xfId="9495"/>
    <cellStyle name="40 % - Markeringsfarve2 2 4 4 3 2 2" xfId="20302"/>
    <cellStyle name="40 % - Markeringsfarve2 2 4 4 3 2 3" xfId="31659"/>
    <cellStyle name="40 % - Markeringsfarve2 2 4 4 3 3" xfId="15317"/>
    <cellStyle name="40 % - Markeringsfarve2 2 4 4 3 4" xfId="26675"/>
    <cellStyle name="40 % - Markeringsfarve2 2 4 4 4" xfId="6172"/>
    <cellStyle name="40 % - Markeringsfarve2 2 4 4 4 2" xfId="16980"/>
    <cellStyle name="40 % - Markeringsfarve2 2 4 4 4 3" xfId="28337"/>
    <cellStyle name="40 % - Markeringsfarve2 2 4 4 5" xfId="11995"/>
    <cellStyle name="40 % - Markeringsfarve2 2 4 4 6" xfId="23353"/>
    <cellStyle name="40 % - Markeringsfarve2 2 4 5" xfId="2016"/>
    <cellStyle name="40 % - Markeringsfarve2 2 4 5 2" xfId="7004"/>
    <cellStyle name="40 % - Markeringsfarve2 2 4 5 2 2" xfId="17812"/>
    <cellStyle name="40 % - Markeringsfarve2 2 4 5 2 3" xfId="29169"/>
    <cellStyle name="40 % - Markeringsfarve2 2 4 5 3" xfId="12827"/>
    <cellStyle name="40 % - Markeringsfarve2 2 4 5 4" xfId="24185"/>
    <cellStyle name="40 % - Markeringsfarve2 2 4 6" xfId="3681"/>
    <cellStyle name="40 % - Markeringsfarve2 2 4 6 2" xfId="8666"/>
    <cellStyle name="40 % - Markeringsfarve2 2 4 6 2 2" xfId="19473"/>
    <cellStyle name="40 % - Markeringsfarve2 2 4 6 2 3" xfId="30830"/>
    <cellStyle name="40 % - Markeringsfarve2 2 4 6 3" xfId="14488"/>
    <cellStyle name="40 % - Markeringsfarve2 2 4 6 4" xfId="25846"/>
    <cellStyle name="40 % - Markeringsfarve2 2 4 7" xfId="5342"/>
    <cellStyle name="40 % - Markeringsfarve2 2 4 7 2" xfId="16151"/>
    <cellStyle name="40 % - Markeringsfarve2 2 4 7 3" xfId="27508"/>
    <cellStyle name="40 % - Markeringsfarve2 2 4 8" xfId="10327"/>
    <cellStyle name="40 % - Markeringsfarve2 2 4 8 2" xfId="21134"/>
    <cellStyle name="40 % - Markeringsfarve2 2 4 8 3" xfId="32491"/>
    <cellStyle name="40 % - Markeringsfarve2 2 4 9" xfId="11161"/>
    <cellStyle name="40 % - Markeringsfarve2 2 5" xfId="367"/>
    <cellStyle name="40 % - Markeringsfarve2 2 5 10" xfId="22024"/>
    <cellStyle name="40 % - Markeringsfarve2 2 5 11" xfId="22577"/>
    <cellStyle name="40 % - Markeringsfarve2 2 5 12" xfId="33380"/>
    <cellStyle name="40 % - Markeringsfarve2 2 5 13" xfId="33655"/>
    <cellStyle name="40 % - Markeringsfarve2 2 5 14" xfId="33926"/>
    <cellStyle name="40 % - Markeringsfarve2 2 5 2" xfId="684"/>
    <cellStyle name="40 % - Markeringsfarve2 2 5 2 2" xfId="1516"/>
    <cellStyle name="40 % - Markeringsfarve2 2 5 2 2 2" xfId="3181"/>
    <cellStyle name="40 % - Markeringsfarve2 2 5 2 2 2 2" xfId="8169"/>
    <cellStyle name="40 % - Markeringsfarve2 2 5 2 2 2 2 2" xfId="18976"/>
    <cellStyle name="40 % - Markeringsfarve2 2 5 2 2 2 2 3" xfId="30333"/>
    <cellStyle name="40 % - Markeringsfarve2 2 5 2 2 2 3" xfId="13991"/>
    <cellStyle name="40 % - Markeringsfarve2 2 5 2 2 2 4" xfId="25349"/>
    <cellStyle name="40 % - Markeringsfarve2 2 5 2 2 3" xfId="4845"/>
    <cellStyle name="40 % - Markeringsfarve2 2 5 2 2 3 2" xfId="9830"/>
    <cellStyle name="40 % - Markeringsfarve2 2 5 2 2 3 2 2" xfId="20637"/>
    <cellStyle name="40 % - Markeringsfarve2 2 5 2 2 3 2 3" xfId="31994"/>
    <cellStyle name="40 % - Markeringsfarve2 2 5 2 2 3 3" xfId="15652"/>
    <cellStyle name="40 % - Markeringsfarve2 2 5 2 2 3 4" xfId="27010"/>
    <cellStyle name="40 % - Markeringsfarve2 2 5 2 2 4" xfId="6507"/>
    <cellStyle name="40 % - Markeringsfarve2 2 5 2 2 4 2" xfId="17315"/>
    <cellStyle name="40 % - Markeringsfarve2 2 5 2 2 4 3" xfId="28672"/>
    <cellStyle name="40 % - Markeringsfarve2 2 5 2 2 5" xfId="12330"/>
    <cellStyle name="40 % - Markeringsfarve2 2 5 2 2 6" xfId="23688"/>
    <cellStyle name="40 % - Markeringsfarve2 2 5 2 3" xfId="2350"/>
    <cellStyle name="40 % - Markeringsfarve2 2 5 2 3 2" xfId="7338"/>
    <cellStyle name="40 % - Markeringsfarve2 2 5 2 3 2 2" xfId="18145"/>
    <cellStyle name="40 % - Markeringsfarve2 2 5 2 3 2 3" xfId="29502"/>
    <cellStyle name="40 % - Markeringsfarve2 2 5 2 3 3" xfId="13160"/>
    <cellStyle name="40 % - Markeringsfarve2 2 5 2 3 4" xfId="24518"/>
    <cellStyle name="40 % - Markeringsfarve2 2 5 2 4" xfId="4014"/>
    <cellStyle name="40 % - Markeringsfarve2 2 5 2 4 2" xfId="8999"/>
    <cellStyle name="40 % - Markeringsfarve2 2 5 2 4 2 2" xfId="19806"/>
    <cellStyle name="40 % - Markeringsfarve2 2 5 2 4 2 3" xfId="31163"/>
    <cellStyle name="40 % - Markeringsfarve2 2 5 2 4 3" xfId="14821"/>
    <cellStyle name="40 % - Markeringsfarve2 2 5 2 4 4" xfId="26179"/>
    <cellStyle name="40 % - Markeringsfarve2 2 5 2 5" xfId="5676"/>
    <cellStyle name="40 % - Markeringsfarve2 2 5 2 5 2" xfId="16484"/>
    <cellStyle name="40 % - Markeringsfarve2 2 5 2 5 3" xfId="27841"/>
    <cellStyle name="40 % - Markeringsfarve2 2 5 2 6" xfId="10663"/>
    <cellStyle name="40 % - Markeringsfarve2 2 5 2 6 2" xfId="21470"/>
    <cellStyle name="40 % - Markeringsfarve2 2 5 2 6 3" xfId="32827"/>
    <cellStyle name="40 % - Markeringsfarve2 2 5 2 7" xfId="11497"/>
    <cellStyle name="40 % - Markeringsfarve2 2 5 2 8" xfId="22303"/>
    <cellStyle name="40 % - Markeringsfarve2 2 5 2 9" xfId="22857"/>
    <cellStyle name="40 % - Markeringsfarve2 2 5 3" xfId="958"/>
    <cellStyle name="40 % - Markeringsfarve2 2 5 3 2" xfId="1790"/>
    <cellStyle name="40 % - Markeringsfarve2 2 5 3 2 2" xfId="3455"/>
    <cellStyle name="40 % - Markeringsfarve2 2 5 3 2 2 2" xfId="8443"/>
    <cellStyle name="40 % - Markeringsfarve2 2 5 3 2 2 2 2" xfId="19250"/>
    <cellStyle name="40 % - Markeringsfarve2 2 5 3 2 2 2 3" xfId="30607"/>
    <cellStyle name="40 % - Markeringsfarve2 2 5 3 2 2 3" xfId="14265"/>
    <cellStyle name="40 % - Markeringsfarve2 2 5 3 2 2 4" xfId="25623"/>
    <cellStyle name="40 % - Markeringsfarve2 2 5 3 2 3" xfId="5119"/>
    <cellStyle name="40 % - Markeringsfarve2 2 5 3 2 3 2" xfId="10104"/>
    <cellStyle name="40 % - Markeringsfarve2 2 5 3 2 3 2 2" xfId="20911"/>
    <cellStyle name="40 % - Markeringsfarve2 2 5 3 2 3 2 3" xfId="32268"/>
    <cellStyle name="40 % - Markeringsfarve2 2 5 3 2 3 3" xfId="15926"/>
    <cellStyle name="40 % - Markeringsfarve2 2 5 3 2 3 4" xfId="27284"/>
    <cellStyle name="40 % - Markeringsfarve2 2 5 3 2 4" xfId="6781"/>
    <cellStyle name="40 % - Markeringsfarve2 2 5 3 2 4 2" xfId="17589"/>
    <cellStyle name="40 % - Markeringsfarve2 2 5 3 2 4 3" xfId="28946"/>
    <cellStyle name="40 % - Markeringsfarve2 2 5 3 2 5" xfId="12604"/>
    <cellStyle name="40 % - Markeringsfarve2 2 5 3 2 6" xfId="23962"/>
    <cellStyle name="40 % - Markeringsfarve2 2 5 3 3" xfId="2624"/>
    <cellStyle name="40 % - Markeringsfarve2 2 5 3 3 2" xfId="7612"/>
    <cellStyle name="40 % - Markeringsfarve2 2 5 3 3 2 2" xfId="18419"/>
    <cellStyle name="40 % - Markeringsfarve2 2 5 3 3 2 3" xfId="29776"/>
    <cellStyle name="40 % - Markeringsfarve2 2 5 3 3 3" xfId="13434"/>
    <cellStyle name="40 % - Markeringsfarve2 2 5 3 3 4" xfId="24792"/>
    <cellStyle name="40 % - Markeringsfarve2 2 5 3 4" xfId="4288"/>
    <cellStyle name="40 % - Markeringsfarve2 2 5 3 4 2" xfId="9273"/>
    <cellStyle name="40 % - Markeringsfarve2 2 5 3 4 2 2" xfId="20080"/>
    <cellStyle name="40 % - Markeringsfarve2 2 5 3 4 2 3" xfId="31437"/>
    <cellStyle name="40 % - Markeringsfarve2 2 5 3 4 3" xfId="15095"/>
    <cellStyle name="40 % - Markeringsfarve2 2 5 3 4 4" xfId="26453"/>
    <cellStyle name="40 % - Markeringsfarve2 2 5 3 5" xfId="5950"/>
    <cellStyle name="40 % - Markeringsfarve2 2 5 3 5 2" xfId="16758"/>
    <cellStyle name="40 % - Markeringsfarve2 2 5 3 5 3" xfId="28115"/>
    <cellStyle name="40 % - Markeringsfarve2 2 5 3 6" xfId="10937"/>
    <cellStyle name="40 % - Markeringsfarve2 2 5 3 6 2" xfId="21744"/>
    <cellStyle name="40 % - Markeringsfarve2 2 5 3 6 3" xfId="33101"/>
    <cellStyle name="40 % - Markeringsfarve2 2 5 3 7" xfId="11772"/>
    <cellStyle name="40 % - Markeringsfarve2 2 5 3 8" xfId="23131"/>
    <cellStyle name="40 % - Markeringsfarve2 2 5 4" xfId="1237"/>
    <cellStyle name="40 % - Markeringsfarve2 2 5 4 2" xfId="2902"/>
    <cellStyle name="40 % - Markeringsfarve2 2 5 4 2 2" xfId="7890"/>
    <cellStyle name="40 % - Markeringsfarve2 2 5 4 2 2 2" xfId="18697"/>
    <cellStyle name="40 % - Markeringsfarve2 2 5 4 2 2 3" xfId="30054"/>
    <cellStyle name="40 % - Markeringsfarve2 2 5 4 2 3" xfId="13712"/>
    <cellStyle name="40 % - Markeringsfarve2 2 5 4 2 4" xfId="25070"/>
    <cellStyle name="40 % - Markeringsfarve2 2 5 4 3" xfId="4566"/>
    <cellStyle name="40 % - Markeringsfarve2 2 5 4 3 2" xfId="9551"/>
    <cellStyle name="40 % - Markeringsfarve2 2 5 4 3 2 2" xfId="20358"/>
    <cellStyle name="40 % - Markeringsfarve2 2 5 4 3 2 3" xfId="31715"/>
    <cellStyle name="40 % - Markeringsfarve2 2 5 4 3 3" xfId="15373"/>
    <cellStyle name="40 % - Markeringsfarve2 2 5 4 3 4" xfId="26731"/>
    <cellStyle name="40 % - Markeringsfarve2 2 5 4 4" xfId="6228"/>
    <cellStyle name="40 % - Markeringsfarve2 2 5 4 4 2" xfId="17036"/>
    <cellStyle name="40 % - Markeringsfarve2 2 5 4 4 3" xfId="28393"/>
    <cellStyle name="40 % - Markeringsfarve2 2 5 4 5" xfId="12051"/>
    <cellStyle name="40 % - Markeringsfarve2 2 5 4 6" xfId="23409"/>
    <cellStyle name="40 % - Markeringsfarve2 2 5 5" xfId="2072"/>
    <cellStyle name="40 % - Markeringsfarve2 2 5 5 2" xfId="7060"/>
    <cellStyle name="40 % - Markeringsfarve2 2 5 5 2 2" xfId="17868"/>
    <cellStyle name="40 % - Markeringsfarve2 2 5 5 2 3" xfId="29225"/>
    <cellStyle name="40 % - Markeringsfarve2 2 5 5 3" xfId="12883"/>
    <cellStyle name="40 % - Markeringsfarve2 2 5 5 4" xfId="24241"/>
    <cellStyle name="40 % - Markeringsfarve2 2 5 6" xfId="3737"/>
    <cellStyle name="40 % - Markeringsfarve2 2 5 6 2" xfId="8722"/>
    <cellStyle name="40 % - Markeringsfarve2 2 5 6 2 2" xfId="19529"/>
    <cellStyle name="40 % - Markeringsfarve2 2 5 6 2 3" xfId="30886"/>
    <cellStyle name="40 % - Markeringsfarve2 2 5 6 3" xfId="14544"/>
    <cellStyle name="40 % - Markeringsfarve2 2 5 6 4" xfId="25902"/>
    <cellStyle name="40 % - Markeringsfarve2 2 5 7" xfId="5398"/>
    <cellStyle name="40 % - Markeringsfarve2 2 5 7 2" xfId="16207"/>
    <cellStyle name="40 % - Markeringsfarve2 2 5 7 3" xfId="27564"/>
    <cellStyle name="40 % - Markeringsfarve2 2 5 8" xfId="10383"/>
    <cellStyle name="40 % - Markeringsfarve2 2 5 8 2" xfId="21190"/>
    <cellStyle name="40 % - Markeringsfarve2 2 5 8 3" xfId="32547"/>
    <cellStyle name="40 % - Markeringsfarve2 2 5 9" xfId="11217"/>
    <cellStyle name="40 % - Markeringsfarve2 2 6" xfId="467"/>
    <cellStyle name="40 % - Markeringsfarve2 2 6 2" xfId="1297"/>
    <cellStyle name="40 % - Markeringsfarve2 2 6 2 2" xfId="2962"/>
    <cellStyle name="40 % - Markeringsfarve2 2 6 2 2 2" xfId="7950"/>
    <cellStyle name="40 % - Markeringsfarve2 2 6 2 2 2 2" xfId="18757"/>
    <cellStyle name="40 % - Markeringsfarve2 2 6 2 2 2 3" xfId="30114"/>
    <cellStyle name="40 % - Markeringsfarve2 2 6 2 2 3" xfId="13772"/>
    <cellStyle name="40 % - Markeringsfarve2 2 6 2 2 4" xfId="25130"/>
    <cellStyle name="40 % - Markeringsfarve2 2 6 2 3" xfId="4626"/>
    <cellStyle name="40 % - Markeringsfarve2 2 6 2 3 2" xfId="9611"/>
    <cellStyle name="40 % - Markeringsfarve2 2 6 2 3 2 2" xfId="20418"/>
    <cellStyle name="40 % - Markeringsfarve2 2 6 2 3 2 3" xfId="31775"/>
    <cellStyle name="40 % - Markeringsfarve2 2 6 2 3 3" xfId="15433"/>
    <cellStyle name="40 % - Markeringsfarve2 2 6 2 3 4" xfId="26791"/>
    <cellStyle name="40 % - Markeringsfarve2 2 6 2 4" xfId="6288"/>
    <cellStyle name="40 % - Markeringsfarve2 2 6 2 4 2" xfId="17096"/>
    <cellStyle name="40 % - Markeringsfarve2 2 6 2 4 3" xfId="28453"/>
    <cellStyle name="40 % - Markeringsfarve2 2 6 2 5" xfId="12111"/>
    <cellStyle name="40 % - Markeringsfarve2 2 6 2 6" xfId="23469"/>
    <cellStyle name="40 % - Markeringsfarve2 2 6 3" xfId="2133"/>
    <cellStyle name="40 % - Markeringsfarve2 2 6 3 2" xfId="7121"/>
    <cellStyle name="40 % - Markeringsfarve2 2 6 3 2 2" xfId="17928"/>
    <cellStyle name="40 % - Markeringsfarve2 2 6 3 2 3" xfId="29285"/>
    <cellStyle name="40 % - Markeringsfarve2 2 6 3 3" xfId="12943"/>
    <cellStyle name="40 % - Markeringsfarve2 2 6 3 4" xfId="24301"/>
    <cellStyle name="40 % - Markeringsfarve2 2 6 4" xfId="3797"/>
    <cellStyle name="40 % - Markeringsfarve2 2 6 4 2" xfId="8782"/>
    <cellStyle name="40 % - Markeringsfarve2 2 6 4 2 2" xfId="19589"/>
    <cellStyle name="40 % - Markeringsfarve2 2 6 4 2 3" xfId="30946"/>
    <cellStyle name="40 % - Markeringsfarve2 2 6 4 3" xfId="14604"/>
    <cellStyle name="40 % - Markeringsfarve2 2 6 4 4" xfId="25962"/>
    <cellStyle name="40 % - Markeringsfarve2 2 6 5" xfId="5459"/>
    <cellStyle name="40 % - Markeringsfarve2 2 6 5 2" xfId="16267"/>
    <cellStyle name="40 % - Markeringsfarve2 2 6 5 3" xfId="27624"/>
    <cellStyle name="40 % - Markeringsfarve2 2 6 6" xfId="10451"/>
    <cellStyle name="40 % - Markeringsfarve2 2 6 6 2" xfId="21258"/>
    <cellStyle name="40 % - Markeringsfarve2 2 6 6 3" xfId="32615"/>
    <cellStyle name="40 % - Markeringsfarve2 2 6 7" xfId="11278"/>
    <cellStyle name="40 % - Markeringsfarve2 2 6 8" xfId="22084"/>
    <cellStyle name="40 % - Markeringsfarve2 2 6 9" xfId="22638"/>
    <cellStyle name="40 % - Markeringsfarve2 2 7" xfId="739"/>
    <cellStyle name="40 % - Markeringsfarve2 2 7 2" xfId="1571"/>
    <cellStyle name="40 % - Markeringsfarve2 2 7 2 2" xfId="3236"/>
    <cellStyle name="40 % - Markeringsfarve2 2 7 2 2 2" xfId="8224"/>
    <cellStyle name="40 % - Markeringsfarve2 2 7 2 2 2 2" xfId="19031"/>
    <cellStyle name="40 % - Markeringsfarve2 2 7 2 2 2 3" xfId="30388"/>
    <cellStyle name="40 % - Markeringsfarve2 2 7 2 2 3" xfId="14046"/>
    <cellStyle name="40 % - Markeringsfarve2 2 7 2 2 4" xfId="25404"/>
    <cellStyle name="40 % - Markeringsfarve2 2 7 2 3" xfId="4900"/>
    <cellStyle name="40 % - Markeringsfarve2 2 7 2 3 2" xfId="9885"/>
    <cellStyle name="40 % - Markeringsfarve2 2 7 2 3 2 2" xfId="20692"/>
    <cellStyle name="40 % - Markeringsfarve2 2 7 2 3 2 3" xfId="32049"/>
    <cellStyle name="40 % - Markeringsfarve2 2 7 2 3 3" xfId="15707"/>
    <cellStyle name="40 % - Markeringsfarve2 2 7 2 3 4" xfId="27065"/>
    <cellStyle name="40 % - Markeringsfarve2 2 7 2 4" xfId="6562"/>
    <cellStyle name="40 % - Markeringsfarve2 2 7 2 4 2" xfId="17370"/>
    <cellStyle name="40 % - Markeringsfarve2 2 7 2 4 3" xfId="28727"/>
    <cellStyle name="40 % - Markeringsfarve2 2 7 2 5" xfId="12385"/>
    <cellStyle name="40 % - Markeringsfarve2 2 7 2 6" xfId="23743"/>
    <cellStyle name="40 % - Markeringsfarve2 2 7 3" xfId="2405"/>
    <cellStyle name="40 % - Markeringsfarve2 2 7 3 2" xfId="7393"/>
    <cellStyle name="40 % - Markeringsfarve2 2 7 3 2 2" xfId="18200"/>
    <cellStyle name="40 % - Markeringsfarve2 2 7 3 2 3" xfId="29557"/>
    <cellStyle name="40 % - Markeringsfarve2 2 7 3 3" xfId="13215"/>
    <cellStyle name="40 % - Markeringsfarve2 2 7 3 4" xfId="24573"/>
    <cellStyle name="40 % - Markeringsfarve2 2 7 4" xfId="4069"/>
    <cellStyle name="40 % - Markeringsfarve2 2 7 4 2" xfId="9054"/>
    <cellStyle name="40 % - Markeringsfarve2 2 7 4 2 2" xfId="19861"/>
    <cellStyle name="40 % - Markeringsfarve2 2 7 4 2 3" xfId="31218"/>
    <cellStyle name="40 % - Markeringsfarve2 2 7 4 3" xfId="14876"/>
    <cellStyle name="40 % - Markeringsfarve2 2 7 4 4" xfId="26234"/>
    <cellStyle name="40 % - Markeringsfarve2 2 7 5" xfId="5731"/>
    <cellStyle name="40 % - Markeringsfarve2 2 7 5 2" xfId="16539"/>
    <cellStyle name="40 % - Markeringsfarve2 2 7 5 3" xfId="27896"/>
    <cellStyle name="40 % - Markeringsfarve2 2 7 6" xfId="10718"/>
    <cellStyle name="40 % - Markeringsfarve2 2 7 6 2" xfId="21525"/>
    <cellStyle name="40 % - Markeringsfarve2 2 7 6 3" xfId="32882"/>
    <cellStyle name="40 % - Markeringsfarve2 2 7 7" xfId="11553"/>
    <cellStyle name="40 % - Markeringsfarve2 2 7 8" xfId="22912"/>
    <cellStyle name="40 % - Markeringsfarve2 2 8" xfId="1018"/>
    <cellStyle name="40 % - Markeringsfarve2 2 8 2" xfId="2683"/>
    <cellStyle name="40 % - Markeringsfarve2 2 8 2 2" xfId="7671"/>
    <cellStyle name="40 % - Markeringsfarve2 2 8 2 2 2" xfId="18478"/>
    <cellStyle name="40 % - Markeringsfarve2 2 8 2 2 3" xfId="29835"/>
    <cellStyle name="40 % - Markeringsfarve2 2 8 2 3" xfId="13493"/>
    <cellStyle name="40 % - Markeringsfarve2 2 8 2 4" xfId="24851"/>
    <cellStyle name="40 % - Markeringsfarve2 2 8 3" xfId="4347"/>
    <cellStyle name="40 % - Markeringsfarve2 2 8 3 2" xfId="9332"/>
    <cellStyle name="40 % - Markeringsfarve2 2 8 3 2 2" xfId="20139"/>
    <cellStyle name="40 % - Markeringsfarve2 2 8 3 2 3" xfId="31496"/>
    <cellStyle name="40 % - Markeringsfarve2 2 8 3 3" xfId="15154"/>
    <cellStyle name="40 % - Markeringsfarve2 2 8 3 4" xfId="26512"/>
    <cellStyle name="40 % - Markeringsfarve2 2 8 4" xfId="6009"/>
    <cellStyle name="40 % - Markeringsfarve2 2 8 4 2" xfId="16817"/>
    <cellStyle name="40 % - Markeringsfarve2 2 8 4 3" xfId="28174"/>
    <cellStyle name="40 % - Markeringsfarve2 2 8 5" xfId="11832"/>
    <cellStyle name="40 % - Markeringsfarve2 2 8 6" xfId="23190"/>
    <cellStyle name="40 % - Markeringsfarve2 2 9" xfId="1854"/>
    <cellStyle name="40 % - Markeringsfarve2 2 9 2" xfId="6842"/>
    <cellStyle name="40 % - Markeringsfarve2 2 9 2 2" xfId="17650"/>
    <cellStyle name="40 % - Markeringsfarve2 2 9 2 3" xfId="29007"/>
    <cellStyle name="40 % - Markeringsfarve2 2 9 3" xfId="12665"/>
    <cellStyle name="40 % - Markeringsfarve2 2 9 4" xfId="24023"/>
    <cellStyle name="40 % - Markeringsfarve2 20" xfId="33688"/>
    <cellStyle name="40 % - Markeringsfarve2 3" xfId="100"/>
    <cellStyle name="40 % - Markeringsfarve2 3 10" xfId="3538"/>
    <cellStyle name="40 % - Markeringsfarve2 3 10 2" xfId="8523"/>
    <cellStyle name="40 % - Markeringsfarve2 3 10 2 2" xfId="19330"/>
    <cellStyle name="40 % - Markeringsfarve2 3 10 2 3" xfId="30687"/>
    <cellStyle name="40 % - Markeringsfarve2 3 10 3" xfId="14345"/>
    <cellStyle name="40 % - Markeringsfarve2 3 10 4" xfId="25703"/>
    <cellStyle name="40 % - Markeringsfarve2 3 11" xfId="5199"/>
    <cellStyle name="40 % - Markeringsfarve2 3 11 2" xfId="16008"/>
    <cellStyle name="40 % - Markeringsfarve2 3 11 3" xfId="27365"/>
    <cellStyle name="40 % - Markeringsfarve2 3 12" xfId="10183"/>
    <cellStyle name="40 % - Markeringsfarve2 3 12 2" xfId="20990"/>
    <cellStyle name="40 % - Markeringsfarve2 3 12 3" xfId="32347"/>
    <cellStyle name="40 % - Markeringsfarve2 3 13" xfId="11017"/>
    <cellStyle name="40 % - Markeringsfarve2 3 14" xfId="21824"/>
    <cellStyle name="40 % - Markeringsfarve2 3 15" xfId="22377"/>
    <cellStyle name="40 % - Markeringsfarve2 3 16" xfId="33180"/>
    <cellStyle name="40 % - Markeringsfarve2 3 17" xfId="33454"/>
    <cellStyle name="40 % - Markeringsfarve2 3 18" xfId="33725"/>
    <cellStyle name="40 % - Markeringsfarve2 3 2" xfId="220"/>
    <cellStyle name="40 % - Markeringsfarve2 3 2 10" xfId="21878"/>
    <cellStyle name="40 % - Markeringsfarve2 3 2 11" xfId="22431"/>
    <cellStyle name="40 % - Markeringsfarve2 3 2 12" xfId="33234"/>
    <cellStyle name="40 % - Markeringsfarve2 3 2 13" xfId="33509"/>
    <cellStyle name="40 % - Markeringsfarve2 3 2 14" xfId="33780"/>
    <cellStyle name="40 % - Markeringsfarve2 3 2 2" xfId="538"/>
    <cellStyle name="40 % - Markeringsfarve2 3 2 2 2" xfId="1370"/>
    <cellStyle name="40 % - Markeringsfarve2 3 2 2 2 2" xfId="3035"/>
    <cellStyle name="40 % - Markeringsfarve2 3 2 2 2 2 2" xfId="8023"/>
    <cellStyle name="40 % - Markeringsfarve2 3 2 2 2 2 2 2" xfId="18830"/>
    <cellStyle name="40 % - Markeringsfarve2 3 2 2 2 2 2 3" xfId="30187"/>
    <cellStyle name="40 % - Markeringsfarve2 3 2 2 2 2 3" xfId="13845"/>
    <cellStyle name="40 % - Markeringsfarve2 3 2 2 2 2 4" xfId="25203"/>
    <cellStyle name="40 % - Markeringsfarve2 3 2 2 2 3" xfId="4699"/>
    <cellStyle name="40 % - Markeringsfarve2 3 2 2 2 3 2" xfId="9684"/>
    <cellStyle name="40 % - Markeringsfarve2 3 2 2 2 3 2 2" xfId="20491"/>
    <cellStyle name="40 % - Markeringsfarve2 3 2 2 2 3 2 3" xfId="31848"/>
    <cellStyle name="40 % - Markeringsfarve2 3 2 2 2 3 3" xfId="15506"/>
    <cellStyle name="40 % - Markeringsfarve2 3 2 2 2 3 4" xfId="26864"/>
    <cellStyle name="40 % - Markeringsfarve2 3 2 2 2 4" xfId="6361"/>
    <cellStyle name="40 % - Markeringsfarve2 3 2 2 2 4 2" xfId="17169"/>
    <cellStyle name="40 % - Markeringsfarve2 3 2 2 2 4 3" xfId="28526"/>
    <cellStyle name="40 % - Markeringsfarve2 3 2 2 2 5" xfId="12184"/>
    <cellStyle name="40 % - Markeringsfarve2 3 2 2 2 6" xfId="23542"/>
    <cellStyle name="40 % - Markeringsfarve2 3 2 2 3" xfId="2204"/>
    <cellStyle name="40 % - Markeringsfarve2 3 2 2 3 2" xfId="7192"/>
    <cellStyle name="40 % - Markeringsfarve2 3 2 2 3 2 2" xfId="17999"/>
    <cellStyle name="40 % - Markeringsfarve2 3 2 2 3 2 3" xfId="29356"/>
    <cellStyle name="40 % - Markeringsfarve2 3 2 2 3 3" xfId="13014"/>
    <cellStyle name="40 % - Markeringsfarve2 3 2 2 3 4" xfId="24372"/>
    <cellStyle name="40 % - Markeringsfarve2 3 2 2 4" xfId="3868"/>
    <cellStyle name="40 % - Markeringsfarve2 3 2 2 4 2" xfId="8853"/>
    <cellStyle name="40 % - Markeringsfarve2 3 2 2 4 2 2" xfId="19660"/>
    <cellStyle name="40 % - Markeringsfarve2 3 2 2 4 2 3" xfId="31017"/>
    <cellStyle name="40 % - Markeringsfarve2 3 2 2 4 3" xfId="14675"/>
    <cellStyle name="40 % - Markeringsfarve2 3 2 2 4 4" xfId="26033"/>
    <cellStyle name="40 % - Markeringsfarve2 3 2 2 5" xfId="5530"/>
    <cellStyle name="40 % - Markeringsfarve2 3 2 2 5 2" xfId="16338"/>
    <cellStyle name="40 % - Markeringsfarve2 3 2 2 5 3" xfId="27695"/>
    <cellStyle name="40 % - Markeringsfarve2 3 2 2 6" xfId="10517"/>
    <cellStyle name="40 % - Markeringsfarve2 3 2 2 6 2" xfId="21324"/>
    <cellStyle name="40 % - Markeringsfarve2 3 2 2 6 3" xfId="32681"/>
    <cellStyle name="40 % - Markeringsfarve2 3 2 2 7" xfId="11351"/>
    <cellStyle name="40 % - Markeringsfarve2 3 2 2 8" xfId="22157"/>
    <cellStyle name="40 % - Markeringsfarve2 3 2 2 9" xfId="22711"/>
    <cellStyle name="40 % - Markeringsfarve2 3 2 3" xfId="812"/>
    <cellStyle name="40 % - Markeringsfarve2 3 2 3 2" xfId="1644"/>
    <cellStyle name="40 % - Markeringsfarve2 3 2 3 2 2" xfId="3309"/>
    <cellStyle name="40 % - Markeringsfarve2 3 2 3 2 2 2" xfId="8297"/>
    <cellStyle name="40 % - Markeringsfarve2 3 2 3 2 2 2 2" xfId="19104"/>
    <cellStyle name="40 % - Markeringsfarve2 3 2 3 2 2 2 3" xfId="30461"/>
    <cellStyle name="40 % - Markeringsfarve2 3 2 3 2 2 3" xfId="14119"/>
    <cellStyle name="40 % - Markeringsfarve2 3 2 3 2 2 4" xfId="25477"/>
    <cellStyle name="40 % - Markeringsfarve2 3 2 3 2 3" xfId="4973"/>
    <cellStyle name="40 % - Markeringsfarve2 3 2 3 2 3 2" xfId="9958"/>
    <cellStyle name="40 % - Markeringsfarve2 3 2 3 2 3 2 2" xfId="20765"/>
    <cellStyle name="40 % - Markeringsfarve2 3 2 3 2 3 2 3" xfId="32122"/>
    <cellStyle name="40 % - Markeringsfarve2 3 2 3 2 3 3" xfId="15780"/>
    <cellStyle name="40 % - Markeringsfarve2 3 2 3 2 3 4" xfId="27138"/>
    <cellStyle name="40 % - Markeringsfarve2 3 2 3 2 4" xfId="6635"/>
    <cellStyle name="40 % - Markeringsfarve2 3 2 3 2 4 2" xfId="17443"/>
    <cellStyle name="40 % - Markeringsfarve2 3 2 3 2 4 3" xfId="28800"/>
    <cellStyle name="40 % - Markeringsfarve2 3 2 3 2 5" xfId="12458"/>
    <cellStyle name="40 % - Markeringsfarve2 3 2 3 2 6" xfId="23816"/>
    <cellStyle name="40 % - Markeringsfarve2 3 2 3 3" xfId="2478"/>
    <cellStyle name="40 % - Markeringsfarve2 3 2 3 3 2" xfId="7466"/>
    <cellStyle name="40 % - Markeringsfarve2 3 2 3 3 2 2" xfId="18273"/>
    <cellStyle name="40 % - Markeringsfarve2 3 2 3 3 2 3" xfId="29630"/>
    <cellStyle name="40 % - Markeringsfarve2 3 2 3 3 3" xfId="13288"/>
    <cellStyle name="40 % - Markeringsfarve2 3 2 3 3 4" xfId="24646"/>
    <cellStyle name="40 % - Markeringsfarve2 3 2 3 4" xfId="4142"/>
    <cellStyle name="40 % - Markeringsfarve2 3 2 3 4 2" xfId="9127"/>
    <cellStyle name="40 % - Markeringsfarve2 3 2 3 4 2 2" xfId="19934"/>
    <cellStyle name="40 % - Markeringsfarve2 3 2 3 4 2 3" xfId="31291"/>
    <cellStyle name="40 % - Markeringsfarve2 3 2 3 4 3" xfId="14949"/>
    <cellStyle name="40 % - Markeringsfarve2 3 2 3 4 4" xfId="26307"/>
    <cellStyle name="40 % - Markeringsfarve2 3 2 3 5" xfId="5804"/>
    <cellStyle name="40 % - Markeringsfarve2 3 2 3 5 2" xfId="16612"/>
    <cellStyle name="40 % - Markeringsfarve2 3 2 3 5 3" xfId="27969"/>
    <cellStyle name="40 % - Markeringsfarve2 3 2 3 6" xfId="10791"/>
    <cellStyle name="40 % - Markeringsfarve2 3 2 3 6 2" xfId="21598"/>
    <cellStyle name="40 % - Markeringsfarve2 3 2 3 6 3" xfId="32955"/>
    <cellStyle name="40 % - Markeringsfarve2 3 2 3 7" xfId="11626"/>
    <cellStyle name="40 % - Markeringsfarve2 3 2 3 8" xfId="22985"/>
    <cellStyle name="40 % - Markeringsfarve2 3 2 4" xfId="1091"/>
    <cellStyle name="40 % - Markeringsfarve2 3 2 4 2" xfId="2756"/>
    <cellStyle name="40 % - Markeringsfarve2 3 2 4 2 2" xfId="7744"/>
    <cellStyle name="40 % - Markeringsfarve2 3 2 4 2 2 2" xfId="18551"/>
    <cellStyle name="40 % - Markeringsfarve2 3 2 4 2 2 3" xfId="29908"/>
    <cellStyle name="40 % - Markeringsfarve2 3 2 4 2 3" xfId="13566"/>
    <cellStyle name="40 % - Markeringsfarve2 3 2 4 2 4" xfId="24924"/>
    <cellStyle name="40 % - Markeringsfarve2 3 2 4 3" xfId="4420"/>
    <cellStyle name="40 % - Markeringsfarve2 3 2 4 3 2" xfId="9405"/>
    <cellStyle name="40 % - Markeringsfarve2 3 2 4 3 2 2" xfId="20212"/>
    <cellStyle name="40 % - Markeringsfarve2 3 2 4 3 2 3" xfId="31569"/>
    <cellStyle name="40 % - Markeringsfarve2 3 2 4 3 3" xfId="15227"/>
    <cellStyle name="40 % - Markeringsfarve2 3 2 4 3 4" xfId="26585"/>
    <cellStyle name="40 % - Markeringsfarve2 3 2 4 4" xfId="6082"/>
    <cellStyle name="40 % - Markeringsfarve2 3 2 4 4 2" xfId="16890"/>
    <cellStyle name="40 % - Markeringsfarve2 3 2 4 4 3" xfId="28247"/>
    <cellStyle name="40 % - Markeringsfarve2 3 2 4 5" xfId="11905"/>
    <cellStyle name="40 % - Markeringsfarve2 3 2 4 6" xfId="23263"/>
    <cellStyle name="40 % - Markeringsfarve2 3 2 5" xfId="1926"/>
    <cellStyle name="40 % - Markeringsfarve2 3 2 5 2" xfId="6914"/>
    <cellStyle name="40 % - Markeringsfarve2 3 2 5 2 2" xfId="17722"/>
    <cellStyle name="40 % - Markeringsfarve2 3 2 5 2 3" xfId="29079"/>
    <cellStyle name="40 % - Markeringsfarve2 3 2 5 3" xfId="12737"/>
    <cellStyle name="40 % - Markeringsfarve2 3 2 5 4" xfId="24095"/>
    <cellStyle name="40 % - Markeringsfarve2 3 2 6" xfId="3591"/>
    <cellStyle name="40 % - Markeringsfarve2 3 2 6 2" xfId="8576"/>
    <cellStyle name="40 % - Markeringsfarve2 3 2 6 2 2" xfId="19383"/>
    <cellStyle name="40 % - Markeringsfarve2 3 2 6 2 3" xfId="30740"/>
    <cellStyle name="40 % - Markeringsfarve2 3 2 6 3" xfId="14398"/>
    <cellStyle name="40 % - Markeringsfarve2 3 2 6 4" xfId="25756"/>
    <cellStyle name="40 % - Markeringsfarve2 3 2 7" xfId="5252"/>
    <cellStyle name="40 % - Markeringsfarve2 3 2 7 2" xfId="16061"/>
    <cellStyle name="40 % - Markeringsfarve2 3 2 7 3" xfId="27418"/>
    <cellStyle name="40 % - Markeringsfarve2 3 2 8" xfId="10237"/>
    <cellStyle name="40 % - Markeringsfarve2 3 2 8 2" xfId="21044"/>
    <cellStyle name="40 % - Markeringsfarve2 3 2 8 3" xfId="32401"/>
    <cellStyle name="40 % - Markeringsfarve2 3 2 9" xfId="11071"/>
    <cellStyle name="40 % - Markeringsfarve2 3 3" xfId="275"/>
    <cellStyle name="40 % - Markeringsfarve2 3 3 10" xfId="21932"/>
    <cellStyle name="40 % - Markeringsfarve2 3 3 11" xfId="22485"/>
    <cellStyle name="40 % - Markeringsfarve2 3 3 12" xfId="33288"/>
    <cellStyle name="40 % - Markeringsfarve2 3 3 13" xfId="33563"/>
    <cellStyle name="40 % - Markeringsfarve2 3 3 14" xfId="33834"/>
    <cellStyle name="40 % - Markeringsfarve2 3 3 2" xfId="592"/>
    <cellStyle name="40 % - Markeringsfarve2 3 3 2 2" xfId="1424"/>
    <cellStyle name="40 % - Markeringsfarve2 3 3 2 2 2" xfId="3089"/>
    <cellStyle name="40 % - Markeringsfarve2 3 3 2 2 2 2" xfId="8077"/>
    <cellStyle name="40 % - Markeringsfarve2 3 3 2 2 2 2 2" xfId="18884"/>
    <cellStyle name="40 % - Markeringsfarve2 3 3 2 2 2 2 3" xfId="30241"/>
    <cellStyle name="40 % - Markeringsfarve2 3 3 2 2 2 3" xfId="13899"/>
    <cellStyle name="40 % - Markeringsfarve2 3 3 2 2 2 4" xfId="25257"/>
    <cellStyle name="40 % - Markeringsfarve2 3 3 2 2 3" xfId="4753"/>
    <cellStyle name="40 % - Markeringsfarve2 3 3 2 2 3 2" xfId="9738"/>
    <cellStyle name="40 % - Markeringsfarve2 3 3 2 2 3 2 2" xfId="20545"/>
    <cellStyle name="40 % - Markeringsfarve2 3 3 2 2 3 2 3" xfId="31902"/>
    <cellStyle name="40 % - Markeringsfarve2 3 3 2 2 3 3" xfId="15560"/>
    <cellStyle name="40 % - Markeringsfarve2 3 3 2 2 3 4" xfId="26918"/>
    <cellStyle name="40 % - Markeringsfarve2 3 3 2 2 4" xfId="6415"/>
    <cellStyle name="40 % - Markeringsfarve2 3 3 2 2 4 2" xfId="17223"/>
    <cellStyle name="40 % - Markeringsfarve2 3 3 2 2 4 3" xfId="28580"/>
    <cellStyle name="40 % - Markeringsfarve2 3 3 2 2 5" xfId="12238"/>
    <cellStyle name="40 % - Markeringsfarve2 3 3 2 2 6" xfId="23596"/>
    <cellStyle name="40 % - Markeringsfarve2 3 3 2 3" xfId="2258"/>
    <cellStyle name="40 % - Markeringsfarve2 3 3 2 3 2" xfId="7246"/>
    <cellStyle name="40 % - Markeringsfarve2 3 3 2 3 2 2" xfId="18053"/>
    <cellStyle name="40 % - Markeringsfarve2 3 3 2 3 2 3" xfId="29410"/>
    <cellStyle name="40 % - Markeringsfarve2 3 3 2 3 3" xfId="13068"/>
    <cellStyle name="40 % - Markeringsfarve2 3 3 2 3 4" xfId="24426"/>
    <cellStyle name="40 % - Markeringsfarve2 3 3 2 4" xfId="3922"/>
    <cellStyle name="40 % - Markeringsfarve2 3 3 2 4 2" xfId="8907"/>
    <cellStyle name="40 % - Markeringsfarve2 3 3 2 4 2 2" xfId="19714"/>
    <cellStyle name="40 % - Markeringsfarve2 3 3 2 4 2 3" xfId="31071"/>
    <cellStyle name="40 % - Markeringsfarve2 3 3 2 4 3" xfId="14729"/>
    <cellStyle name="40 % - Markeringsfarve2 3 3 2 4 4" xfId="26087"/>
    <cellStyle name="40 % - Markeringsfarve2 3 3 2 5" xfId="5584"/>
    <cellStyle name="40 % - Markeringsfarve2 3 3 2 5 2" xfId="16392"/>
    <cellStyle name="40 % - Markeringsfarve2 3 3 2 5 3" xfId="27749"/>
    <cellStyle name="40 % - Markeringsfarve2 3 3 2 6" xfId="10571"/>
    <cellStyle name="40 % - Markeringsfarve2 3 3 2 6 2" xfId="21378"/>
    <cellStyle name="40 % - Markeringsfarve2 3 3 2 6 3" xfId="32735"/>
    <cellStyle name="40 % - Markeringsfarve2 3 3 2 7" xfId="11405"/>
    <cellStyle name="40 % - Markeringsfarve2 3 3 2 8" xfId="22211"/>
    <cellStyle name="40 % - Markeringsfarve2 3 3 2 9" xfId="22765"/>
    <cellStyle name="40 % - Markeringsfarve2 3 3 3" xfId="866"/>
    <cellStyle name="40 % - Markeringsfarve2 3 3 3 2" xfId="1698"/>
    <cellStyle name="40 % - Markeringsfarve2 3 3 3 2 2" xfId="3363"/>
    <cellStyle name="40 % - Markeringsfarve2 3 3 3 2 2 2" xfId="8351"/>
    <cellStyle name="40 % - Markeringsfarve2 3 3 3 2 2 2 2" xfId="19158"/>
    <cellStyle name="40 % - Markeringsfarve2 3 3 3 2 2 2 3" xfId="30515"/>
    <cellStyle name="40 % - Markeringsfarve2 3 3 3 2 2 3" xfId="14173"/>
    <cellStyle name="40 % - Markeringsfarve2 3 3 3 2 2 4" xfId="25531"/>
    <cellStyle name="40 % - Markeringsfarve2 3 3 3 2 3" xfId="5027"/>
    <cellStyle name="40 % - Markeringsfarve2 3 3 3 2 3 2" xfId="10012"/>
    <cellStyle name="40 % - Markeringsfarve2 3 3 3 2 3 2 2" xfId="20819"/>
    <cellStyle name="40 % - Markeringsfarve2 3 3 3 2 3 2 3" xfId="32176"/>
    <cellStyle name="40 % - Markeringsfarve2 3 3 3 2 3 3" xfId="15834"/>
    <cellStyle name="40 % - Markeringsfarve2 3 3 3 2 3 4" xfId="27192"/>
    <cellStyle name="40 % - Markeringsfarve2 3 3 3 2 4" xfId="6689"/>
    <cellStyle name="40 % - Markeringsfarve2 3 3 3 2 4 2" xfId="17497"/>
    <cellStyle name="40 % - Markeringsfarve2 3 3 3 2 4 3" xfId="28854"/>
    <cellStyle name="40 % - Markeringsfarve2 3 3 3 2 5" xfId="12512"/>
    <cellStyle name="40 % - Markeringsfarve2 3 3 3 2 6" xfId="23870"/>
    <cellStyle name="40 % - Markeringsfarve2 3 3 3 3" xfId="2532"/>
    <cellStyle name="40 % - Markeringsfarve2 3 3 3 3 2" xfId="7520"/>
    <cellStyle name="40 % - Markeringsfarve2 3 3 3 3 2 2" xfId="18327"/>
    <cellStyle name="40 % - Markeringsfarve2 3 3 3 3 2 3" xfId="29684"/>
    <cellStyle name="40 % - Markeringsfarve2 3 3 3 3 3" xfId="13342"/>
    <cellStyle name="40 % - Markeringsfarve2 3 3 3 3 4" xfId="24700"/>
    <cellStyle name="40 % - Markeringsfarve2 3 3 3 4" xfId="4196"/>
    <cellStyle name="40 % - Markeringsfarve2 3 3 3 4 2" xfId="9181"/>
    <cellStyle name="40 % - Markeringsfarve2 3 3 3 4 2 2" xfId="19988"/>
    <cellStyle name="40 % - Markeringsfarve2 3 3 3 4 2 3" xfId="31345"/>
    <cellStyle name="40 % - Markeringsfarve2 3 3 3 4 3" xfId="15003"/>
    <cellStyle name="40 % - Markeringsfarve2 3 3 3 4 4" xfId="26361"/>
    <cellStyle name="40 % - Markeringsfarve2 3 3 3 5" xfId="5858"/>
    <cellStyle name="40 % - Markeringsfarve2 3 3 3 5 2" xfId="16666"/>
    <cellStyle name="40 % - Markeringsfarve2 3 3 3 5 3" xfId="28023"/>
    <cellStyle name="40 % - Markeringsfarve2 3 3 3 6" xfId="10845"/>
    <cellStyle name="40 % - Markeringsfarve2 3 3 3 6 2" xfId="21652"/>
    <cellStyle name="40 % - Markeringsfarve2 3 3 3 6 3" xfId="33009"/>
    <cellStyle name="40 % - Markeringsfarve2 3 3 3 7" xfId="11680"/>
    <cellStyle name="40 % - Markeringsfarve2 3 3 3 8" xfId="23039"/>
    <cellStyle name="40 % - Markeringsfarve2 3 3 4" xfId="1145"/>
    <cellStyle name="40 % - Markeringsfarve2 3 3 4 2" xfId="2810"/>
    <cellStyle name="40 % - Markeringsfarve2 3 3 4 2 2" xfId="7798"/>
    <cellStyle name="40 % - Markeringsfarve2 3 3 4 2 2 2" xfId="18605"/>
    <cellStyle name="40 % - Markeringsfarve2 3 3 4 2 2 3" xfId="29962"/>
    <cellStyle name="40 % - Markeringsfarve2 3 3 4 2 3" xfId="13620"/>
    <cellStyle name="40 % - Markeringsfarve2 3 3 4 2 4" xfId="24978"/>
    <cellStyle name="40 % - Markeringsfarve2 3 3 4 3" xfId="4474"/>
    <cellStyle name="40 % - Markeringsfarve2 3 3 4 3 2" xfId="9459"/>
    <cellStyle name="40 % - Markeringsfarve2 3 3 4 3 2 2" xfId="20266"/>
    <cellStyle name="40 % - Markeringsfarve2 3 3 4 3 2 3" xfId="31623"/>
    <cellStyle name="40 % - Markeringsfarve2 3 3 4 3 3" xfId="15281"/>
    <cellStyle name="40 % - Markeringsfarve2 3 3 4 3 4" xfId="26639"/>
    <cellStyle name="40 % - Markeringsfarve2 3 3 4 4" xfId="6136"/>
    <cellStyle name="40 % - Markeringsfarve2 3 3 4 4 2" xfId="16944"/>
    <cellStyle name="40 % - Markeringsfarve2 3 3 4 4 3" xfId="28301"/>
    <cellStyle name="40 % - Markeringsfarve2 3 3 4 5" xfId="11959"/>
    <cellStyle name="40 % - Markeringsfarve2 3 3 4 6" xfId="23317"/>
    <cellStyle name="40 % - Markeringsfarve2 3 3 5" xfId="1980"/>
    <cellStyle name="40 % - Markeringsfarve2 3 3 5 2" xfId="6968"/>
    <cellStyle name="40 % - Markeringsfarve2 3 3 5 2 2" xfId="17776"/>
    <cellStyle name="40 % - Markeringsfarve2 3 3 5 2 3" xfId="29133"/>
    <cellStyle name="40 % - Markeringsfarve2 3 3 5 3" xfId="12791"/>
    <cellStyle name="40 % - Markeringsfarve2 3 3 5 4" xfId="24149"/>
    <cellStyle name="40 % - Markeringsfarve2 3 3 6" xfId="3645"/>
    <cellStyle name="40 % - Markeringsfarve2 3 3 6 2" xfId="8630"/>
    <cellStyle name="40 % - Markeringsfarve2 3 3 6 2 2" xfId="19437"/>
    <cellStyle name="40 % - Markeringsfarve2 3 3 6 2 3" xfId="30794"/>
    <cellStyle name="40 % - Markeringsfarve2 3 3 6 3" xfId="14452"/>
    <cellStyle name="40 % - Markeringsfarve2 3 3 6 4" xfId="25810"/>
    <cellStyle name="40 % - Markeringsfarve2 3 3 7" xfId="5306"/>
    <cellStyle name="40 % - Markeringsfarve2 3 3 7 2" xfId="16115"/>
    <cellStyle name="40 % - Markeringsfarve2 3 3 7 3" xfId="27472"/>
    <cellStyle name="40 % - Markeringsfarve2 3 3 8" xfId="10291"/>
    <cellStyle name="40 % - Markeringsfarve2 3 3 8 2" xfId="21098"/>
    <cellStyle name="40 % - Markeringsfarve2 3 3 8 3" xfId="32455"/>
    <cellStyle name="40 % - Markeringsfarve2 3 3 9" xfId="11125"/>
    <cellStyle name="40 % - Markeringsfarve2 3 4" xfId="330"/>
    <cellStyle name="40 % - Markeringsfarve2 3 4 10" xfId="21987"/>
    <cellStyle name="40 % - Markeringsfarve2 3 4 11" xfId="22540"/>
    <cellStyle name="40 % - Markeringsfarve2 3 4 12" xfId="33343"/>
    <cellStyle name="40 % - Markeringsfarve2 3 4 13" xfId="33618"/>
    <cellStyle name="40 % - Markeringsfarve2 3 4 14" xfId="33889"/>
    <cellStyle name="40 % - Markeringsfarve2 3 4 2" xfId="647"/>
    <cellStyle name="40 % - Markeringsfarve2 3 4 2 2" xfId="1479"/>
    <cellStyle name="40 % - Markeringsfarve2 3 4 2 2 2" xfId="3144"/>
    <cellStyle name="40 % - Markeringsfarve2 3 4 2 2 2 2" xfId="8132"/>
    <cellStyle name="40 % - Markeringsfarve2 3 4 2 2 2 2 2" xfId="18939"/>
    <cellStyle name="40 % - Markeringsfarve2 3 4 2 2 2 2 3" xfId="30296"/>
    <cellStyle name="40 % - Markeringsfarve2 3 4 2 2 2 3" xfId="13954"/>
    <cellStyle name="40 % - Markeringsfarve2 3 4 2 2 2 4" xfId="25312"/>
    <cellStyle name="40 % - Markeringsfarve2 3 4 2 2 3" xfId="4808"/>
    <cellStyle name="40 % - Markeringsfarve2 3 4 2 2 3 2" xfId="9793"/>
    <cellStyle name="40 % - Markeringsfarve2 3 4 2 2 3 2 2" xfId="20600"/>
    <cellStyle name="40 % - Markeringsfarve2 3 4 2 2 3 2 3" xfId="31957"/>
    <cellStyle name="40 % - Markeringsfarve2 3 4 2 2 3 3" xfId="15615"/>
    <cellStyle name="40 % - Markeringsfarve2 3 4 2 2 3 4" xfId="26973"/>
    <cellStyle name="40 % - Markeringsfarve2 3 4 2 2 4" xfId="6470"/>
    <cellStyle name="40 % - Markeringsfarve2 3 4 2 2 4 2" xfId="17278"/>
    <cellStyle name="40 % - Markeringsfarve2 3 4 2 2 4 3" xfId="28635"/>
    <cellStyle name="40 % - Markeringsfarve2 3 4 2 2 5" xfId="12293"/>
    <cellStyle name="40 % - Markeringsfarve2 3 4 2 2 6" xfId="23651"/>
    <cellStyle name="40 % - Markeringsfarve2 3 4 2 3" xfId="2313"/>
    <cellStyle name="40 % - Markeringsfarve2 3 4 2 3 2" xfId="7301"/>
    <cellStyle name="40 % - Markeringsfarve2 3 4 2 3 2 2" xfId="18108"/>
    <cellStyle name="40 % - Markeringsfarve2 3 4 2 3 2 3" xfId="29465"/>
    <cellStyle name="40 % - Markeringsfarve2 3 4 2 3 3" xfId="13123"/>
    <cellStyle name="40 % - Markeringsfarve2 3 4 2 3 4" xfId="24481"/>
    <cellStyle name="40 % - Markeringsfarve2 3 4 2 4" xfId="3977"/>
    <cellStyle name="40 % - Markeringsfarve2 3 4 2 4 2" xfId="8962"/>
    <cellStyle name="40 % - Markeringsfarve2 3 4 2 4 2 2" xfId="19769"/>
    <cellStyle name="40 % - Markeringsfarve2 3 4 2 4 2 3" xfId="31126"/>
    <cellStyle name="40 % - Markeringsfarve2 3 4 2 4 3" xfId="14784"/>
    <cellStyle name="40 % - Markeringsfarve2 3 4 2 4 4" xfId="26142"/>
    <cellStyle name="40 % - Markeringsfarve2 3 4 2 5" xfId="5639"/>
    <cellStyle name="40 % - Markeringsfarve2 3 4 2 5 2" xfId="16447"/>
    <cellStyle name="40 % - Markeringsfarve2 3 4 2 5 3" xfId="27804"/>
    <cellStyle name="40 % - Markeringsfarve2 3 4 2 6" xfId="10626"/>
    <cellStyle name="40 % - Markeringsfarve2 3 4 2 6 2" xfId="21433"/>
    <cellStyle name="40 % - Markeringsfarve2 3 4 2 6 3" xfId="32790"/>
    <cellStyle name="40 % - Markeringsfarve2 3 4 2 7" xfId="11460"/>
    <cellStyle name="40 % - Markeringsfarve2 3 4 2 8" xfId="22266"/>
    <cellStyle name="40 % - Markeringsfarve2 3 4 2 9" xfId="22820"/>
    <cellStyle name="40 % - Markeringsfarve2 3 4 3" xfId="921"/>
    <cellStyle name="40 % - Markeringsfarve2 3 4 3 2" xfId="1753"/>
    <cellStyle name="40 % - Markeringsfarve2 3 4 3 2 2" xfId="3418"/>
    <cellStyle name="40 % - Markeringsfarve2 3 4 3 2 2 2" xfId="8406"/>
    <cellStyle name="40 % - Markeringsfarve2 3 4 3 2 2 2 2" xfId="19213"/>
    <cellStyle name="40 % - Markeringsfarve2 3 4 3 2 2 2 3" xfId="30570"/>
    <cellStyle name="40 % - Markeringsfarve2 3 4 3 2 2 3" xfId="14228"/>
    <cellStyle name="40 % - Markeringsfarve2 3 4 3 2 2 4" xfId="25586"/>
    <cellStyle name="40 % - Markeringsfarve2 3 4 3 2 3" xfId="5082"/>
    <cellStyle name="40 % - Markeringsfarve2 3 4 3 2 3 2" xfId="10067"/>
    <cellStyle name="40 % - Markeringsfarve2 3 4 3 2 3 2 2" xfId="20874"/>
    <cellStyle name="40 % - Markeringsfarve2 3 4 3 2 3 2 3" xfId="32231"/>
    <cellStyle name="40 % - Markeringsfarve2 3 4 3 2 3 3" xfId="15889"/>
    <cellStyle name="40 % - Markeringsfarve2 3 4 3 2 3 4" xfId="27247"/>
    <cellStyle name="40 % - Markeringsfarve2 3 4 3 2 4" xfId="6744"/>
    <cellStyle name="40 % - Markeringsfarve2 3 4 3 2 4 2" xfId="17552"/>
    <cellStyle name="40 % - Markeringsfarve2 3 4 3 2 4 3" xfId="28909"/>
    <cellStyle name="40 % - Markeringsfarve2 3 4 3 2 5" xfId="12567"/>
    <cellStyle name="40 % - Markeringsfarve2 3 4 3 2 6" xfId="23925"/>
    <cellStyle name="40 % - Markeringsfarve2 3 4 3 3" xfId="2587"/>
    <cellStyle name="40 % - Markeringsfarve2 3 4 3 3 2" xfId="7575"/>
    <cellStyle name="40 % - Markeringsfarve2 3 4 3 3 2 2" xfId="18382"/>
    <cellStyle name="40 % - Markeringsfarve2 3 4 3 3 2 3" xfId="29739"/>
    <cellStyle name="40 % - Markeringsfarve2 3 4 3 3 3" xfId="13397"/>
    <cellStyle name="40 % - Markeringsfarve2 3 4 3 3 4" xfId="24755"/>
    <cellStyle name="40 % - Markeringsfarve2 3 4 3 4" xfId="4251"/>
    <cellStyle name="40 % - Markeringsfarve2 3 4 3 4 2" xfId="9236"/>
    <cellStyle name="40 % - Markeringsfarve2 3 4 3 4 2 2" xfId="20043"/>
    <cellStyle name="40 % - Markeringsfarve2 3 4 3 4 2 3" xfId="31400"/>
    <cellStyle name="40 % - Markeringsfarve2 3 4 3 4 3" xfId="15058"/>
    <cellStyle name="40 % - Markeringsfarve2 3 4 3 4 4" xfId="26416"/>
    <cellStyle name="40 % - Markeringsfarve2 3 4 3 5" xfId="5913"/>
    <cellStyle name="40 % - Markeringsfarve2 3 4 3 5 2" xfId="16721"/>
    <cellStyle name="40 % - Markeringsfarve2 3 4 3 5 3" xfId="28078"/>
    <cellStyle name="40 % - Markeringsfarve2 3 4 3 6" xfId="10900"/>
    <cellStyle name="40 % - Markeringsfarve2 3 4 3 6 2" xfId="21707"/>
    <cellStyle name="40 % - Markeringsfarve2 3 4 3 6 3" xfId="33064"/>
    <cellStyle name="40 % - Markeringsfarve2 3 4 3 7" xfId="11735"/>
    <cellStyle name="40 % - Markeringsfarve2 3 4 3 8" xfId="23094"/>
    <cellStyle name="40 % - Markeringsfarve2 3 4 4" xfId="1200"/>
    <cellStyle name="40 % - Markeringsfarve2 3 4 4 2" xfId="2865"/>
    <cellStyle name="40 % - Markeringsfarve2 3 4 4 2 2" xfId="7853"/>
    <cellStyle name="40 % - Markeringsfarve2 3 4 4 2 2 2" xfId="18660"/>
    <cellStyle name="40 % - Markeringsfarve2 3 4 4 2 2 3" xfId="30017"/>
    <cellStyle name="40 % - Markeringsfarve2 3 4 4 2 3" xfId="13675"/>
    <cellStyle name="40 % - Markeringsfarve2 3 4 4 2 4" xfId="25033"/>
    <cellStyle name="40 % - Markeringsfarve2 3 4 4 3" xfId="4529"/>
    <cellStyle name="40 % - Markeringsfarve2 3 4 4 3 2" xfId="9514"/>
    <cellStyle name="40 % - Markeringsfarve2 3 4 4 3 2 2" xfId="20321"/>
    <cellStyle name="40 % - Markeringsfarve2 3 4 4 3 2 3" xfId="31678"/>
    <cellStyle name="40 % - Markeringsfarve2 3 4 4 3 3" xfId="15336"/>
    <cellStyle name="40 % - Markeringsfarve2 3 4 4 3 4" xfId="26694"/>
    <cellStyle name="40 % - Markeringsfarve2 3 4 4 4" xfId="6191"/>
    <cellStyle name="40 % - Markeringsfarve2 3 4 4 4 2" xfId="16999"/>
    <cellStyle name="40 % - Markeringsfarve2 3 4 4 4 3" xfId="28356"/>
    <cellStyle name="40 % - Markeringsfarve2 3 4 4 5" xfId="12014"/>
    <cellStyle name="40 % - Markeringsfarve2 3 4 4 6" xfId="23372"/>
    <cellStyle name="40 % - Markeringsfarve2 3 4 5" xfId="2035"/>
    <cellStyle name="40 % - Markeringsfarve2 3 4 5 2" xfId="7023"/>
    <cellStyle name="40 % - Markeringsfarve2 3 4 5 2 2" xfId="17831"/>
    <cellStyle name="40 % - Markeringsfarve2 3 4 5 2 3" xfId="29188"/>
    <cellStyle name="40 % - Markeringsfarve2 3 4 5 3" xfId="12846"/>
    <cellStyle name="40 % - Markeringsfarve2 3 4 5 4" xfId="24204"/>
    <cellStyle name="40 % - Markeringsfarve2 3 4 6" xfId="3700"/>
    <cellStyle name="40 % - Markeringsfarve2 3 4 6 2" xfId="8685"/>
    <cellStyle name="40 % - Markeringsfarve2 3 4 6 2 2" xfId="19492"/>
    <cellStyle name="40 % - Markeringsfarve2 3 4 6 2 3" xfId="30849"/>
    <cellStyle name="40 % - Markeringsfarve2 3 4 6 3" xfId="14507"/>
    <cellStyle name="40 % - Markeringsfarve2 3 4 6 4" xfId="25865"/>
    <cellStyle name="40 % - Markeringsfarve2 3 4 7" xfId="5361"/>
    <cellStyle name="40 % - Markeringsfarve2 3 4 7 2" xfId="16170"/>
    <cellStyle name="40 % - Markeringsfarve2 3 4 7 3" xfId="27527"/>
    <cellStyle name="40 % - Markeringsfarve2 3 4 8" xfId="10346"/>
    <cellStyle name="40 % - Markeringsfarve2 3 4 8 2" xfId="21153"/>
    <cellStyle name="40 % - Markeringsfarve2 3 4 8 3" xfId="32510"/>
    <cellStyle name="40 % - Markeringsfarve2 3 4 9" xfId="11180"/>
    <cellStyle name="40 % - Markeringsfarve2 3 5" xfId="386"/>
    <cellStyle name="40 % - Markeringsfarve2 3 5 10" xfId="22043"/>
    <cellStyle name="40 % - Markeringsfarve2 3 5 11" xfId="22596"/>
    <cellStyle name="40 % - Markeringsfarve2 3 5 12" xfId="33399"/>
    <cellStyle name="40 % - Markeringsfarve2 3 5 13" xfId="33674"/>
    <cellStyle name="40 % - Markeringsfarve2 3 5 14" xfId="33945"/>
    <cellStyle name="40 % - Markeringsfarve2 3 5 2" xfId="703"/>
    <cellStyle name="40 % - Markeringsfarve2 3 5 2 2" xfId="1535"/>
    <cellStyle name="40 % - Markeringsfarve2 3 5 2 2 2" xfId="3200"/>
    <cellStyle name="40 % - Markeringsfarve2 3 5 2 2 2 2" xfId="8188"/>
    <cellStyle name="40 % - Markeringsfarve2 3 5 2 2 2 2 2" xfId="18995"/>
    <cellStyle name="40 % - Markeringsfarve2 3 5 2 2 2 2 3" xfId="30352"/>
    <cellStyle name="40 % - Markeringsfarve2 3 5 2 2 2 3" xfId="14010"/>
    <cellStyle name="40 % - Markeringsfarve2 3 5 2 2 2 4" xfId="25368"/>
    <cellStyle name="40 % - Markeringsfarve2 3 5 2 2 3" xfId="4864"/>
    <cellStyle name="40 % - Markeringsfarve2 3 5 2 2 3 2" xfId="9849"/>
    <cellStyle name="40 % - Markeringsfarve2 3 5 2 2 3 2 2" xfId="20656"/>
    <cellStyle name="40 % - Markeringsfarve2 3 5 2 2 3 2 3" xfId="32013"/>
    <cellStyle name="40 % - Markeringsfarve2 3 5 2 2 3 3" xfId="15671"/>
    <cellStyle name="40 % - Markeringsfarve2 3 5 2 2 3 4" xfId="27029"/>
    <cellStyle name="40 % - Markeringsfarve2 3 5 2 2 4" xfId="6526"/>
    <cellStyle name="40 % - Markeringsfarve2 3 5 2 2 4 2" xfId="17334"/>
    <cellStyle name="40 % - Markeringsfarve2 3 5 2 2 4 3" xfId="28691"/>
    <cellStyle name="40 % - Markeringsfarve2 3 5 2 2 5" xfId="12349"/>
    <cellStyle name="40 % - Markeringsfarve2 3 5 2 2 6" xfId="23707"/>
    <cellStyle name="40 % - Markeringsfarve2 3 5 2 3" xfId="2369"/>
    <cellStyle name="40 % - Markeringsfarve2 3 5 2 3 2" xfId="7357"/>
    <cellStyle name="40 % - Markeringsfarve2 3 5 2 3 2 2" xfId="18164"/>
    <cellStyle name="40 % - Markeringsfarve2 3 5 2 3 2 3" xfId="29521"/>
    <cellStyle name="40 % - Markeringsfarve2 3 5 2 3 3" xfId="13179"/>
    <cellStyle name="40 % - Markeringsfarve2 3 5 2 3 4" xfId="24537"/>
    <cellStyle name="40 % - Markeringsfarve2 3 5 2 4" xfId="4033"/>
    <cellStyle name="40 % - Markeringsfarve2 3 5 2 4 2" xfId="9018"/>
    <cellStyle name="40 % - Markeringsfarve2 3 5 2 4 2 2" xfId="19825"/>
    <cellStyle name="40 % - Markeringsfarve2 3 5 2 4 2 3" xfId="31182"/>
    <cellStyle name="40 % - Markeringsfarve2 3 5 2 4 3" xfId="14840"/>
    <cellStyle name="40 % - Markeringsfarve2 3 5 2 4 4" xfId="26198"/>
    <cellStyle name="40 % - Markeringsfarve2 3 5 2 5" xfId="5695"/>
    <cellStyle name="40 % - Markeringsfarve2 3 5 2 5 2" xfId="16503"/>
    <cellStyle name="40 % - Markeringsfarve2 3 5 2 5 3" xfId="27860"/>
    <cellStyle name="40 % - Markeringsfarve2 3 5 2 6" xfId="10682"/>
    <cellStyle name="40 % - Markeringsfarve2 3 5 2 6 2" xfId="21489"/>
    <cellStyle name="40 % - Markeringsfarve2 3 5 2 6 3" xfId="32846"/>
    <cellStyle name="40 % - Markeringsfarve2 3 5 2 7" xfId="11516"/>
    <cellStyle name="40 % - Markeringsfarve2 3 5 2 8" xfId="22322"/>
    <cellStyle name="40 % - Markeringsfarve2 3 5 2 9" xfId="22876"/>
    <cellStyle name="40 % - Markeringsfarve2 3 5 3" xfId="977"/>
    <cellStyle name="40 % - Markeringsfarve2 3 5 3 2" xfId="1809"/>
    <cellStyle name="40 % - Markeringsfarve2 3 5 3 2 2" xfId="3474"/>
    <cellStyle name="40 % - Markeringsfarve2 3 5 3 2 2 2" xfId="8462"/>
    <cellStyle name="40 % - Markeringsfarve2 3 5 3 2 2 2 2" xfId="19269"/>
    <cellStyle name="40 % - Markeringsfarve2 3 5 3 2 2 2 3" xfId="30626"/>
    <cellStyle name="40 % - Markeringsfarve2 3 5 3 2 2 3" xfId="14284"/>
    <cellStyle name="40 % - Markeringsfarve2 3 5 3 2 2 4" xfId="25642"/>
    <cellStyle name="40 % - Markeringsfarve2 3 5 3 2 3" xfId="5138"/>
    <cellStyle name="40 % - Markeringsfarve2 3 5 3 2 3 2" xfId="10123"/>
    <cellStyle name="40 % - Markeringsfarve2 3 5 3 2 3 2 2" xfId="20930"/>
    <cellStyle name="40 % - Markeringsfarve2 3 5 3 2 3 2 3" xfId="32287"/>
    <cellStyle name="40 % - Markeringsfarve2 3 5 3 2 3 3" xfId="15945"/>
    <cellStyle name="40 % - Markeringsfarve2 3 5 3 2 3 4" xfId="27303"/>
    <cellStyle name="40 % - Markeringsfarve2 3 5 3 2 4" xfId="6800"/>
    <cellStyle name="40 % - Markeringsfarve2 3 5 3 2 4 2" xfId="17608"/>
    <cellStyle name="40 % - Markeringsfarve2 3 5 3 2 4 3" xfId="28965"/>
    <cellStyle name="40 % - Markeringsfarve2 3 5 3 2 5" xfId="12623"/>
    <cellStyle name="40 % - Markeringsfarve2 3 5 3 2 6" xfId="23981"/>
    <cellStyle name="40 % - Markeringsfarve2 3 5 3 3" xfId="2643"/>
    <cellStyle name="40 % - Markeringsfarve2 3 5 3 3 2" xfId="7631"/>
    <cellStyle name="40 % - Markeringsfarve2 3 5 3 3 2 2" xfId="18438"/>
    <cellStyle name="40 % - Markeringsfarve2 3 5 3 3 2 3" xfId="29795"/>
    <cellStyle name="40 % - Markeringsfarve2 3 5 3 3 3" xfId="13453"/>
    <cellStyle name="40 % - Markeringsfarve2 3 5 3 3 4" xfId="24811"/>
    <cellStyle name="40 % - Markeringsfarve2 3 5 3 4" xfId="4307"/>
    <cellStyle name="40 % - Markeringsfarve2 3 5 3 4 2" xfId="9292"/>
    <cellStyle name="40 % - Markeringsfarve2 3 5 3 4 2 2" xfId="20099"/>
    <cellStyle name="40 % - Markeringsfarve2 3 5 3 4 2 3" xfId="31456"/>
    <cellStyle name="40 % - Markeringsfarve2 3 5 3 4 3" xfId="15114"/>
    <cellStyle name="40 % - Markeringsfarve2 3 5 3 4 4" xfId="26472"/>
    <cellStyle name="40 % - Markeringsfarve2 3 5 3 5" xfId="5969"/>
    <cellStyle name="40 % - Markeringsfarve2 3 5 3 5 2" xfId="16777"/>
    <cellStyle name="40 % - Markeringsfarve2 3 5 3 5 3" xfId="28134"/>
    <cellStyle name="40 % - Markeringsfarve2 3 5 3 6" xfId="10956"/>
    <cellStyle name="40 % - Markeringsfarve2 3 5 3 6 2" xfId="21763"/>
    <cellStyle name="40 % - Markeringsfarve2 3 5 3 6 3" xfId="33120"/>
    <cellStyle name="40 % - Markeringsfarve2 3 5 3 7" xfId="11791"/>
    <cellStyle name="40 % - Markeringsfarve2 3 5 3 8" xfId="23150"/>
    <cellStyle name="40 % - Markeringsfarve2 3 5 4" xfId="1256"/>
    <cellStyle name="40 % - Markeringsfarve2 3 5 4 2" xfId="2921"/>
    <cellStyle name="40 % - Markeringsfarve2 3 5 4 2 2" xfId="7909"/>
    <cellStyle name="40 % - Markeringsfarve2 3 5 4 2 2 2" xfId="18716"/>
    <cellStyle name="40 % - Markeringsfarve2 3 5 4 2 2 3" xfId="30073"/>
    <cellStyle name="40 % - Markeringsfarve2 3 5 4 2 3" xfId="13731"/>
    <cellStyle name="40 % - Markeringsfarve2 3 5 4 2 4" xfId="25089"/>
    <cellStyle name="40 % - Markeringsfarve2 3 5 4 3" xfId="4585"/>
    <cellStyle name="40 % - Markeringsfarve2 3 5 4 3 2" xfId="9570"/>
    <cellStyle name="40 % - Markeringsfarve2 3 5 4 3 2 2" xfId="20377"/>
    <cellStyle name="40 % - Markeringsfarve2 3 5 4 3 2 3" xfId="31734"/>
    <cellStyle name="40 % - Markeringsfarve2 3 5 4 3 3" xfId="15392"/>
    <cellStyle name="40 % - Markeringsfarve2 3 5 4 3 4" xfId="26750"/>
    <cellStyle name="40 % - Markeringsfarve2 3 5 4 4" xfId="6247"/>
    <cellStyle name="40 % - Markeringsfarve2 3 5 4 4 2" xfId="17055"/>
    <cellStyle name="40 % - Markeringsfarve2 3 5 4 4 3" xfId="28412"/>
    <cellStyle name="40 % - Markeringsfarve2 3 5 4 5" xfId="12070"/>
    <cellStyle name="40 % - Markeringsfarve2 3 5 4 6" xfId="23428"/>
    <cellStyle name="40 % - Markeringsfarve2 3 5 5" xfId="2091"/>
    <cellStyle name="40 % - Markeringsfarve2 3 5 5 2" xfId="7079"/>
    <cellStyle name="40 % - Markeringsfarve2 3 5 5 2 2" xfId="17887"/>
    <cellStyle name="40 % - Markeringsfarve2 3 5 5 2 3" xfId="29244"/>
    <cellStyle name="40 % - Markeringsfarve2 3 5 5 3" xfId="12902"/>
    <cellStyle name="40 % - Markeringsfarve2 3 5 5 4" xfId="24260"/>
    <cellStyle name="40 % - Markeringsfarve2 3 5 6" xfId="3756"/>
    <cellStyle name="40 % - Markeringsfarve2 3 5 6 2" xfId="8741"/>
    <cellStyle name="40 % - Markeringsfarve2 3 5 6 2 2" xfId="19548"/>
    <cellStyle name="40 % - Markeringsfarve2 3 5 6 2 3" xfId="30905"/>
    <cellStyle name="40 % - Markeringsfarve2 3 5 6 3" xfId="14563"/>
    <cellStyle name="40 % - Markeringsfarve2 3 5 6 4" xfId="25921"/>
    <cellStyle name="40 % - Markeringsfarve2 3 5 7" xfId="5417"/>
    <cellStyle name="40 % - Markeringsfarve2 3 5 7 2" xfId="16226"/>
    <cellStyle name="40 % - Markeringsfarve2 3 5 7 3" xfId="27583"/>
    <cellStyle name="40 % - Markeringsfarve2 3 5 8" xfId="10402"/>
    <cellStyle name="40 % - Markeringsfarve2 3 5 8 2" xfId="21209"/>
    <cellStyle name="40 % - Markeringsfarve2 3 5 8 3" xfId="32566"/>
    <cellStyle name="40 % - Markeringsfarve2 3 5 9" xfId="11236"/>
    <cellStyle name="40 % - Markeringsfarve2 3 6" xfId="486"/>
    <cellStyle name="40 % - Markeringsfarve2 3 6 2" xfId="1316"/>
    <cellStyle name="40 % - Markeringsfarve2 3 6 2 2" xfId="2981"/>
    <cellStyle name="40 % - Markeringsfarve2 3 6 2 2 2" xfId="7969"/>
    <cellStyle name="40 % - Markeringsfarve2 3 6 2 2 2 2" xfId="18776"/>
    <cellStyle name="40 % - Markeringsfarve2 3 6 2 2 2 3" xfId="30133"/>
    <cellStyle name="40 % - Markeringsfarve2 3 6 2 2 3" xfId="13791"/>
    <cellStyle name="40 % - Markeringsfarve2 3 6 2 2 4" xfId="25149"/>
    <cellStyle name="40 % - Markeringsfarve2 3 6 2 3" xfId="4645"/>
    <cellStyle name="40 % - Markeringsfarve2 3 6 2 3 2" xfId="9630"/>
    <cellStyle name="40 % - Markeringsfarve2 3 6 2 3 2 2" xfId="20437"/>
    <cellStyle name="40 % - Markeringsfarve2 3 6 2 3 2 3" xfId="31794"/>
    <cellStyle name="40 % - Markeringsfarve2 3 6 2 3 3" xfId="15452"/>
    <cellStyle name="40 % - Markeringsfarve2 3 6 2 3 4" xfId="26810"/>
    <cellStyle name="40 % - Markeringsfarve2 3 6 2 4" xfId="6307"/>
    <cellStyle name="40 % - Markeringsfarve2 3 6 2 4 2" xfId="17115"/>
    <cellStyle name="40 % - Markeringsfarve2 3 6 2 4 3" xfId="28472"/>
    <cellStyle name="40 % - Markeringsfarve2 3 6 2 5" xfId="12130"/>
    <cellStyle name="40 % - Markeringsfarve2 3 6 2 6" xfId="23488"/>
    <cellStyle name="40 % - Markeringsfarve2 3 6 3" xfId="2152"/>
    <cellStyle name="40 % - Markeringsfarve2 3 6 3 2" xfId="7140"/>
    <cellStyle name="40 % - Markeringsfarve2 3 6 3 2 2" xfId="17947"/>
    <cellStyle name="40 % - Markeringsfarve2 3 6 3 2 3" xfId="29304"/>
    <cellStyle name="40 % - Markeringsfarve2 3 6 3 3" xfId="12962"/>
    <cellStyle name="40 % - Markeringsfarve2 3 6 3 4" xfId="24320"/>
    <cellStyle name="40 % - Markeringsfarve2 3 6 4" xfId="3816"/>
    <cellStyle name="40 % - Markeringsfarve2 3 6 4 2" xfId="8801"/>
    <cellStyle name="40 % - Markeringsfarve2 3 6 4 2 2" xfId="19608"/>
    <cellStyle name="40 % - Markeringsfarve2 3 6 4 2 3" xfId="30965"/>
    <cellStyle name="40 % - Markeringsfarve2 3 6 4 3" xfId="14623"/>
    <cellStyle name="40 % - Markeringsfarve2 3 6 4 4" xfId="25981"/>
    <cellStyle name="40 % - Markeringsfarve2 3 6 5" xfId="5478"/>
    <cellStyle name="40 % - Markeringsfarve2 3 6 5 2" xfId="16286"/>
    <cellStyle name="40 % - Markeringsfarve2 3 6 5 3" xfId="27643"/>
    <cellStyle name="40 % - Markeringsfarve2 3 6 6" xfId="10463"/>
    <cellStyle name="40 % - Markeringsfarve2 3 6 6 2" xfId="21270"/>
    <cellStyle name="40 % - Markeringsfarve2 3 6 6 3" xfId="32627"/>
    <cellStyle name="40 % - Markeringsfarve2 3 6 7" xfId="11297"/>
    <cellStyle name="40 % - Markeringsfarve2 3 6 8" xfId="22103"/>
    <cellStyle name="40 % - Markeringsfarve2 3 6 9" xfId="22657"/>
    <cellStyle name="40 % - Markeringsfarve2 3 7" xfId="758"/>
    <cellStyle name="40 % - Markeringsfarve2 3 7 2" xfId="1590"/>
    <cellStyle name="40 % - Markeringsfarve2 3 7 2 2" xfId="3255"/>
    <cellStyle name="40 % - Markeringsfarve2 3 7 2 2 2" xfId="8243"/>
    <cellStyle name="40 % - Markeringsfarve2 3 7 2 2 2 2" xfId="19050"/>
    <cellStyle name="40 % - Markeringsfarve2 3 7 2 2 2 3" xfId="30407"/>
    <cellStyle name="40 % - Markeringsfarve2 3 7 2 2 3" xfId="14065"/>
    <cellStyle name="40 % - Markeringsfarve2 3 7 2 2 4" xfId="25423"/>
    <cellStyle name="40 % - Markeringsfarve2 3 7 2 3" xfId="4919"/>
    <cellStyle name="40 % - Markeringsfarve2 3 7 2 3 2" xfId="9904"/>
    <cellStyle name="40 % - Markeringsfarve2 3 7 2 3 2 2" xfId="20711"/>
    <cellStyle name="40 % - Markeringsfarve2 3 7 2 3 2 3" xfId="32068"/>
    <cellStyle name="40 % - Markeringsfarve2 3 7 2 3 3" xfId="15726"/>
    <cellStyle name="40 % - Markeringsfarve2 3 7 2 3 4" xfId="27084"/>
    <cellStyle name="40 % - Markeringsfarve2 3 7 2 4" xfId="6581"/>
    <cellStyle name="40 % - Markeringsfarve2 3 7 2 4 2" xfId="17389"/>
    <cellStyle name="40 % - Markeringsfarve2 3 7 2 4 3" xfId="28746"/>
    <cellStyle name="40 % - Markeringsfarve2 3 7 2 5" xfId="12404"/>
    <cellStyle name="40 % - Markeringsfarve2 3 7 2 6" xfId="23762"/>
    <cellStyle name="40 % - Markeringsfarve2 3 7 3" xfId="2424"/>
    <cellStyle name="40 % - Markeringsfarve2 3 7 3 2" xfId="7412"/>
    <cellStyle name="40 % - Markeringsfarve2 3 7 3 2 2" xfId="18219"/>
    <cellStyle name="40 % - Markeringsfarve2 3 7 3 2 3" xfId="29576"/>
    <cellStyle name="40 % - Markeringsfarve2 3 7 3 3" xfId="13234"/>
    <cellStyle name="40 % - Markeringsfarve2 3 7 3 4" xfId="24592"/>
    <cellStyle name="40 % - Markeringsfarve2 3 7 4" xfId="4088"/>
    <cellStyle name="40 % - Markeringsfarve2 3 7 4 2" xfId="9073"/>
    <cellStyle name="40 % - Markeringsfarve2 3 7 4 2 2" xfId="19880"/>
    <cellStyle name="40 % - Markeringsfarve2 3 7 4 2 3" xfId="31237"/>
    <cellStyle name="40 % - Markeringsfarve2 3 7 4 3" xfId="14895"/>
    <cellStyle name="40 % - Markeringsfarve2 3 7 4 4" xfId="26253"/>
    <cellStyle name="40 % - Markeringsfarve2 3 7 5" xfId="5750"/>
    <cellStyle name="40 % - Markeringsfarve2 3 7 5 2" xfId="16558"/>
    <cellStyle name="40 % - Markeringsfarve2 3 7 5 3" xfId="27915"/>
    <cellStyle name="40 % - Markeringsfarve2 3 7 6" xfId="10737"/>
    <cellStyle name="40 % - Markeringsfarve2 3 7 6 2" xfId="21544"/>
    <cellStyle name="40 % - Markeringsfarve2 3 7 6 3" xfId="32901"/>
    <cellStyle name="40 % - Markeringsfarve2 3 7 7" xfId="11572"/>
    <cellStyle name="40 % - Markeringsfarve2 3 7 8" xfId="22931"/>
    <cellStyle name="40 % - Markeringsfarve2 3 8" xfId="1037"/>
    <cellStyle name="40 % - Markeringsfarve2 3 8 2" xfId="2702"/>
    <cellStyle name="40 % - Markeringsfarve2 3 8 2 2" xfId="7690"/>
    <cellStyle name="40 % - Markeringsfarve2 3 8 2 2 2" xfId="18497"/>
    <cellStyle name="40 % - Markeringsfarve2 3 8 2 2 3" xfId="29854"/>
    <cellStyle name="40 % - Markeringsfarve2 3 8 2 3" xfId="13512"/>
    <cellStyle name="40 % - Markeringsfarve2 3 8 2 4" xfId="24870"/>
    <cellStyle name="40 % - Markeringsfarve2 3 8 3" xfId="4366"/>
    <cellStyle name="40 % - Markeringsfarve2 3 8 3 2" xfId="9351"/>
    <cellStyle name="40 % - Markeringsfarve2 3 8 3 2 2" xfId="20158"/>
    <cellStyle name="40 % - Markeringsfarve2 3 8 3 2 3" xfId="31515"/>
    <cellStyle name="40 % - Markeringsfarve2 3 8 3 3" xfId="15173"/>
    <cellStyle name="40 % - Markeringsfarve2 3 8 3 4" xfId="26531"/>
    <cellStyle name="40 % - Markeringsfarve2 3 8 4" xfId="6028"/>
    <cellStyle name="40 % - Markeringsfarve2 3 8 4 2" xfId="16836"/>
    <cellStyle name="40 % - Markeringsfarve2 3 8 4 3" xfId="28193"/>
    <cellStyle name="40 % - Markeringsfarve2 3 8 5" xfId="11851"/>
    <cellStyle name="40 % - Markeringsfarve2 3 8 6" xfId="23209"/>
    <cellStyle name="40 % - Markeringsfarve2 3 9" xfId="1873"/>
    <cellStyle name="40 % - Markeringsfarve2 3 9 2" xfId="6861"/>
    <cellStyle name="40 % - Markeringsfarve2 3 9 2 2" xfId="17669"/>
    <cellStyle name="40 % - Markeringsfarve2 3 9 2 3" xfId="29026"/>
    <cellStyle name="40 % - Markeringsfarve2 3 9 3" xfId="12684"/>
    <cellStyle name="40 % - Markeringsfarve2 3 9 4" xfId="24042"/>
    <cellStyle name="40 % - Markeringsfarve2 4" xfId="180"/>
    <cellStyle name="40 % - Markeringsfarve2 4 10" xfId="21838"/>
    <cellStyle name="40 % - Markeringsfarve2 4 11" xfId="22391"/>
    <cellStyle name="40 % - Markeringsfarve2 4 12" xfId="33194"/>
    <cellStyle name="40 % - Markeringsfarve2 4 13" xfId="33467"/>
    <cellStyle name="40 % - Markeringsfarve2 4 14" xfId="33738"/>
    <cellStyle name="40 % - Markeringsfarve2 4 2" xfId="500"/>
    <cellStyle name="40 % - Markeringsfarve2 4 2 2" xfId="1330"/>
    <cellStyle name="40 % - Markeringsfarve2 4 2 2 2" xfId="2995"/>
    <cellStyle name="40 % - Markeringsfarve2 4 2 2 2 2" xfId="7983"/>
    <cellStyle name="40 % - Markeringsfarve2 4 2 2 2 2 2" xfId="18790"/>
    <cellStyle name="40 % - Markeringsfarve2 4 2 2 2 2 3" xfId="30147"/>
    <cellStyle name="40 % - Markeringsfarve2 4 2 2 2 3" xfId="13805"/>
    <cellStyle name="40 % - Markeringsfarve2 4 2 2 2 4" xfId="25163"/>
    <cellStyle name="40 % - Markeringsfarve2 4 2 2 3" xfId="4659"/>
    <cellStyle name="40 % - Markeringsfarve2 4 2 2 3 2" xfId="9644"/>
    <cellStyle name="40 % - Markeringsfarve2 4 2 2 3 2 2" xfId="20451"/>
    <cellStyle name="40 % - Markeringsfarve2 4 2 2 3 2 3" xfId="31808"/>
    <cellStyle name="40 % - Markeringsfarve2 4 2 2 3 3" xfId="15466"/>
    <cellStyle name="40 % - Markeringsfarve2 4 2 2 3 4" xfId="26824"/>
    <cellStyle name="40 % - Markeringsfarve2 4 2 2 4" xfId="6321"/>
    <cellStyle name="40 % - Markeringsfarve2 4 2 2 4 2" xfId="17129"/>
    <cellStyle name="40 % - Markeringsfarve2 4 2 2 4 3" xfId="28486"/>
    <cellStyle name="40 % - Markeringsfarve2 4 2 2 5" xfId="12144"/>
    <cellStyle name="40 % - Markeringsfarve2 4 2 2 6" xfId="23502"/>
    <cellStyle name="40 % - Markeringsfarve2 4 2 3" xfId="2166"/>
    <cellStyle name="40 % - Markeringsfarve2 4 2 3 2" xfId="7154"/>
    <cellStyle name="40 % - Markeringsfarve2 4 2 3 2 2" xfId="17961"/>
    <cellStyle name="40 % - Markeringsfarve2 4 2 3 2 3" xfId="29318"/>
    <cellStyle name="40 % - Markeringsfarve2 4 2 3 3" xfId="12976"/>
    <cellStyle name="40 % - Markeringsfarve2 4 2 3 4" xfId="24334"/>
    <cellStyle name="40 % - Markeringsfarve2 4 2 4" xfId="3830"/>
    <cellStyle name="40 % - Markeringsfarve2 4 2 4 2" xfId="8815"/>
    <cellStyle name="40 % - Markeringsfarve2 4 2 4 2 2" xfId="19622"/>
    <cellStyle name="40 % - Markeringsfarve2 4 2 4 2 3" xfId="30979"/>
    <cellStyle name="40 % - Markeringsfarve2 4 2 4 3" xfId="14637"/>
    <cellStyle name="40 % - Markeringsfarve2 4 2 4 4" xfId="25995"/>
    <cellStyle name="40 % - Markeringsfarve2 4 2 5" xfId="5492"/>
    <cellStyle name="40 % - Markeringsfarve2 4 2 5 2" xfId="16300"/>
    <cellStyle name="40 % - Markeringsfarve2 4 2 5 3" xfId="27657"/>
    <cellStyle name="40 % - Markeringsfarve2 4 2 6" xfId="10477"/>
    <cellStyle name="40 % - Markeringsfarve2 4 2 6 2" xfId="21284"/>
    <cellStyle name="40 % - Markeringsfarve2 4 2 6 3" xfId="32641"/>
    <cellStyle name="40 % - Markeringsfarve2 4 2 7" xfId="11311"/>
    <cellStyle name="40 % - Markeringsfarve2 4 2 8" xfId="22117"/>
    <cellStyle name="40 % - Markeringsfarve2 4 2 9" xfId="22671"/>
    <cellStyle name="40 % - Markeringsfarve2 4 3" xfId="772"/>
    <cellStyle name="40 % - Markeringsfarve2 4 3 2" xfId="1604"/>
    <cellStyle name="40 % - Markeringsfarve2 4 3 2 2" xfId="3269"/>
    <cellStyle name="40 % - Markeringsfarve2 4 3 2 2 2" xfId="8257"/>
    <cellStyle name="40 % - Markeringsfarve2 4 3 2 2 2 2" xfId="19064"/>
    <cellStyle name="40 % - Markeringsfarve2 4 3 2 2 2 3" xfId="30421"/>
    <cellStyle name="40 % - Markeringsfarve2 4 3 2 2 3" xfId="14079"/>
    <cellStyle name="40 % - Markeringsfarve2 4 3 2 2 4" xfId="25437"/>
    <cellStyle name="40 % - Markeringsfarve2 4 3 2 3" xfId="4933"/>
    <cellStyle name="40 % - Markeringsfarve2 4 3 2 3 2" xfId="9918"/>
    <cellStyle name="40 % - Markeringsfarve2 4 3 2 3 2 2" xfId="20725"/>
    <cellStyle name="40 % - Markeringsfarve2 4 3 2 3 2 3" xfId="32082"/>
    <cellStyle name="40 % - Markeringsfarve2 4 3 2 3 3" xfId="15740"/>
    <cellStyle name="40 % - Markeringsfarve2 4 3 2 3 4" xfId="27098"/>
    <cellStyle name="40 % - Markeringsfarve2 4 3 2 4" xfId="6595"/>
    <cellStyle name="40 % - Markeringsfarve2 4 3 2 4 2" xfId="17403"/>
    <cellStyle name="40 % - Markeringsfarve2 4 3 2 4 3" xfId="28760"/>
    <cellStyle name="40 % - Markeringsfarve2 4 3 2 5" xfId="12418"/>
    <cellStyle name="40 % - Markeringsfarve2 4 3 2 6" xfId="23776"/>
    <cellStyle name="40 % - Markeringsfarve2 4 3 3" xfId="2438"/>
    <cellStyle name="40 % - Markeringsfarve2 4 3 3 2" xfId="7426"/>
    <cellStyle name="40 % - Markeringsfarve2 4 3 3 2 2" xfId="18233"/>
    <cellStyle name="40 % - Markeringsfarve2 4 3 3 2 3" xfId="29590"/>
    <cellStyle name="40 % - Markeringsfarve2 4 3 3 3" xfId="13248"/>
    <cellStyle name="40 % - Markeringsfarve2 4 3 3 4" xfId="24606"/>
    <cellStyle name="40 % - Markeringsfarve2 4 3 4" xfId="4102"/>
    <cellStyle name="40 % - Markeringsfarve2 4 3 4 2" xfId="9087"/>
    <cellStyle name="40 % - Markeringsfarve2 4 3 4 2 2" xfId="19894"/>
    <cellStyle name="40 % - Markeringsfarve2 4 3 4 2 3" xfId="31251"/>
    <cellStyle name="40 % - Markeringsfarve2 4 3 4 3" xfId="14909"/>
    <cellStyle name="40 % - Markeringsfarve2 4 3 4 4" xfId="26267"/>
    <cellStyle name="40 % - Markeringsfarve2 4 3 5" xfId="5764"/>
    <cellStyle name="40 % - Markeringsfarve2 4 3 5 2" xfId="16572"/>
    <cellStyle name="40 % - Markeringsfarve2 4 3 5 3" xfId="27929"/>
    <cellStyle name="40 % - Markeringsfarve2 4 3 6" xfId="10751"/>
    <cellStyle name="40 % - Markeringsfarve2 4 3 6 2" xfId="21558"/>
    <cellStyle name="40 % - Markeringsfarve2 4 3 6 3" xfId="32915"/>
    <cellStyle name="40 % - Markeringsfarve2 4 3 7" xfId="11586"/>
    <cellStyle name="40 % - Markeringsfarve2 4 3 8" xfId="22945"/>
    <cellStyle name="40 % - Markeringsfarve2 4 4" xfId="1051"/>
    <cellStyle name="40 % - Markeringsfarve2 4 4 2" xfId="2716"/>
    <cellStyle name="40 % - Markeringsfarve2 4 4 2 2" xfId="7704"/>
    <cellStyle name="40 % - Markeringsfarve2 4 4 2 2 2" xfId="18511"/>
    <cellStyle name="40 % - Markeringsfarve2 4 4 2 2 3" xfId="29868"/>
    <cellStyle name="40 % - Markeringsfarve2 4 4 2 3" xfId="13526"/>
    <cellStyle name="40 % - Markeringsfarve2 4 4 2 4" xfId="24884"/>
    <cellStyle name="40 % - Markeringsfarve2 4 4 3" xfId="4380"/>
    <cellStyle name="40 % - Markeringsfarve2 4 4 3 2" xfId="9365"/>
    <cellStyle name="40 % - Markeringsfarve2 4 4 3 2 2" xfId="20172"/>
    <cellStyle name="40 % - Markeringsfarve2 4 4 3 2 3" xfId="31529"/>
    <cellStyle name="40 % - Markeringsfarve2 4 4 3 3" xfId="15187"/>
    <cellStyle name="40 % - Markeringsfarve2 4 4 3 4" xfId="26545"/>
    <cellStyle name="40 % - Markeringsfarve2 4 4 4" xfId="6042"/>
    <cellStyle name="40 % - Markeringsfarve2 4 4 4 2" xfId="16850"/>
    <cellStyle name="40 % - Markeringsfarve2 4 4 4 3" xfId="28207"/>
    <cellStyle name="40 % - Markeringsfarve2 4 4 5" xfId="11865"/>
    <cellStyle name="40 % - Markeringsfarve2 4 4 6" xfId="23223"/>
    <cellStyle name="40 % - Markeringsfarve2 4 5" xfId="1886"/>
    <cellStyle name="40 % - Markeringsfarve2 4 5 2" xfId="6874"/>
    <cellStyle name="40 % - Markeringsfarve2 4 5 2 2" xfId="17682"/>
    <cellStyle name="40 % - Markeringsfarve2 4 5 2 3" xfId="29039"/>
    <cellStyle name="40 % - Markeringsfarve2 4 5 3" xfId="12697"/>
    <cellStyle name="40 % - Markeringsfarve2 4 5 4" xfId="24055"/>
    <cellStyle name="40 % - Markeringsfarve2 4 6" xfId="3551"/>
    <cellStyle name="40 % - Markeringsfarve2 4 6 2" xfId="8536"/>
    <cellStyle name="40 % - Markeringsfarve2 4 6 2 2" xfId="19343"/>
    <cellStyle name="40 % - Markeringsfarve2 4 6 2 3" xfId="30700"/>
    <cellStyle name="40 % - Markeringsfarve2 4 6 3" xfId="14358"/>
    <cellStyle name="40 % - Markeringsfarve2 4 6 4" xfId="25716"/>
    <cellStyle name="40 % - Markeringsfarve2 4 7" xfId="5212"/>
    <cellStyle name="40 % - Markeringsfarve2 4 7 2" xfId="16021"/>
    <cellStyle name="40 % - Markeringsfarve2 4 7 3" xfId="27378"/>
    <cellStyle name="40 % - Markeringsfarve2 4 8" xfId="10197"/>
    <cellStyle name="40 % - Markeringsfarve2 4 8 2" xfId="21004"/>
    <cellStyle name="40 % - Markeringsfarve2 4 8 3" xfId="32361"/>
    <cellStyle name="40 % - Markeringsfarve2 4 9" xfId="11031"/>
    <cellStyle name="40 % - Markeringsfarve2 5" xfId="233"/>
    <cellStyle name="40 % - Markeringsfarve2 5 10" xfId="21891"/>
    <cellStyle name="40 % - Markeringsfarve2 5 11" xfId="22444"/>
    <cellStyle name="40 % - Markeringsfarve2 5 12" xfId="33247"/>
    <cellStyle name="40 % - Markeringsfarve2 5 13" xfId="33522"/>
    <cellStyle name="40 % - Markeringsfarve2 5 14" xfId="33793"/>
    <cellStyle name="40 % - Markeringsfarve2 5 2" xfId="551"/>
    <cellStyle name="40 % - Markeringsfarve2 5 2 2" xfId="1383"/>
    <cellStyle name="40 % - Markeringsfarve2 5 2 2 2" xfId="3048"/>
    <cellStyle name="40 % - Markeringsfarve2 5 2 2 2 2" xfId="8036"/>
    <cellStyle name="40 % - Markeringsfarve2 5 2 2 2 2 2" xfId="18843"/>
    <cellStyle name="40 % - Markeringsfarve2 5 2 2 2 2 3" xfId="30200"/>
    <cellStyle name="40 % - Markeringsfarve2 5 2 2 2 3" xfId="13858"/>
    <cellStyle name="40 % - Markeringsfarve2 5 2 2 2 4" xfId="25216"/>
    <cellStyle name="40 % - Markeringsfarve2 5 2 2 3" xfId="4712"/>
    <cellStyle name="40 % - Markeringsfarve2 5 2 2 3 2" xfId="9697"/>
    <cellStyle name="40 % - Markeringsfarve2 5 2 2 3 2 2" xfId="20504"/>
    <cellStyle name="40 % - Markeringsfarve2 5 2 2 3 2 3" xfId="31861"/>
    <cellStyle name="40 % - Markeringsfarve2 5 2 2 3 3" xfId="15519"/>
    <cellStyle name="40 % - Markeringsfarve2 5 2 2 3 4" xfId="26877"/>
    <cellStyle name="40 % - Markeringsfarve2 5 2 2 4" xfId="6374"/>
    <cellStyle name="40 % - Markeringsfarve2 5 2 2 4 2" xfId="17182"/>
    <cellStyle name="40 % - Markeringsfarve2 5 2 2 4 3" xfId="28539"/>
    <cellStyle name="40 % - Markeringsfarve2 5 2 2 5" xfId="12197"/>
    <cellStyle name="40 % - Markeringsfarve2 5 2 2 6" xfId="23555"/>
    <cellStyle name="40 % - Markeringsfarve2 5 2 3" xfId="2217"/>
    <cellStyle name="40 % - Markeringsfarve2 5 2 3 2" xfId="7205"/>
    <cellStyle name="40 % - Markeringsfarve2 5 2 3 2 2" xfId="18012"/>
    <cellStyle name="40 % - Markeringsfarve2 5 2 3 2 3" xfId="29369"/>
    <cellStyle name="40 % - Markeringsfarve2 5 2 3 3" xfId="13027"/>
    <cellStyle name="40 % - Markeringsfarve2 5 2 3 4" xfId="24385"/>
    <cellStyle name="40 % - Markeringsfarve2 5 2 4" xfId="3881"/>
    <cellStyle name="40 % - Markeringsfarve2 5 2 4 2" xfId="8866"/>
    <cellStyle name="40 % - Markeringsfarve2 5 2 4 2 2" xfId="19673"/>
    <cellStyle name="40 % - Markeringsfarve2 5 2 4 2 3" xfId="31030"/>
    <cellStyle name="40 % - Markeringsfarve2 5 2 4 3" xfId="14688"/>
    <cellStyle name="40 % - Markeringsfarve2 5 2 4 4" xfId="26046"/>
    <cellStyle name="40 % - Markeringsfarve2 5 2 5" xfId="5543"/>
    <cellStyle name="40 % - Markeringsfarve2 5 2 5 2" xfId="16351"/>
    <cellStyle name="40 % - Markeringsfarve2 5 2 5 3" xfId="27708"/>
    <cellStyle name="40 % - Markeringsfarve2 5 2 6" xfId="10530"/>
    <cellStyle name="40 % - Markeringsfarve2 5 2 6 2" xfId="21337"/>
    <cellStyle name="40 % - Markeringsfarve2 5 2 6 3" xfId="32694"/>
    <cellStyle name="40 % - Markeringsfarve2 5 2 7" xfId="11364"/>
    <cellStyle name="40 % - Markeringsfarve2 5 2 8" xfId="22170"/>
    <cellStyle name="40 % - Markeringsfarve2 5 2 9" xfId="22724"/>
    <cellStyle name="40 % - Markeringsfarve2 5 3" xfId="825"/>
    <cellStyle name="40 % - Markeringsfarve2 5 3 2" xfId="1657"/>
    <cellStyle name="40 % - Markeringsfarve2 5 3 2 2" xfId="3322"/>
    <cellStyle name="40 % - Markeringsfarve2 5 3 2 2 2" xfId="8310"/>
    <cellStyle name="40 % - Markeringsfarve2 5 3 2 2 2 2" xfId="19117"/>
    <cellStyle name="40 % - Markeringsfarve2 5 3 2 2 2 3" xfId="30474"/>
    <cellStyle name="40 % - Markeringsfarve2 5 3 2 2 3" xfId="14132"/>
    <cellStyle name="40 % - Markeringsfarve2 5 3 2 2 4" xfId="25490"/>
    <cellStyle name="40 % - Markeringsfarve2 5 3 2 3" xfId="4986"/>
    <cellStyle name="40 % - Markeringsfarve2 5 3 2 3 2" xfId="9971"/>
    <cellStyle name="40 % - Markeringsfarve2 5 3 2 3 2 2" xfId="20778"/>
    <cellStyle name="40 % - Markeringsfarve2 5 3 2 3 2 3" xfId="32135"/>
    <cellStyle name="40 % - Markeringsfarve2 5 3 2 3 3" xfId="15793"/>
    <cellStyle name="40 % - Markeringsfarve2 5 3 2 3 4" xfId="27151"/>
    <cellStyle name="40 % - Markeringsfarve2 5 3 2 4" xfId="6648"/>
    <cellStyle name="40 % - Markeringsfarve2 5 3 2 4 2" xfId="17456"/>
    <cellStyle name="40 % - Markeringsfarve2 5 3 2 4 3" xfId="28813"/>
    <cellStyle name="40 % - Markeringsfarve2 5 3 2 5" xfId="12471"/>
    <cellStyle name="40 % - Markeringsfarve2 5 3 2 6" xfId="23829"/>
    <cellStyle name="40 % - Markeringsfarve2 5 3 3" xfId="2491"/>
    <cellStyle name="40 % - Markeringsfarve2 5 3 3 2" xfId="7479"/>
    <cellStyle name="40 % - Markeringsfarve2 5 3 3 2 2" xfId="18286"/>
    <cellStyle name="40 % - Markeringsfarve2 5 3 3 2 3" xfId="29643"/>
    <cellStyle name="40 % - Markeringsfarve2 5 3 3 3" xfId="13301"/>
    <cellStyle name="40 % - Markeringsfarve2 5 3 3 4" xfId="24659"/>
    <cellStyle name="40 % - Markeringsfarve2 5 3 4" xfId="4155"/>
    <cellStyle name="40 % - Markeringsfarve2 5 3 4 2" xfId="9140"/>
    <cellStyle name="40 % - Markeringsfarve2 5 3 4 2 2" xfId="19947"/>
    <cellStyle name="40 % - Markeringsfarve2 5 3 4 2 3" xfId="31304"/>
    <cellStyle name="40 % - Markeringsfarve2 5 3 4 3" xfId="14962"/>
    <cellStyle name="40 % - Markeringsfarve2 5 3 4 4" xfId="26320"/>
    <cellStyle name="40 % - Markeringsfarve2 5 3 5" xfId="5817"/>
    <cellStyle name="40 % - Markeringsfarve2 5 3 5 2" xfId="16625"/>
    <cellStyle name="40 % - Markeringsfarve2 5 3 5 3" xfId="27982"/>
    <cellStyle name="40 % - Markeringsfarve2 5 3 6" xfId="10804"/>
    <cellStyle name="40 % - Markeringsfarve2 5 3 6 2" xfId="21611"/>
    <cellStyle name="40 % - Markeringsfarve2 5 3 6 3" xfId="32968"/>
    <cellStyle name="40 % - Markeringsfarve2 5 3 7" xfId="11639"/>
    <cellStyle name="40 % - Markeringsfarve2 5 3 8" xfId="22998"/>
    <cellStyle name="40 % - Markeringsfarve2 5 4" xfId="1104"/>
    <cellStyle name="40 % - Markeringsfarve2 5 4 2" xfId="2769"/>
    <cellStyle name="40 % - Markeringsfarve2 5 4 2 2" xfId="7757"/>
    <cellStyle name="40 % - Markeringsfarve2 5 4 2 2 2" xfId="18564"/>
    <cellStyle name="40 % - Markeringsfarve2 5 4 2 2 3" xfId="29921"/>
    <cellStyle name="40 % - Markeringsfarve2 5 4 2 3" xfId="13579"/>
    <cellStyle name="40 % - Markeringsfarve2 5 4 2 4" xfId="24937"/>
    <cellStyle name="40 % - Markeringsfarve2 5 4 3" xfId="4433"/>
    <cellStyle name="40 % - Markeringsfarve2 5 4 3 2" xfId="9418"/>
    <cellStyle name="40 % - Markeringsfarve2 5 4 3 2 2" xfId="20225"/>
    <cellStyle name="40 % - Markeringsfarve2 5 4 3 2 3" xfId="31582"/>
    <cellStyle name="40 % - Markeringsfarve2 5 4 3 3" xfId="15240"/>
    <cellStyle name="40 % - Markeringsfarve2 5 4 3 4" xfId="26598"/>
    <cellStyle name="40 % - Markeringsfarve2 5 4 4" xfId="6095"/>
    <cellStyle name="40 % - Markeringsfarve2 5 4 4 2" xfId="16903"/>
    <cellStyle name="40 % - Markeringsfarve2 5 4 4 3" xfId="28260"/>
    <cellStyle name="40 % - Markeringsfarve2 5 4 5" xfId="11918"/>
    <cellStyle name="40 % - Markeringsfarve2 5 4 6" xfId="23276"/>
    <cellStyle name="40 % - Markeringsfarve2 5 5" xfId="1939"/>
    <cellStyle name="40 % - Markeringsfarve2 5 5 2" xfId="6927"/>
    <cellStyle name="40 % - Markeringsfarve2 5 5 2 2" xfId="17735"/>
    <cellStyle name="40 % - Markeringsfarve2 5 5 2 3" xfId="29092"/>
    <cellStyle name="40 % - Markeringsfarve2 5 5 3" xfId="12750"/>
    <cellStyle name="40 % - Markeringsfarve2 5 5 4" xfId="24108"/>
    <cellStyle name="40 % - Markeringsfarve2 5 6" xfId="3604"/>
    <cellStyle name="40 % - Markeringsfarve2 5 6 2" xfId="8589"/>
    <cellStyle name="40 % - Markeringsfarve2 5 6 2 2" xfId="19396"/>
    <cellStyle name="40 % - Markeringsfarve2 5 6 2 3" xfId="30753"/>
    <cellStyle name="40 % - Markeringsfarve2 5 6 3" xfId="14411"/>
    <cellStyle name="40 % - Markeringsfarve2 5 6 4" xfId="25769"/>
    <cellStyle name="40 % - Markeringsfarve2 5 7" xfId="5265"/>
    <cellStyle name="40 % - Markeringsfarve2 5 7 2" xfId="16074"/>
    <cellStyle name="40 % - Markeringsfarve2 5 7 3" xfId="27431"/>
    <cellStyle name="40 % - Markeringsfarve2 5 8" xfId="10250"/>
    <cellStyle name="40 % - Markeringsfarve2 5 8 2" xfId="21057"/>
    <cellStyle name="40 % - Markeringsfarve2 5 8 3" xfId="32414"/>
    <cellStyle name="40 % - Markeringsfarve2 5 9" xfId="11084"/>
    <cellStyle name="40 % - Markeringsfarve2 6" xfId="289"/>
    <cellStyle name="40 % - Markeringsfarve2 6 10" xfId="21946"/>
    <cellStyle name="40 % - Markeringsfarve2 6 11" xfId="22499"/>
    <cellStyle name="40 % - Markeringsfarve2 6 12" xfId="33302"/>
    <cellStyle name="40 % - Markeringsfarve2 6 13" xfId="33577"/>
    <cellStyle name="40 % - Markeringsfarve2 6 14" xfId="33848"/>
    <cellStyle name="40 % - Markeringsfarve2 6 2" xfId="606"/>
    <cellStyle name="40 % - Markeringsfarve2 6 2 2" xfId="1438"/>
    <cellStyle name="40 % - Markeringsfarve2 6 2 2 2" xfId="3103"/>
    <cellStyle name="40 % - Markeringsfarve2 6 2 2 2 2" xfId="8091"/>
    <cellStyle name="40 % - Markeringsfarve2 6 2 2 2 2 2" xfId="18898"/>
    <cellStyle name="40 % - Markeringsfarve2 6 2 2 2 2 3" xfId="30255"/>
    <cellStyle name="40 % - Markeringsfarve2 6 2 2 2 3" xfId="13913"/>
    <cellStyle name="40 % - Markeringsfarve2 6 2 2 2 4" xfId="25271"/>
    <cellStyle name="40 % - Markeringsfarve2 6 2 2 3" xfId="4767"/>
    <cellStyle name="40 % - Markeringsfarve2 6 2 2 3 2" xfId="9752"/>
    <cellStyle name="40 % - Markeringsfarve2 6 2 2 3 2 2" xfId="20559"/>
    <cellStyle name="40 % - Markeringsfarve2 6 2 2 3 2 3" xfId="31916"/>
    <cellStyle name="40 % - Markeringsfarve2 6 2 2 3 3" xfId="15574"/>
    <cellStyle name="40 % - Markeringsfarve2 6 2 2 3 4" xfId="26932"/>
    <cellStyle name="40 % - Markeringsfarve2 6 2 2 4" xfId="6429"/>
    <cellStyle name="40 % - Markeringsfarve2 6 2 2 4 2" xfId="17237"/>
    <cellStyle name="40 % - Markeringsfarve2 6 2 2 4 3" xfId="28594"/>
    <cellStyle name="40 % - Markeringsfarve2 6 2 2 5" xfId="12252"/>
    <cellStyle name="40 % - Markeringsfarve2 6 2 2 6" xfId="23610"/>
    <cellStyle name="40 % - Markeringsfarve2 6 2 3" xfId="2272"/>
    <cellStyle name="40 % - Markeringsfarve2 6 2 3 2" xfId="7260"/>
    <cellStyle name="40 % - Markeringsfarve2 6 2 3 2 2" xfId="18067"/>
    <cellStyle name="40 % - Markeringsfarve2 6 2 3 2 3" xfId="29424"/>
    <cellStyle name="40 % - Markeringsfarve2 6 2 3 3" xfId="13082"/>
    <cellStyle name="40 % - Markeringsfarve2 6 2 3 4" xfId="24440"/>
    <cellStyle name="40 % - Markeringsfarve2 6 2 4" xfId="3936"/>
    <cellStyle name="40 % - Markeringsfarve2 6 2 4 2" xfId="8921"/>
    <cellStyle name="40 % - Markeringsfarve2 6 2 4 2 2" xfId="19728"/>
    <cellStyle name="40 % - Markeringsfarve2 6 2 4 2 3" xfId="31085"/>
    <cellStyle name="40 % - Markeringsfarve2 6 2 4 3" xfId="14743"/>
    <cellStyle name="40 % - Markeringsfarve2 6 2 4 4" xfId="26101"/>
    <cellStyle name="40 % - Markeringsfarve2 6 2 5" xfId="5598"/>
    <cellStyle name="40 % - Markeringsfarve2 6 2 5 2" xfId="16406"/>
    <cellStyle name="40 % - Markeringsfarve2 6 2 5 3" xfId="27763"/>
    <cellStyle name="40 % - Markeringsfarve2 6 2 6" xfId="10585"/>
    <cellStyle name="40 % - Markeringsfarve2 6 2 6 2" xfId="21392"/>
    <cellStyle name="40 % - Markeringsfarve2 6 2 6 3" xfId="32749"/>
    <cellStyle name="40 % - Markeringsfarve2 6 2 7" xfId="11419"/>
    <cellStyle name="40 % - Markeringsfarve2 6 2 8" xfId="22225"/>
    <cellStyle name="40 % - Markeringsfarve2 6 2 9" xfId="22779"/>
    <cellStyle name="40 % - Markeringsfarve2 6 3" xfId="880"/>
    <cellStyle name="40 % - Markeringsfarve2 6 3 2" xfId="1712"/>
    <cellStyle name="40 % - Markeringsfarve2 6 3 2 2" xfId="3377"/>
    <cellStyle name="40 % - Markeringsfarve2 6 3 2 2 2" xfId="8365"/>
    <cellStyle name="40 % - Markeringsfarve2 6 3 2 2 2 2" xfId="19172"/>
    <cellStyle name="40 % - Markeringsfarve2 6 3 2 2 2 3" xfId="30529"/>
    <cellStyle name="40 % - Markeringsfarve2 6 3 2 2 3" xfId="14187"/>
    <cellStyle name="40 % - Markeringsfarve2 6 3 2 2 4" xfId="25545"/>
    <cellStyle name="40 % - Markeringsfarve2 6 3 2 3" xfId="5041"/>
    <cellStyle name="40 % - Markeringsfarve2 6 3 2 3 2" xfId="10026"/>
    <cellStyle name="40 % - Markeringsfarve2 6 3 2 3 2 2" xfId="20833"/>
    <cellStyle name="40 % - Markeringsfarve2 6 3 2 3 2 3" xfId="32190"/>
    <cellStyle name="40 % - Markeringsfarve2 6 3 2 3 3" xfId="15848"/>
    <cellStyle name="40 % - Markeringsfarve2 6 3 2 3 4" xfId="27206"/>
    <cellStyle name="40 % - Markeringsfarve2 6 3 2 4" xfId="6703"/>
    <cellStyle name="40 % - Markeringsfarve2 6 3 2 4 2" xfId="17511"/>
    <cellStyle name="40 % - Markeringsfarve2 6 3 2 4 3" xfId="28868"/>
    <cellStyle name="40 % - Markeringsfarve2 6 3 2 5" xfId="12526"/>
    <cellStyle name="40 % - Markeringsfarve2 6 3 2 6" xfId="23884"/>
    <cellStyle name="40 % - Markeringsfarve2 6 3 3" xfId="2546"/>
    <cellStyle name="40 % - Markeringsfarve2 6 3 3 2" xfId="7534"/>
    <cellStyle name="40 % - Markeringsfarve2 6 3 3 2 2" xfId="18341"/>
    <cellStyle name="40 % - Markeringsfarve2 6 3 3 2 3" xfId="29698"/>
    <cellStyle name="40 % - Markeringsfarve2 6 3 3 3" xfId="13356"/>
    <cellStyle name="40 % - Markeringsfarve2 6 3 3 4" xfId="24714"/>
    <cellStyle name="40 % - Markeringsfarve2 6 3 4" xfId="4210"/>
    <cellStyle name="40 % - Markeringsfarve2 6 3 4 2" xfId="9195"/>
    <cellStyle name="40 % - Markeringsfarve2 6 3 4 2 2" xfId="20002"/>
    <cellStyle name="40 % - Markeringsfarve2 6 3 4 2 3" xfId="31359"/>
    <cellStyle name="40 % - Markeringsfarve2 6 3 4 3" xfId="15017"/>
    <cellStyle name="40 % - Markeringsfarve2 6 3 4 4" xfId="26375"/>
    <cellStyle name="40 % - Markeringsfarve2 6 3 5" xfId="5872"/>
    <cellStyle name="40 % - Markeringsfarve2 6 3 5 2" xfId="16680"/>
    <cellStyle name="40 % - Markeringsfarve2 6 3 5 3" xfId="28037"/>
    <cellStyle name="40 % - Markeringsfarve2 6 3 6" xfId="10859"/>
    <cellStyle name="40 % - Markeringsfarve2 6 3 6 2" xfId="21666"/>
    <cellStyle name="40 % - Markeringsfarve2 6 3 6 3" xfId="33023"/>
    <cellStyle name="40 % - Markeringsfarve2 6 3 7" xfId="11694"/>
    <cellStyle name="40 % - Markeringsfarve2 6 3 8" xfId="23053"/>
    <cellStyle name="40 % - Markeringsfarve2 6 4" xfId="1159"/>
    <cellStyle name="40 % - Markeringsfarve2 6 4 2" xfId="2824"/>
    <cellStyle name="40 % - Markeringsfarve2 6 4 2 2" xfId="7812"/>
    <cellStyle name="40 % - Markeringsfarve2 6 4 2 2 2" xfId="18619"/>
    <cellStyle name="40 % - Markeringsfarve2 6 4 2 2 3" xfId="29976"/>
    <cellStyle name="40 % - Markeringsfarve2 6 4 2 3" xfId="13634"/>
    <cellStyle name="40 % - Markeringsfarve2 6 4 2 4" xfId="24992"/>
    <cellStyle name="40 % - Markeringsfarve2 6 4 3" xfId="4488"/>
    <cellStyle name="40 % - Markeringsfarve2 6 4 3 2" xfId="9473"/>
    <cellStyle name="40 % - Markeringsfarve2 6 4 3 2 2" xfId="20280"/>
    <cellStyle name="40 % - Markeringsfarve2 6 4 3 2 3" xfId="31637"/>
    <cellStyle name="40 % - Markeringsfarve2 6 4 3 3" xfId="15295"/>
    <cellStyle name="40 % - Markeringsfarve2 6 4 3 4" xfId="26653"/>
    <cellStyle name="40 % - Markeringsfarve2 6 4 4" xfId="6150"/>
    <cellStyle name="40 % - Markeringsfarve2 6 4 4 2" xfId="16958"/>
    <cellStyle name="40 % - Markeringsfarve2 6 4 4 3" xfId="28315"/>
    <cellStyle name="40 % - Markeringsfarve2 6 4 5" xfId="11973"/>
    <cellStyle name="40 % - Markeringsfarve2 6 4 6" xfId="23331"/>
    <cellStyle name="40 % - Markeringsfarve2 6 5" xfId="1994"/>
    <cellStyle name="40 % - Markeringsfarve2 6 5 2" xfId="6982"/>
    <cellStyle name="40 % - Markeringsfarve2 6 5 2 2" xfId="17790"/>
    <cellStyle name="40 % - Markeringsfarve2 6 5 2 3" xfId="29147"/>
    <cellStyle name="40 % - Markeringsfarve2 6 5 3" xfId="12805"/>
    <cellStyle name="40 % - Markeringsfarve2 6 5 4" xfId="24163"/>
    <cellStyle name="40 % - Markeringsfarve2 6 6" xfId="3659"/>
    <cellStyle name="40 % - Markeringsfarve2 6 6 2" xfId="8644"/>
    <cellStyle name="40 % - Markeringsfarve2 6 6 2 2" xfId="19451"/>
    <cellStyle name="40 % - Markeringsfarve2 6 6 2 3" xfId="30808"/>
    <cellStyle name="40 % - Markeringsfarve2 6 6 3" xfId="14466"/>
    <cellStyle name="40 % - Markeringsfarve2 6 6 4" xfId="25824"/>
    <cellStyle name="40 % - Markeringsfarve2 6 7" xfId="5320"/>
    <cellStyle name="40 % - Markeringsfarve2 6 7 2" xfId="16129"/>
    <cellStyle name="40 % - Markeringsfarve2 6 7 3" xfId="27486"/>
    <cellStyle name="40 % - Markeringsfarve2 6 8" xfId="10305"/>
    <cellStyle name="40 % - Markeringsfarve2 6 8 2" xfId="21112"/>
    <cellStyle name="40 % - Markeringsfarve2 6 8 3" xfId="32469"/>
    <cellStyle name="40 % - Markeringsfarve2 6 9" xfId="11139"/>
    <cellStyle name="40 % - Markeringsfarve2 7" xfId="344"/>
    <cellStyle name="40 % - Markeringsfarve2 7 10" xfId="22001"/>
    <cellStyle name="40 % - Markeringsfarve2 7 11" xfId="22554"/>
    <cellStyle name="40 % - Markeringsfarve2 7 12" xfId="33357"/>
    <cellStyle name="40 % - Markeringsfarve2 7 13" xfId="33632"/>
    <cellStyle name="40 % - Markeringsfarve2 7 14" xfId="33903"/>
    <cellStyle name="40 % - Markeringsfarve2 7 2" xfId="661"/>
    <cellStyle name="40 % - Markeringsfarve2 7 2 2" xfId="1493"/>
    <cellStyle name="40 % - Markeringsfarve2 7 2 2 2" xfId="3158"/>
    <cellStyle name="40 % - Markeringsfarve2 7 2 2 2 2" xfId="8146"/>
    <cellStyle name="40 % - Markeringsfarve2 7 2 2 2 2 2" xfId="18953"/>
    <cellStyle name="40 % - Markeringsfarve2 7 2 2 2 2 3" xfId="30310"/>
    <cellStyle name="40 % - Markeringsfarve2 7 2 2 2 3" xfId="13968"/>
    <cellStyle name="40 % - Markeringsfarve2 7 2 2 2 4" xfId="25326"/>
    <cellStyle name="40 % - Markeringsfarve2 7 2 2 3" xfId="4822"/>
    <cellStyle name="40 % - Markeringsfarve2 7 2 2 3 2" xfId="9807"/>
    <cellStyle name="40 % - Markeringsfarve2 7 2 2 3 2 2" xfId="20614"/>
    <cellStyle name="40 % - Markeringsfarve2 7 2 2 3 2 3" xfId="31971"/>
    <cellStyle name="40 % - Markeringsfarve2 7 2 2 3 3" xfId="15629"/>
    <cellStyle name="40 % - Markeringsfarve2 7 2 2 3 4" xfId="26987"/>
    <cellStyle name="40 % - Markeringsfarve2 7 2 2 4" xfId="6484"/>
    <cellStyle name="40 % - Markeringsfarve2 7 2 2 4 2" xfId="17292"/>
    <cellStyle name="40 % - Markeringsfarve2 7 2 2 4 3" xfId="28649"/>
    <cellStyle name="40 % - Markeringsfarve2 7 2 2 5" xfId="12307"/>
    <cellStyle name="40 % - Markeringsfarve2 7 2 2 6" xfId="23665"/>
    <cellStyle name="40 % - Markeringsfarve2 7 2 3" xfId="2327"/>
    <cellStyle name="40 % - Markeringsfarve2 7 2 3 2" xfId="7315"/>
    <cellStyle name="40 % - Markeringsfarve2 7 2 3 2 2" xfId="18122"/>
    <cellStyle name="40 % - Markeringsfarve2 7 2 3 2 3" xfId="29479"/>
    <cellStyle name="40 % - Markeringsfarve2 7 2 3 3" xfId="13137"/>
    <cellStyle name="40 % - Markeringsfarve2 7 2 3 4" xfId="24495"/>
    <cellStyle name="40 % - Markeringsfarve2 7 2 4" xfId="3991"/>
    <cellStyle name="40 % - Markeringsfarve2 7 2 4 2" xfId="8976"/>
    <cellStyle name="40 % - Markeringsfarve2 7 2 4 2 2" xfId="19783"/>
    <cellStyle name="40 % - Markeringsfarve2 7 2 4 2 3" xfId="31140"/>
    <cellStyle name="40 % - Markeringsfarve2 7 2 4 3" xfId="14798"/>
    <cellStyle name="40 % - Markeringsfarve2 7 2 4 4" xfId="26156"/>
    <cellStyle name="40 % - Markeringsfarve2 7 2 5" xfId="5653"/>
    <cellStyle name="40 % - Markeringsfarve2 7 2 5 2" xfId="16461"/>
    <cellStyle name="40 % - Markeringsfarve2 7 2 5 3" xfId="27818"/>
    <cellStyle name="40 % - Markeringsfarve2 7 2 6" xfId="10640"/>
    <cellStyle name="40 % - Markeringsfarve2 7 2 6 2" xfId="21447"/>
    <cellStyle name="40 % - Markeringsfarve2 7 2 6 3" xfId="32804"/>
    <cellStyle name="40 % - Markeringsfarve2 7 2 7" xfId="11474"/>
    <cellStyle name="40 % - Markeringsfarve2 7 2 8" xfId="22280"/>
    <cellStyle name="40 % - Markeringsfarve2 7 2 9" xfId="22834"/>
    <cellStyle name="40 % - Markeringsfarve2 7 3" xfId="935"/>
    <cellStyle name="40 % - Markeringsfarve2 7 3 2" xfId="1767"/>
    <cellStyle name="40 % - Markeringsfarve2 7 3 2 2" xfId="3432"/>
    <cellStyle name="40 % - Markeringsfarve2 7 3 2 2 2" xfId="8420"/>
    <cellStyle name="40 % - Markeringsfarve2 7 3 2 2 2 2" xfId="19227"/>
    <cellStyle name="40 % - Markeringsfarve2 7 3 2 2 2 3" xfId="30584"/>
    <cellStyle name="40 % - Markeringsfarve2 7 3 2 2 3" xfId="14242"/>
    <cellStyle name="40 % - Markeringsfarve2 7 3 2 2 4" xfId="25600"/>
    <cellStyle name="40 % - Markeringsfarve2 7 3 2 3" xfId="5096"/>
    <cellStyle name="40 % - Markeringsfarve2 7 3 2 3 2" xfId="10081"/>
    <cellStyle name="40 % - Markeringsfarve2 7 3 2 3 2 2" xfId="20888"/>
    <cellStyle name="40 % - Markeringsfarve2 7 3 2 3 2 3" xfId="32245"/>
    <cellStyle name="40 % - Markeringsfarve2 7 3 2 3 3" xfId="15903"/>
    <cellStyle name="40 % - Markeringsfarve2 7 3 2 3 4" xfId="27261"/>
    <cellStyle name="40 % - Markeringsfarve2 7 3 2 4" xfId="6758"/>
    <cellStyle name="40 % - Markeringsfarve2 7 3 2 4 2" xfId="17566"/>
    <cellStyle name="40 % - Markeringsfarve2 7 3 2 4 3" xfId="28923"/>
    <cellStyle name="40 % - Markeringsfarve2 7 3 2 5" xfId="12581"/>
    <cellStyle name="40 % - Markeringsfarve2 7 3 2 6" xfId="23939"/>
    <cellStyle name="40 % - Markeringsfarve2 7 3 3" xfId="2601"/>
    <cellStyle name="40 % - Markeringsfarve2 7 3 3 2" xfId="7589"/>
    <cellStyle name="40 % - Markeringsfarve2 7 3 3 2 2" xfId="18396"/>
    <cellStyle name="40 % - Markeringsfarve2 7 3 3 2 3" xfId="29753"/>
    <cellStyle name="40 % - Markeringsfarve2 7 3 3 3" xfId="13411"/>
    <cellStyle name="40 % - Markeringsfarve2 7 3 3 4" xfId="24769"/>
    <cellStyle name="40 % - Markeringsfarve2 7 3 4" xfId="4265"/>
    <cellStyle name="40 % - Markeringsfarve2 7 3 4 2" xfId="9250"/>
    <cellStyle name="40 % - Markeringsfarve2 7 3 4 2 2" xfId="20057"/>
    <cellStyle name="40 % - Markeringsfarve2 7 3 4 2 3" xfId="31414"/>
    <cellStyle name="40 % - Markeringsfarve2 7 3 4 3" xfId="15072"/>
    <cellStyle name="40 % - Markeringsfarve2 7 3 4 4" xfId="26430"/>
    <cellStyle name="40 % - Markeringsfarve2 7 3 5" xfId="5927"/>
    <cellStyle name="40 % - Markeringsfarve2 7 3 5 2" xfId="16735"/>
    <cellStyle name="40 % - Markeringsfarve2 7 3 5 3" xfId="28092"/>
    <cellStyle name="40 % - Markeringsfarve2 7 3 6" xfId="10914"/>
    <cellStyle name="40 % - Markeringsfarve2 7 3 6 2" xfId="21721"/>
    <cellStyle name="40 % - Markeringsfarve2 7 3 6 3" xfId="33078"/>
    <cellStyle name="40 % - Markeringsfarve2 7 3 7" xfId="11749"/>
    <cellStyle name="40 % - Markeringsfarve2 7 3 8" xfId="23108"/>
    <cellStyle name="40 % - Markeringsfarve2 7 4" xfId="1214"/>
    <cellStyle name="40 % - Markeringsfarve2 7 4 2" xfId="2879"/>
    <cellStyle name="40 % - Markeringsfarve2 7 4 2 2" xfId="7867"/>
    <cellStyle name="40 % - Markeringsfarve2 7 4 2 2 2" xfId="18674"/>
    <cellStyle name="40 % - Markeringsfarve2 7 4 2 2 3" xfId="30031"/>
    <cellStyle name="40 % - Markeringsfarve2 7 4 2 3" xfId="13689"/>
    <cellStyle name="40 % - Markeringsfarve2 7 4 2 4" xfId="25047"/>
    <cellStyle name="40 % - Markeringsfarve2 7 4 3" xfId="4543"/>
    <cellStyle name="40 % - Markeringsfarve2 7 4 3 2" xfId="9528"/>
    <cellStyle name="40 % - Markeringsfarve2 7 4 3 2 2" xfId="20335"/>
    <cellStyle name="40 % - Markeringsfarve2 7 4 3 2 3" xfId="31692"/>
    <cellStyle name="40 % - Markeringsfarve2 7 4 3 3" xfId="15350"/>
    <cellStyle name="40 % - Markeringsfarve2 7 4 3 4" xfId="26708"/>
    <cellStyle name="40 % - Markeringsfarve2 7 4 4" xfId="6205"/>
    <cellStyle name="40 % - Markeringsfarve2 7 4 4 2" xfId="17013"/>
    <cellStyle name="40 % - Markeringsfarve2 7 4 4 3" xfId="28370"/>
    <cellStyle name="40 % - Markeringsfarve2 7 4 5" xfId="12028"/>
    <cellStyle name="40 % - Markeringsfarve2 7 4 6" xfId="23386"/>
    <cellStyle name="40 % - Markeringsfarve2 7 5" xfId="2049"/>
    <cellStyle name="40 % - Markeringsfarve2 7 5 2" xfId="7037"/>
    <cellStyle name="40 % - Markeringsfarve2 7 5 2 2" xfId="17845"/>
    <cellStyle name="40 % - Markeringsfarve2 7 5 2 3" xfId="29202"/>
    <cellStyle name="40 % - Markeringsfarve2 7 5 3" xfId="12860"/>
    <cellStyle name="40 % - Markeringsfarve2 7 5 4" xfId="24218"/>
    <cellStyle name="40 % - Markeringsfarve2 7 6" xfId="3714"/>
    <cellStyle name="40 % - Markeringsfarve2 7 6 2" xfId="8699"/>
    <cellStyle name="40 % - Markeringsfarve2 7 6 2 2" xfId="19506"/>
    <cellStyle name="40 % - Markeringsfarve2 7 6 2 3" xfId="30863"/>
    <cellStyle name="40 % - Markeringsfarve2 7 6 3" xfId="14521"/>
    <cellStyle name="40 % - Markeringsfarve2 7 6 4" xfId="25879"/>
    <cellStyle name="40 % - Markeringsfarve2 7 7" xfId="5375"/>
    <cellStyle name="40 % - Markeringsfarve2 7 7 2" xfId="16184"/>
    <cellStyle name="40 % - Markeringsfarve2 7 7 3" xfId="27541"/>
    <cellStyle name="40 % - Markeringsfarve2 7 8" xfId="10360"/>
    <cellStyle name="40 % - Markeringsfarve2 7 8 2" xfId="21167"/>
    <cellStyle name="40 % - Markeringsfarve2 7 8 3" xfId="32524"/>
    <cellStyle name="40 % - Markeringsfarve2 7 9" xfId="11194"/>
    <cellStyle name="40 % - Markeringsfarve2 8" xfId="445"/>
    <cellStyle name="40 % - Markeringsfarve2 8 2" xfId="1275"/>
    <cellStyle name="40 % - Markeringsfarve2 8 2 2" xfId="2940"/>
    <cellStyle name="40 % - Markeringsfarve2 8 2 2 2" xfId="7928"/>
    <cellStyle name="40 % - Markeringsfarve2 8 2 2 2 2" xfId="18735"/>
    <cellStyle name="40 % - Markeringsfarve2 8 2 2 2 3" xfId="30092"/>
    <cellStyle name="40 % - Markeringsfarve2 8 2 2 3" xfId="13750"/>
    <cellStyle name="40 % - Markeringsfarve2 8 2 2 4" xfId="25108"/>
    <cellStyle name="40 % - Markeringsfarve2 8 2 3" xfId="4604"/>
    <cellStyle name="40 % - Markeringsfarve2 8 2 3 2" xfId="9589"/>
    <cellStyle name="40 % - Markeringsfarve2 8 2 3 2 2" xfId="20396"/>
    <cellStyle name="40 % - Markeringsfarve2 8 2 3 2 3" xfId="31753"/>
    <cellStyle name="40 % - Markeringsfarve2 8 2 3 3" xfId="15411"/>
    <cellStyle name="40 % - Markeringsfarve2 8 2 3 4" xfId="26769"/>
    <cellStyle name="40 % - Markeringsfarve2 8 2 4" xfId="6266"/>
    <cellStyle name="40 % - Markeringsfarve2 8 2 4 2" xfId="17074"/>
    <cellStyle name="40 % - Markeringsfarve2 8 2 4 3" xfId="28431"/>
    <cellStyle name="40 % - Markeringsfarve2 8 2 5" xfId="12089"/>
    <cellStyle name="40 % - Markeringsfarve2 8 2 6" xfId="23447"/>
    <cellStyle name="40 % - Markeringsfarve2 8 3" xfId="2111"/>
    <cellStyle name="40 % - Markeringsfarve2 8 3 2" xfId="7099"/>
    <cellStyle name="40 % - Markeringsfarve2 8 3 2 2" xfId="17906"/>
    <cellStyle name="40 % - Markeringsfarve2 8 3 2 3" xfId="29263"/>
    <cellStyle name="40 % - Markeringsfarve2 8 3 3" xfId="12921"/>
    <cellStyle name="40 % - Markeringsfarve2 8 3 4" xfId="24279"/>
    <cellStyle name="40 % - Markeringsfarve2 8 4" xfId="3775"/>
    <cellStyle name="40 % - Markeringsfarve2 8 4 2" xfId="8760"/>
    <cellStyle name="40 % - Markeringsfarve2 8 4 2 2" xfId="19567"/>
    <cellStyle name="40 % - Markeringsfarve2 8 4 2 3" xfId="30924"/>
    <cellStyle name="40 % - Markeringsfarve2 8 4 3" xfId="14582"/>
    <cellStyle name="40 % - Markeringsfarve2 8 4 4" xfId="25940"/>
    <cellStyle name="40 % - Markeringsfarve2 8 5" xfId="5437"/>
    <cellStyle name="40 % - Markeringsfarve2 8 5 2" xfId="16245"/>
    <cellStyle name="40 % - Markeringsfarve2 8 5 3" xfId="27602"/>
    <cellStyle name="40 % - Markeringsfarve2 8 6" xfId="10458"/>
    <cellStyle name="40 % - Markeringsfarve2 8 6 2" xfId="21265"/>
    <cellStyle name="40 % - Markeringsfarve2 8 6 3" xfId="32622"/>
    <cellStyle name="40 % - Markeringsfarve2 8 7" xfId="11256"/>
    <cellStyle name="40 % - Markeringsfarve2 8 8" xfId="22062"/>
    <cellStyle name="40 % - Markeringsfarve2 8 9" xfId="22616"/>
    <cellStyle name="40 % - Markeringsfarve2 9" xfId="717"/>
    <cellStyle name="40 % - Markeringsfarve2 9 2" xfId="1549"/>
    <cellStyle name="40 % - Markeringsfarve2 9 2 2" xfId="3214"/>
    <cellStyle name="40 % - Markeringsfarve2 9 2 2 2" xfId="8202"/>
    <cellStyle name="40 % - Markeringsfarve2 9 2 2 2 2" xfId="19009"/>
    <cellStyle name="40 % - Markeringsfarve2 9 2 2 2 3" xfId="30366"/>
    <cellStyle name="40 % - Markeringsfarve2 9 2 2 3" xfId="14024"/>
    <cellStyle name="40 % - Markeringsfarve2 9 2 2 4" xfId="25382"/>
    <cellStyle name="40 % - Markeringsfarve2 9 2 3" xfId="4878"/>
    <cellStyle name="40 % - Markeringsfarve2 9 2 3 2" xfId="9863"/>
    <cellStyle name="40 % - Markeringsfarve2 9 2 3 2 2" xfId="20670"/>
    <cellStyle name="40 % - Markeringsfarve2 9 2 3 2 3" xfId="32027"/>
    <cellStyle name="40 % - Markeringsfarve2 9 2 3 3" xfId="15685"/>
    <cellStyle name="40 % - Markeringsfarve2 9 2 3 4" xfId="27043"/>
    <cellStyle name="40 % - Markeringsfarve2 9 2 4" xfId="6540"/>
    <cellStyle name="40 % - Markeringsfarve2 9 2 4 2" xfId="17348"/>
    <cellStyle name="40 % - Markeringsfarve2 9 2 4 3" xfId="28705"/>
    <cellStyle name="40 % - Markeringsfarve2 9 2 5" xfId="12363"/>
    <cellStyle name="40 % - Markeringsfarve2 9 2 6" xfId="23721"/>
    <cellStyle name="40 % - Markeringsfarve2 9 3" xfId="2383"/>
    <cellStyle name="40 % - Markeringsfarve2 9 3 2" xfId="7371"/>
    <cellStyle name="40 % - Markeringsfarve2 9 3 2 2" xfId="18178"/>
    <cellStyle name="40 % - Markeringsfarve2 9 3 2 3" xfId="29535"/>
    <cellStyle name="40 % - Markeringsfarve2 9 3 3" xfId="13193"/>
    <cellStyle name="40 % - Markeringsfarve2 9 3 4" xfId="24551"/>
    <cellStyle name="40 % - Markeringsfarve2 9 4" xfId="4047"/>
    <cellStyle name="40 % - Markeringsfarve2 9 4 2" xfId="9032"/>
    <cellStyle name="40 % - Markeringsfarve2 9 4 2 2" xfId="19839"/>
    <cellStyle name="40 % - Markeringsfarve2 9 4 2 3" xfId="31196"/>
    <cellStyle name="40 % - Markeringsfarve2 9 4 3" xfId="14854"/>
    <cellStyle name="40 % - Markeringsfarve2 9 4 4" xfId="26212"/>
    <cellStyle name="40 % - Markeringsfarve2 9 5" xfId="5709"/>
    <cellStyle name="40 % - Markeringsfarve2 9 5 2" xfId="16517"/>
    <cellStyle name="40 % - Markeringsfarve2 9 5 3" xfId="27874"/>
    <cellStyle name="40 % - Markeringsfarve2 9 6" xfId="10696"/>
    <cellStyle name="40 % - Markeringsfarve2 9 6 2" xfId="21503"/>
    <cellStyle name="40 % - Markeringsfarve2 9 6 3" xfId="32860"/>
    <cellStyle name="40 % - Markeringsfarve2 9 7" xfId="11531"/>
    <cellStyle name="40 % - Markeringsfarve2 9 8" xfId="22890"/>
    <cellStyle name="40 % - Markeringsfarve3" xfId="30" builtinId="39" customBuiltin="1"/>
    <cellStyle name="40 % - Markeringsfarve3 10" xfId="1833"/>
    <cellStyle name="40 % - Markeringsfarve3 10 2" xfId="6821"/>
    <cellStyle name="40 % - Markeringsfarve3 10 2 2" xfId="17629"/>
    <cellStyle name="40 % - Markeringsfarve3 10 2 3" xfId="28986"/>
    <cellStyle name="40 % - Markeringsfarve3 10 3" xfId="12644"/>
    <cellStyle name="40 % - Markeringsfarve3 10 4" xfId="24002"/>
    <cellStyle name="40 % - Markeringsfarve3 11" xfId="3498"/>
    <cellStyle name="40 % - Markeringsfarve3 11 2" xfId="8483"/>
    <cellStyle name="40 % - Markeringsfarve3 11 2 2" xfId="19290"/>
    <cellStyle name="40 % - Markeringsfarve3 11 2 3" xfId="30647"/>
    <cellStyle name="40 % - Markeringsfarve3 11 3" xfId="14305"/>
    <cellStyle name="40 % - Markeringsfarve3 11 4" xfId="25663"/>
    <cellStyle name="40 % - Markeringsfarve3 12" xfId="5159"/>
    <cellStyle name="40 % - Markeringsfarve3 12 2" xfId="15968"/>
    <cellStyle name="40 % - Markeringsfarve3 12 3" xfId="27325"/>
    <cellStyle name="40 % - Markeringsfarve3 13" xfId="10144"/>
    <cellStyle name="40 % - Markeringsfarve3 13 2" xfId="20951"/>
    <cellStyle name="40 % - Markeringsfarve3 13 3" xfId="32308"/>
    <cellStyle name="40 % - Markeringsfarve3 14" xfId="10978"/>
    <cellStyle name="40 % - Markeringsfarve3 15" xfId="21785"/>
    <cellStyle name="40 % - Markeringsfarve3 16" xfId="22338"/>
    <cellStyle name="40 % - Markeringsfarve3 17" xfId="33141"/>
    <cellStyle name="40 % - Markeringsfarve3 18" xfId="33448"/>
    <cellStyle name="40 % - Markeringsfarve3 19" xfId="33719"/>
    <cellStyle name="40 % - Markeringsfarve3 2" xfId="55"/>
    <cellStyle name="40 % - Markeringsfarve3 2 10" xfId="1845"/>
    <cellStyle name="40 % - Markeringsfarve3 2 10 2" xfId="6833"/>
    <cellStyle name="40 % - Markeringsfarve3 2 10 2 2" xfId="17641"/>
    <cellStyle name="40 % - Markeringsfarve3 2 10 2 3" xfId="28998"/>
    <cellStyle name="40 % - Markeringsfarve3 2 10 3" xfId="12656"/>
    <cellStyle name="40 % - Markeringsfarve3 2 10 4" xfId="24014"/>
    <cellStyle name="40 % - Markeringsfarve3 2 11" xfId="3510"/>
    <cellStyle name="40 % - Markeringsfarve3 2 11 2" xfId="8495"/>
    <cellStyle name="40 % - Markeringsfarve3 2 11 2 2" xfId="19302"/>
    <cellStyle name="40 % - Markeringsfarve3 2 11 2 3" xfId="30659"/>
    <cellStyle name="40 % - Markeringsfarve3 2 11 3" xfId="14317"/>
    <cellStyle name="40 % - Markeringsfarve3 2 11 4" xfId="25675"/>
    <cellStyle name="40 % - Markeringsfarve3 2 12" xfId="5171"/>
    <cellStyle name="40 % - Markeringsfarve3 2 12 2" xfId="15980"/>
    <cellStyle name="40 % - Markeringsfarve3 2 12 3" xfId="27337"/>
    <cellStyle name="40 % - Markeringsfarve3 2 13" xfId="10156"/>
    <cellStyle name="40 % - Markeringsfarve3 2 13 2" xfId="20963"/>
    <cellStyle name="40 % - Markeringsfarve3 2 13 3" xfId="32320"/>
    <cellStyle name="40 % - Markeringsfarve3 2 14" xfId="10990"/>
    <cellStyle name="40 % - Markeringsfarve3 2 15" xfId="21797"/>
    <cellStyle name="40 % - Markeringsfarve3 2 16" xfId="22350"/>
    <cellStyle name="40 % - Markeringsfarve3 2 17" xfId="33153"/>
    <cellStyle name="40 % - Markeringsfarve3 2 18" xfId="33418"/>
    <cellStyle name="40 % - Markeringsfarve3 2 19" xfId="33689"/>
    <cellStyle name="40 % - Markeringsfarve3 2 2" xfId="83"/>
    <cellStyle name="40 % - Markeringsfarve3 2 2 10" xfId="3529"/>
    <cellStyle name="40 % - Markeringsfarve3 2 2 10 2" xfId="8514"/>
    <cellStyle name="40 % - Markeringsfarve3 2 2 10 2 2" xfId="19321"/>
    <cellStyle name="40 % - Markeringsfarve3 2 2 10 2 3" xfId="30678"/>
    <cellStyle name="40 % - Markeringsfarve3 2 2 10 3" xfId="14336"/>
    <cellStyle name="40 % - Markeringsfarve3 2 2 10 4" xfId="25694"/>
    <cellStyle name="40 % - Markeringsfarve3 2 2 11" xfId="5190"/>
    <cellStyle name="40 % - Markeringsfarve3 2 2 11 2" xfId="15999"/>
    <cellStyle name="40 % - Markeringsfarve3 2 2 11 3" xfId="27356"/>
    <cellStyle name="40 % - Markeringsfarve3 2 2 12" xfId="10174"/>
    <cellStyle name="40 % - Markeringsfarve3 2 2 12 2" xfId="20981"/>
    <cellStyle name="40 % - Markeringsfarve3 2 2 12 3" xfId="32338"/>
    <cellStyle name="40 % - Markeringsfarve3 2 2 13" xfId="11008"/>
    <cellStyle name="40 % - Markeringsfarve3 2 2 14" xfId="21815"/>
    <cellStyle name="40 % - Markeringsfarve3 2 2 15" xfId="22368"/>
    <cellStyle name="40 % - Markeringsfarve3 2 2 16" xfId="33171"/>
    <cellStyle name="40 % - Markeringsfarve3 2 2 17" xfId="33440"/>
    <cellStyle name="40 % - Markeringsfarve3 2 2 18" xfId="33711"/>
    <cellStyle name="40 % - Markeringsfarve3 2 2 2" xfId="211"/>
    <cellStyle name="40 % - Markeringsfarve3 2 2 2 10" xfId="21869"/>
    <cellStyle name="40 % - Markeringsfarve3 2 2 2 11" xfId="22422"/>
    <cellStyle name="40 % - Markeringsfarve3 2 2 2 12" xfId="33225"/>
    <cellStyle name="40 % - Markeringsfarve3 2 2 2 13" xfId="33500"/>
    <cellStyle name="40 % - Markeringsfarve3 2 2 2 14" xfId="33771"/>
    <cellStyle name="40 % - Markeringsfarve3 2 2 2 2" xfId="529"/>
    <cellStyle name="40 % - Markeringsfarve3 2 2 2 2 2" xfId="1361"/>
    <cellStyle name="40 % - Markeringsfarve3 2 2 2 2 2 2" xfId="3026"/>
    <cellStyle name="40 % - Markeringsfarve3 2 2 2 2 2 2 2" xfId="8014"/>
    <cellStyle name="40 % - Markeringsfarve3 2 2 2 2 2 2 2 2" xfId="18821"/>
    <cellStyle name="40 % - Markeringsfarve3 2 2 2 2 2 2 2 3" xfId="30178"/>
    <cellStyle name="40 % - Markeringsfarve3 2 2 2 2 2 2 3" xfId="13836"/>
    <cellStyle name="40 % - Markeringsfarve3 2 2 2 2 2 2 4" xfId="25194"/>
    <cellStyle name="40 % - Markeringsfarve3 2 2 2 2 2 3" xfId="4690"/>
    <cellStyle name="40 % - Markeringsfarve3 2 2 2 2 2 3 2" xfId="9675"/>
    <cellStyle name="40 % - Markeringsfarve3 2 2 2 2 2 3 2 2" xfId="20482"/>
    <cellStyle name="40 % - Markeringsfarve3 2 2 2 2 2 3 2 3" xfId="31839"/>
    <cellStyle name="40 % - Markeringsfarve3 2 2 2 2 2 3 3" xfId="15497"/>
    <cellStyle name="40 % - Markeringsfarve3 2 2 2 2 2 3 4" xfId="26855"/>
    <cellStyle name="40 % - Markeringsfarve3 2 2 2 2 2 4" xfId="6352"/>
    <cellStyle name="40 % - Markeringsfarve3 2 2 2 2 2 4 2" xfId="17160"/>
    <cellStyle name="40 % - Markeringsfarve3 2 2 2 2 2 4 3" xfId="28517"/>
    <cellStyle name="40 % - Markeringsfarve3 2 2 2 2 2 5" xfId="12175"/>
    <cellStyle name="40 % - Markeringsfarve3 2 2 2 2 2 6" xfId="23533"/>
    <cellStyle name="40 % - Markeringsfarve3 2 2 2 2 3" xfId="2195"/>
    <cellStyle name="40 % - Markeringsfarve3 2 2 2 2 3 2" xfId="7183"/>
    <cellStyle name="40 % - Markeringsfarve3 2 2 2 2 3 2 2" xfId="17990"/>
    <cellStyle name="40 % - Markeringsfarve3 2 2 2 2 3 2 3" xfId="29347"/>
    <cellStyle name="40 % - Markeringsfarve3 2 2 2 2 3 3" xfId="13005"/>
    <cellStyle name="40 % - Markeringsfarve3 2 2 2 2 3 4" xfId="24363"/>
    <cellStyle name="40 % - Markeringsfarve3 2 2 2 2 4" xfId="3859"/>
    <cellStyle name="40 % - Markeringsfarve3 2 2 2 2 4 2" xfId="8844"/>
    <cellStyle name="40 % - Markeringsfarve3 2 2 2 2 4 2 2" xfId="19651"/>
    <cellStyle name="40 % - Markeringsfarve3 2 2 2 2 4 2 3" xfId="31008"/>
    <cellStyle name="40 % - Markeringsfarve3 2 2 2 2 4 3" xfId="14666"/>
    <cellStyle name="40 % - Markeringsfarve3 2 2 2 2 4 4" xfId="26024"/>
    <cellStyle name="40 % - Markeringsfarve3 2 2 2 2 5" xfId="5521"/>
    <cellStyle name="40 % - Markeringsfarve3 2 2 2 2 5 2" xfId="16329"/>
    <cellStyle name="40 % - Markeringsfarve3 2 2 2 2 5 3" xfId="27686"/>
    <cellStyle name="40 % - Markeringsfarve3 2 2 2 2 6" xfId="10508"/>
    <cellStyle name="40 % - Markeringsfarve3 2 2 2 2 6 2" xfId="21315"/>
    <cellStyle name="40 % - Markeringsfarve3 2 2 2 2 6 3" xfId="32672"/>
    <cellStyle name="40 % - Markeringsfarve3 2 2 2 2 7" xfId="11342"/>
    <cellStyle name="40 % - Markeringsfarve3 2 2 2 2 8" xfId="22148"/>
    <cellStyle name="40 % - Markeringsfarve3 2 2 2 2 9" xfId="22702"/>
    <cellStyle name="40 % - Markeringsfarve3 2 2 2 3" xfId="803"/>
    <cellStyle name="40 % - Markeringsfarve3 2 2 2 3 2" xfId="1635"/>
    <cellStyle name="40 % - Markeringsfarve3 2 2 2 3 2 2" xfId="3300"/>
    <cellStyle name="40 % - Markeringsfarve3 2 2 2 3 2 2 2" xfId="8288"/>
    <cellStyle name="40 % - Markeringsfarve3 2 2 2 3 2 2 2 2" xfId="19095"/>
    <cellStyle name="40 % - Markeringsfarve3 2 2 2 3 2 2 2 3" xfId="30452"/>
    <cellStyle name="40 % - Markeringsfarve3 2 2 2 3 2 2 3" xfId="14110"/>
    <cellStyle name="40 % - Markeringsfarve3 2 2 2 3 2 2 4" xfId="25468"/>
    <cellStyle name="40 % - Markeringsfarve3 2 2 2 3 2 3" xfId="4964"/>
    <cellStyle name="40 % - Markeringsfarve3 2 2 2 3 2 3 2" xfId="9949"/>
    <cellStyle name="40 % - Markeringsfarve3 2 2 2 3 2 3 2 2" xfId="20756"/>
    <cellStyle name="40 % - Markeringsfarve3 2 2 2 3 2 3 2 3" xfId="32113"/>
    <cellStyle name="40 % - Markeringsfarve3 2 2 2 3 2 3 3" xfId="15771"/>
    <cellStyle name="40 % - Markeringsfarve3 2 2 2 3 2 3 4" xfId="27129"/>
    <cellStyle name="40 % - Markeringsfarve3 2 2 2 3 2 4" xfId="6626"/>
    <cellStyle name="40 % - Markeringsfarve3 2 2 2 3 2 4 2" xfId="17434"/>
    <cellStyle name="40 % - Markeringsfarve3 2 2 2 3 2 4 3" xfId="28791"/>
    <cellStyle name="40 % - Markeringsfarve3 2 2 2 3 2 5" xfId="12449"/>
    <cellStyle name="40 % - Markeringsfarve3 2 2 2 3 2 6" xfId="23807"/>
    <cellStyle name="40 % - Markeringsfarve3 2 2 2 3 3" xfId="2469"/>
    <cellStyle name="40 % - Markeringsfarve3 2 2 2 3 3 2" xfId="7457"/>
    <cellStyle name="40 % - Markeringsfarve3 2 2 2 3 3 2 2" xfId="18264"/>
    <cellStyle name="40 % - Markeringsfarve3 2 2 2 3 3 2 3" xfId="29621"/>
    <cellStyle name="40 % - Markeringsfarve3 2 2 2 3 3 3" xfId="13279"/>
    <cellStyle name="40 % - Markeringsfarve3 2 2 2 3 3 4" xfId="24637"/>
    <cellStyle name="40 % - Markeringsfarve3 2 2 2 3 4" xfId="4133"/>
    <cellStyle name="40 % - Markeringsfarve3 2 2 2 3 4 2" xfId="9118"/>
    <cellStyle name="40 % - Markeringsfarve3 2 2 2 3 4 2 2" xfId="19925"/>
    <cellStyle name="40 % - Markeringsfarve3 2 2 2 3 4 2 3" xfId="31282"/>
    <cellStyle name="40 % - Markeringsfarve3 2 2 2 3 4 3" xfId="14940"/>
    <cellStyle name="40 % - Markeringsfarve3 2 2 2 3 4 4" xfId="26298"/>
    <cellStyle name="40 % - Markeringsfarve3 2 2 2 3 5" xfId="5795"/>
    <cellStyle name="40 % - Markeringsfarve3 2 2 2 3 5 2" xfId="16603"/>
    <cellStyle name="40 % - Markeringsfarve3 2 2 2 3 5 3" xfId="27960"/>
    <cellStyle name="40 % - Markeringsfarve3 2 2 2 3 6" xfId="10782"/>
    <cellStyle name="40 % - Markeringsfarve3 2 2 2 3 6 2" xfId="21589"/>
    <cellStyle name="40 % - Markeringsfarve3 2 2 2 3 6 3" xfId="32946"/>
    <cellStyle name="40 % - Markeringsfarve3 2 2 2 3 7" xfId="11617"/>
    <cellStyle name="40 % - Markeringsfarve3 2 2 2 3 8" xfId="22976"/>
    <cellStyle name="40 % - Markeringsfarve3 2 2 2 4" xfId="1082"/>
    <cellStyle name="40 % - Markeringsfarve3 2 2 2 4 2" xfId="2747"/>
    <cellStyle name="40 % - Markeringsfarve3 2 2 2 4 2 2" xfId="7735"/>
    <cellStyle name="40 % - Markeringsfarve3 2 2 2 4 2 2 2" xfId="18542"/>
    <cellStyle name="40 % - Markeringsfarve3 2 2 2 4 2 2 3" xfId="29899"/>
    <cellStyle name="40 % - Markeringsfarve3 2 2 2 4 2 3" xfId="13557"/>
    <cellStyle name="40 % - Markeringsfarve3 2 2 2 4 2 4" xfId="24915"/>
    <cellStyle name="40 % - Markeringsfarve3 2 2 2 4 3" xfId="4411"/>
    <cellStyle name="40 % - Markeringsfarve3 2 2 2 4 3 2" xfId="9396"/>
    <cellStyle name="40 % - Markeringsfarve3 2 2 2 4 3 2 2" xfId="20203"/>
    <cellStyle name="40 % - Markeringsfarve3 2 2 2 4 3 2 3" xfId="31560"/>
    <cellStyle name="40 % - Markeringsfarve3 2 2 2 4 3 3" xfId="15218"/>
    <cellStyle name="40 % - Markeringsfarve3 2 2 2 4 3 4" xfId="26576"/>
    <cellStyle name="40 % - Markeringsfarve3 2 2 2 4 4" xfId="6073"/>
    <cellStyle name="40 % - Markeringsfarve3 2 2 2 4 4 2" xfId="16881"/>
    <cellStyle name="40 % - Markeringsfarve3 2 2 2 4 4 3" xfId="28238"/>
    <cellStyle name="40 % - Markeringsfarve3 2 2 2 4 5" xfId="11896"/>
    <cellStyle name="40 % - Markeringsfarve3 2 2 2 4 6" xfId="23254"/>
    <cellStyle name="40 % - Markeringsfarve3 2 2 2 5" xfId="1917"/>
    <cellStyle name="40 % - Markeringsfarve3 2 2 2 5 2" xfId="6905"/>
    <cellStyle name="40 % - Markeringsfarve3 2 2 2 5 2 2" xfId="17713"/>
    <cellStyle name="40 % - Markeringsfarve3 2 2 2 5 2 3" xfId="29070"/>
    <cellStyle name="40 % - Markeringsfarve3 2 2 2 5 3" xfId="12728"/>
    <cellStyle name="40 % - Markeringsfarve3 2 2 2 5 4" xfId="24086"/>
    <cellStyle name="40 % - Markeringsfarve3 2 2 2 6" xfId="3582"/>
    <cellStyle name="40 % - Markeringsfarve3 2 2 2 6 2" xfId="8567"/>
    <cellStyle name="40 % - Markeringsfarve3 2 2 2 6 2 2" xfId="19374"/>
    <cellStyle name="40 % - Markeringsfarve3 2 2 2 6 2 3" xfId="30731"/>
    <cellStyle name="40 % - Markeringsfarve3 2 2 2 6 3" xfId="14389"/>
    <cellStyle name="40 % - Markeringsfarve3 2 2 2 6 4" xfId="25747"/>
    <cellStyle name="40 % - Markeringsfarve3 2 2 2 7" xfId="5243"/>
    <cellStyle name="40 % - Markeringsfarve3 2 2 2 7 2" xfId="16052"/>
    <cellStyle name="40 % - Markeringsfarve3 2 2 2 7 3" xfId="27409"/>
    <cellStyle name="40 % - Markeringsfarve3 2 2 2 8" xfId="10228"/>
    <cellStyle name="40 % - Markeringsfarve3 2 2 2 8 2" xfId="21035"/>
    <cellStyle name="40 % - Markeringsfarve3 2 2 2 8 3" xfId="32392"/>
    <cellStyle name="40 % - Markeringsfarve3 2 2 2 9" xfId="11062"/>
    <cellStyle name="40 % - Markeringsfarve3 2 2 3" xfId="266"/>
    <cellStyle name="40 % - Markeringsfarve3 2 2 3 10" xfId="21923"/>
    <cellStyle name="40 % - Markeringsfarve3 2 2 3 11" xfId="22476"/>
    <cellStyle name="40 % - Markeringsfarve3 2 2 3 12" xfId="33279"/>
    <cellStyle name="40 % - Markeringsfarve3 2 2 3 13" xfId="33554"/>
    <cellStyle name="40 % - Markeringsfarve3 2 2 3 14" xfId="33825"/>
    <cellStyle name="40 % - Markeringsfarve3 2 2 3 2" xfId="583"/>
    <cellStyle name="40 % - Markeringsfarve3 2 2 3 2 2" xfId="1415"/>
    <cellStyle name="40 % - Markeringsfarve3 2 2 3 2 2 2" xfId="3080"/>
    <cellStyle name="40 % - Markeringsfarve3 2 2 3 2 2 2 2" xfId="8068"/>
    <cellStyle name="40 % - Markeringsfarve3 2 2 3 2 2 2 2 2" xfId="18875"/>
    <cellStyle name="40 % - Markeringsfarve3 2 2 3 2 2 2 2 3" xfId="30232"/>
    <cellStyle name="40 % - Markeringsfarve3 2 2 3 2 2 2 3" xfId="13890"/>
    <cellStyle name="40 % - Markeringsfarve3 2 2 3 2 2 2 4" xfId="25248"/>
    <cellStyle name="40 % - Markeringsfarve3 2 2 3 2 2 3" xfId="4744"/>
    <cellStyle name="40 % - Markeringsfarve3 2 2 3 2 2 3 2" xfId="9729"/>
    <cellStyle name="40 % - Markeringsfarve3 2 2 3 2 2 3 2 2" xfId="20536"/>
    <cellStyle name="40 % - Markeringsfarve3 2 2 3 2 2 3 2 3" xfId="31893"/>
    <cellStyle name="40 % - Markeringsfarve3 2 2 3 2 2 3 3" xfId="15551"/>
    <cellStyle name="40 % - Markeringsfarve3 2 2 3 2 2 3 4" xfId="26909"/>
    <cellStyle name="40 % - Markeringsfarve3 2 2 3 2 2 4" xfId="6406"/>
    <cellStyle name="40 % - Markeringsfarve3 2 2 3 2 2 4 2" xfId="17214"/>
    <cellStyle name="40 % - Markeringsfarve3 2 2 3 2 2 4 3" xfId="28571"/>
    <cellStyle name="40 % - Markeringsfarve3 2 2 3 2 2 5" xfId="12229"/>
    <cellStyle name="40 % - Markeringsfarve3 2 2 3 2 2 6" xfId="23587"/>
    <cellStyle name="40 % - Markeringsfarve3 2 2 3 2 3" xfId="2249"/>
    <cellStyle name="40 % - Markeringsfarve3 2 2 3 2 3 2" xfId="7237"/>
    <cellStyle name="40 % - Markeringsfarve3 2 2 3 2 3 2 2" xfId="18044"/>
    <cellStyle name="40 % - Markeringsfarve3 2 2 3 2 3 2 3" xfId="29401"/>
    <cellStyle name="40 % - Markeringsfarve3 2 2 3 2 3 3" xfId="13059"/>
    <cellStyle name="40 % - Markeringsfarve3 2 2 3 2 3 4" xfId="24417"/>
    <cellStyle name="40 % - Markeringsfarve3 2 2 3 2 4" xfId="3913"/>
    <cellStyle name="40 % - Markeringsfarve3 2 2 3 2 4 2" xfId="8898"/>
    <cellStyle name="40 % - Markeringsfarve3 2 2 3 2 4 2 2" xfId="19705"/>
    <cellStyle name="40 % - Markeringsfarve3 2 2 3 2 4 2 3" xfId="31062"/>
    <cellStyle name="40 % - Markeringsfarve3 2 2 3 2 4 3" xfId="14720"/>
    <cellStyle name="40 % - Markeringsfarve3 2 2 3 2 4 4" xfId="26078"/>
    <cellStyle name="40 % - Markeringsfarve3 2 2 3 2 5" xfId="5575"/>
    <cellStyle name="40 % - Markeringsfarve3 2 2 3 2 5 2" xfId="16383"/>
    <cellStyle name="40 % - Markeringsfarve3 2 2 3 2 5 3" xfId="27740"/>
    <cellStyle name="40 % - Markeringsfarve3 2 2 3 2 6" xfId="10562"/>
    <cellStyle name="40 % - Markeringsfarve3 2 2 3 2 6 2" xfId="21369"/>
    <cellStyle name="40 % - Markeringsfarve3 2 2 3 2 6 3" xfId="32726"/>
    <cellStyle name="40 % - Markeringsfarve3 2 2 3 2 7" xfId="11396"/>
    <cellStyle name="40 % - Markeringsfarve3 2 2 3 2 8" xfId="22202"/>
    <cellStyle name="40 % - Markeringsfarve3 2 2 3 2 9" xfId="22756"/>
    <cellStyle name="40 % - Markeringsfarve3 2 2 3 3" xfId="857"/>
    <cellStyle name="40 % - Markeringsfarve3 2 2 3 3 2" xfId="1689"/>
    <cellStyle name="40 % - Markeringsfarve3 2 2 3 3 2 2" xfId="3354"/>
    <cellStyle name="40 % - Markeringsfarve3 2 2 3 3 2 2 2" xfId="8342"/>
    <cellStyle name="40 % - Markeringsfarve3 2 2 3 3 2 2 2 2" xfId="19149"/>
    <cellStyle name="40 % - Markeringsfarve3 2 2 3 3 2 2 2 3" xfId="30506"/>
    <cellStyle name="40 % - Markeringsfarve3 2 2 3 3 2 2 3" xfId="14164"/>
    <cellStyle name="40 % - Markeringsfarve3 2 2 3 3 2 2 4" xfId="25522"/>
    <cellStyle name="40 % - Markeringsfarve3 2 2 3 3 2 3" xfId="5018"/>
    <cellStyle name="40 % - Markeringsfarve3 2 2 3 3 2 3 2" xfId="10003"/>
    <cellStyle name="40 % - Markeringsfarve3 2 2 3 3 2 3 2 2" xfId="20810"/>
    <cellStyle name="40 % - Markeringsfarve3 2 2 3 3 2 3 2 3" xfId="32167"/>
    <cellStyle name="40 % - Markeringsfarve3 2 2 3 3 2 3 3" xfId="15825"/>
    <cellStyle name="40 % - Markeringsfarve3 2 2 3 3 2 3 4" xfId="27183"/>
    <cellStyle name="40 % - Markeringsfarve3 2 2 3 3 2 4" xfId="6680"/>
    <cellStyle name="40 % - Markeringsfarve3 2 2 3 3 2 4 2" xfId="17488"/>
    <cellStyle name="40 % - Markeringsfarve3 2 2 3 3 2 4 3" xfId="28845"/>
    <cellStyle name="40 % - Markeringsfarve3 2 2 3 3 2 5" xfId="12503"/>
    <cellStyle name="40 % - Markeringsfarve3 2 2 3 3 2 6" xfId="23861"/>
    <cellStyle name="40 % - Markeringsfarve3 2 2 3 3 3" xfId="2523"/>
    <cellStyle name="40 % - Markeringsfarve3 2 2 3 3 3 2" xfId="7511"/>
    <cellStyle name="40 % - Markeringsfarve3 2 2 3 3 3 2 2" xfId="18318"/>
    <cellStyle name="40 % - Markeringsfarve3 2 2 3 3 3 2 3" xfId="29675"/>
    <cellStyle name="40 % - Markeringsfarve3 2 2 3 3 3 3" xfId="13333"/>
    <cellStyle name="40 % - Markeringsfarve3 2 2 3 3 3 4" xfId="24691"/>
    <cellStyle name="40 % - Markeringsfarve3 2 2 3 3 4" xfId="4187"/>
    <cellStyle name="40 % - Markeringsfarve3 2 2 3 3 4 2" xfId="9172"/>
    <cellStyle name="40 % - Markeringsfarve3 2 2 3 3 4 2 2" xfId="19979"/>
    <cellStyle name="40 % - Markeringsfarve3 2 2 3 3 4 2 3" xfId="31336"/>
    <cellStyle name="40 % - Markeringsfarve3 2 2 3 3 4 3" xfId="14994"/>
    <cellStyle name="40 % - Markeringsfarve3 2 2 3 3 4 4" xfId="26352"/>
    <cellStyle name="40 % - Markeringsfarve3 2 2 3 3 5" xfId="5849"/>
    <cellStyle name="40 % - Markeringsfarve3 2 2 3 3 5 2" xfId="16657"/>
    <cellStyle name="40 % - Markeringsfarve3 2 2 3 3 5 3" xfId="28014"/>
    <cellStyle name="40 % - Markeringsfarve3 2 2 3 3 6" xfId="10836"/>
    <cellStyle name="40 % - Markeringsfarve3 2 2 3 3 6 2" xfId="21643"/>
    <cellStyle name="40 % - Markeringsfarve3 2 2 3 3 6 3" xfId="33000"/>
    <cellStyle name="40 % - Markeringsfarve3 2 2 3 3 7" xfId="11671"/>
    <cellStyle name="40 % - Markeringsfarve3 2 2 3 3 8" xfId="23030"/>
    <cellStyle name="40 % - Markeringsfarve3 2 2 3 4" xfId="1136"/>
    <cellStyle name="40 % - Markeringsfarve3 2 2 3 4 2" xfId="2801"/>
    <cellStyle name="40 % - Markeringsfarve3 2 2 3 4 2 2" xfId="7789"/>
    <cellStyle name="40 % - Markeringsfarve3 2 2 3 4 2 2 2" xfId="18596"/>
    <cellStyle name="40 % - Markeringsfarve3 2 2 3 4 2 2 3" xfId="29953"/>
    <cellStyle name="40 % - Markeringsfarve3 2 2 3 4 2 3" xfId="13611"/>
    <cellStyle name="40 % - Markeringsfarve3 2 2 3 4 2 4" xfId="24969"/>
    <cellStyle name="40 % - Markeringsfarve3 2 2 3 4 3" xfId="4465"/>
    <cellStyle name="40 % - Markeringsfarve3 2 2 3 4 3 2" xfId="9450"/>
    <cellStyle name="40 % - Markeringsfarve3 2 2 3 4 3 2 2" xfId="20257"/>
    <cellStyle name="40 % - Markeringsfarve3 2 2 3 4 3 2 3" xfId="31614"/>
    <cellStyle name="40 % - Markeringsfarve3 2 2 3 4 3 3" xfId="15272"/>
    <cellStyle name="40 % - Markeringsfarve3 2 2 3 4 3 4" xfId="26630"/>
    <cellStyle name="40 % - Markeringsfarve3 2 2 3 4 4" xfId="6127"/>
    <cellStyle name="40 % - Markeringsfarve3 2 2 3 4 4 2" xfId="16935"/>
    <cellStyle name="40 % - Markeringsfarve3 2 2 3 4 4 3" xfId="28292"/>
    <cellStyle name="40 % - Markeringsfarve3 2 2 3 4 5" xfId="11950"/>
    <cellStyle name="40 % - Markeringsfarve3 2 2 3 4 6" xfId="23308"/>
    <cellStyle name="40 % - Markeringsfarve3 2 2 3 5" xfId="1971"/>
    <cellStyle name="40 % - Markeringsfarve3 2 2 3 5 2" xfId="6959"/>
    <cellStyle name="40 % - Markeringsfarve3 2 2 3 5 2 2" xfId="17767"/>
    <cellStyle name="40 % - Markeringsfarve3 2 2 3 5 2 3" xfId="29124"/>
    <cellStyle name="40 % - Markeringsfarve3 2 2 3 5 3" xfId="12782"/>
    <cellStyle name="40 % - Markeringsfarve3 2 2 3 5 4" xfId="24140"/>
    <cellStyle name="40 % - Markeringsfarve3 2 2 3 6" xfId="3636"/>
    <cellStyle name="40 % - Markeringsfarve3 2 2 3 6 2" xfId="8621"/>
    <cellStyle name="40 % - Markeringsfarve3 2 2 3 6 2 2" xfId="19428"/>
    <cellStyle name="40 % - Markeringsfarve3 2 2 3 6 2 3" xfId="30785"/>
    <cellStyle name="40 % - Markeringsfarve3 2 2 3 6 3" xfId="14443"/>
    <cellStyle name="40 % - Markeringsfarve3 2 2 3 6 4" xfId="25801"/>
    <cellStyle name="40 % - Markeringsfarve3 2 2 3 7" xfId="5297"/>
    <cellStyle name="40 % - Markeringsfarve3 2 2 3 7 2" xfId="16106"/>
    <cellStyle name="40 % - Markeringsfarve3 2 2 3 7 3" xfId="27463"/>
    <cellStyle name="40 % - Markeringsfarve3 2 2 3 8" xfId="10282"/>
    <cellStyle name="40 % - Markeringsfarve3 2 2 3 8 2" xfId="21089"/>
    <cellStyle name="40 % - Markeringsfarve3 2 2 3 8 3" xfId="32446"/>
    <cellStyle name="40 % - Markeringsfarve3 2 2 3 9" xfId="11116"/>
    <cellStyle name="40 % - Markeringsfarve3 2 2 4" xfId="321"/>
    <cellStyle name="40 % - Markeringsfarve3 2 2 4 10" xfId="21978"/>
    <cellStyle name="40 % - Markeringsfarve3 2 2 4 11" xfId="22531"/>
    <cellStyle name="40 % - Markeringsfarve3 2 2 4 12" xfId="33334"/>
    <cellStyle name="40 % - Markeringsfarve3 2 2 4 13" xfId="33609"/>
    <cellStyle name="40 % - Markeringsfarve3 2 2 4 14" xfId="33880"/>
    <cellStyle name="40 % - Markeringsfarve3 2 2 4 2" xfId="638"/>
    <cellStyle name="40 % - Markeringsfarve3 2 2 4 2 2" xfId="1470"/>
    <cellStyle name="40 % - Markeringsfarve3 2 2 4 2 2 2" xfId="3135"/>
    <cellStyle name="40 % - Markeringsfarve3 2 2 4 2 2 2 2" xfId="8123"/>
    <cellStyle name="40 % - Markeringsfarve3 2 2 4 2 2 2 2 2" xfId="18930"/>
    <cellStyle name="40 % - Markeringsfarve3 2 2 4 2 2 2 2 3" xfId="30287"/>
    <cellStyle name="40 % - Markeringsfarve3 2 2 4 2 2 2 3" xfId="13945"/>
    <cellStyle name="40 % - Markeringsfarve3 2 2 4 2 2 2 4" xfId="25303"/>
    <cellStyle name="40 % - Markeringsfarve3 2 2 4 2 2 3" xfId="4799"/>
    <cellStyle name="40 % - Markeringsfarve3 2 2 4 2 2 3 2" xfId="9784"/>
    <cellStyle name="40 % - Markeringsfarve3 2 2 4 2 2 3 2 2" xfId="20591"/>
    <cellStyle name="40 % - Markeringsfarve3 2 2 4 2 2 3 2 3" xfId="31948"/>
    <cellStyle name="40 % - Markeringsfarve3 2 2 4 2 2 3 3" xfId="15606"/>
    <cellStyle name="40 % - Markeringsfarve3 2 2 4 2 2 3 4" xfId="26964"/>
    <cellStyle name="40 % - Markeringsfarve3 2 2 4 2 2 4" xfId="6461"/>
    <cellStyle name="40 % - Markeringsfarve3 2 2 4 2 2 4 2" xfId="17269"/>
    <cellStyle name="40 % - Markeringsfarve3 2 2 4 2 2 4 3" xfId="28626"/>
    <cellStyle name="40 % - Markeringsfarve3 2 2 4 2 2 5" xfId="12284"/>
    <cellStyle name="40 % - Markeringsfarve3 2 2 4 2 2 6" xfId="23642"/>
    <cellStyle name="40 % - Markeringsfarve3 2 2 4 2 3" xfId="2304"/>
    <cellStyle name="40 % - Markeringsfarve3 2 2 4 2 3 2" xfId="7292"/>
    <cellStyle name="40 % - Markeringsfarve3 2 2 4 2 3 2 2" xfId="18099"/>
    <cellStyle name="40 % - Markeringsfarve3 2 2 4 2 3 2 3" xfId="29456"/>
    <cellStyle name="40 % - Markeringsfarve3 2 2 4 2 3 3" xfId="13114"/>
    <cellStyle name="40 % - Markeringsfarve3 2 2 4 2 3 4" xfId="24472"/>
    <cellStyle name="40 % - Markeringsfarve3 2 2 4 2 4" xfId="3968"/>
    <cellStyle name="40 % - Markeringsfarve3 2 2 4 2 4 2" xfId="8953"/>
    <cellStyle name="40 % - Markeringsfarve3 2 2 4 2 4 2 2" xfId="19760"/>
    <cellStyle name="40 % - Markeringsfarve3 2 2 4 2 4 2 3" xfId="31117"/>
    <cellStyle name="40 % - Markeringsfarve3 2 2 4 2 4 3" xfId="14775"/>
    <cellStyle name="40 % - Markeringsfarve3 2 2 4 2 4 4" xfId="26133"/>
    <cellStyle name="40 % - Markeringsfarve3 2 2 4 2 5" xfId="5630"/>
    <cellStyle name="40 % - Markeringsfarve3 2 2 4 2 5 2" xfId="16438"/>
    <cellStyle name="40 % - Markeringsfarve3 2 2 4 2 5 3" xfId="27795"/>
    <cellStyle name="40 % - Markeringsfarve3 2 2 4 2 6" xfId="10617"/>
    <cellStyle name="40 % - Markeringsfarve3 2 2 4 2 6 2" xfId="21424"/>
    <cellStyle name="40 % - Markeringsfarve3 2 2 4 2 6 3" xfId="32781"/>
    <cellStyle name="40 % - Markeringsfarve3 2 2 4 2 7" xfId="11451"/>
    <cellStyle name="40 % - Markeringsfarve3 2 2 4 2 8" xfId="22257"/>
    <cellStyle name="40 % - Markeringsfarve3 2 2 4 2 9" xfId="22811"/>
    <cellStyle name="40 % - Markeringsfarve3 2 2 4 3" xfId="912"/>
    <cellStyle name="40 % - Markeringsfarve3 2 2 4 3 2" xfId="1744"/>
    <cellStyle name="40 % - Markeringsfarve3 2 2 4 3 2 2" xfId="3409"/>
    <cellStyle name="40 % - Markeringsfarve3 2 2 4 3 2 2 2" xfId="8397"/>
    <cellStyle name="40 % - Markeringsfarve3 2 2 4 3 2 2 2 2" xfId="19204"/>
    <cellStyle name="40 % - Markeringsfarve3 2 2 4 3 2 2 2 3" xfId="30561"/>
    <cellStyle name="40 % - Markeringsfarve3 2 2 4 3 2 2 3" xfId="14219"/>
    <cellStyle name="40 % - Markeringsfarve3 2 2 4 3 2 2 4" xfId="25577"/>
    <cellStyle name="40 % - Markeringsfarve3 2 2 4 3 2 3" xfId="5073"/>
    <cellStyle name="40 % - Markeringsfarve3 2 2 4 3 2 3 2" xfId="10058"/>
    <cellStyle name="40 % - Markeringsfarve3 2 2 4 3 2 3 2 2" xfId="20865"/>
    <cellStyle name="40 % - Markeringsfarve3 2 2 4 3 2 3 2 3" xfId="32222"/>
    <cellStyle name="40 % - Markeringsfarve3 2 2 4 3 2 3 3" xfId="15880"/>
    <cellStyle name="40 % - Markeringsfarve3 2 2 4 3 2 3 4" xfId="27238"/>
    <cellStyle name="40 % - Markeringsfarve3 2 2 4 3 2 4" xfId="6735"/>
    <cellStyle name="40 % - Markeringsfarve3 2 2 4 3 2 4 2" xfId="17543"/>
    <cellStyle name="40 % - Markeringsfarve3 2 2 4 3 2 4 3" xfId="28900"/>
    <cellStyle name="40 % - Markeringsfarve3 2 2 4 3 2 5" xfId="12558"/>
    <cellStyle name="40 % - Markeringsfarve3 2 2 4 3 2 6" xfId="23916"/>
    <cellStyle name="40 % - Markeringsfarve3 2 2 4 3 3" xfId="2578"/>
    <cellStyle name="40 % - Markeringsfarve3 2 2 4 3 3 2" xfId="7566"/>
    <cellStyle name="40 % - Markeringsfarve3 2 2 4 3 3 2 2" xfId="18373"/>
    <cellStyle name="40 % - Markeringsfarve3 2 2 4 3 3 2 3" xfId="29730"/>
    <cellStyle name="40 % - Markeringsfarve3 2 2 4 3 3 3" xfId="13388"/>
    <cellStyle name="40 % - Markeringsfarve3 2 2 4 3 3 4" xfId="24746"/>
    <cellStyle name="40 % - Markeringsfarve3 2 2 4 3 4" xfId="4242"/>
    <cellStyle name="40 % - Markeringsfarve3 2 2 4 3 4 2" xfId="9227"/>
    <cellStyle name="40 % - Markeringsfarve3 2 2 4 3 4 2 2" xfId="20034"/>
    <cellStyle name="40 % - Markeringsfarve3 2 2 4 3 4 2 3" xfId="31391"/>
    <cellStyle name="40 % - Markeringsfarve3 2 2 4 3 4 3" xfId="15049"/>
    <cellStyle name="40 % - Markeringsfarve3 2 2 4 3 4 4" xfId="26407"/>
    <cellStyle name="40 % - Markeringsfarve3 2 2 4 3 5" xfId="5904"/>
    <cellStyle name="40 % - Markeringsfarve3 2 2 4 3 5 2" xfId="16712"/>
    <cellStyle name="40 % - Markeringsfarve3 2 2 4 3 5 3" xfId="28069"/>
    <cellStyle name="40 % - Markeringsfarve3 2 2 4 3 6" xfId="10891"/>
    <cellStyle name="40 % - Markeringsfarve3 2 2 4 3 6 2" xfId="21698"/>
    <cellStyle name="40 % - Markeringsfarve3 2 2 4 3 6 3" xfId="33055"/>
    <cellStyle name="40 % - Markeringsfarve3 2 2 4 3 7" xfId="11726"/>
    <cellStyle name="40 % - Markeringsfarve3 2 2 4 3 8" xfId="23085"/>
    <cellStyle name="40 % - Markeringsfarve3 2 2 4 4" xfId="1191"/>
    <cellStyle name="40 % - Markeringsfarve3 2 2 4 4 2" xfId="2856"/>
    <cellStyle name="40 % - Markeringsfarve3 2 2 4 4 2 2" xfId="7844"/>
    <cellStyle name="40 % - Markeringsfarve3 2 2 4 4 2 2 2" xfId="18651"/>
    <cellStyle name="40 % - Markeringsfarve3 2 2 4 4 2 2 3" xfId="30008"/>
    <cellStyle name="40 % - Markeringsfarve3 2 2 4 4 2 3" xfId="13666"/>
    <cellStyle name="40 % - Markeringsfarve3 2 2 4 4 2 4" xfId="25024"/>
    <cellStyle name="40 % - Markeringsfarve3 2 2 4 4 3" xfId="4520"/>
    <cellStyle name="40 % - Markeringsfarve3 2 2 4 4 3 2" xfId="9505"/>
    <cellStyle name="40 % - Markeringsfarve3 2 2 4 4 3 2 2" xfId="20312"/>
    <cellStyle name="40 % - Markeringsfarve3 2 2 4 4 3 2 3" xfId="31669"/>
    <cellStyle name="40 % - Markeringsfarve3 2 2 4 4 3 3" xfId="15327"/>
    <cellStyle name="40 % - Markeringsfarve3 2 2 4 4 3 4" xfId="26685"/>
    <cellStyle name="40 % - Markeringsfarve3 2 2 4 4 4" xfId="6182"/>
    <cellStyle name="40 % - Markeringsfarve3 2 2 4 4 4 2" xfId="16990"/>
    <cellStyle name="40 % - Markeringsfarve3 2 2 4 4 4 3" xfId="28347"/>
    <cellStyle name="40 % - Markeringsfarve3 2 2 4 4 5" xfId="12005"/>
    <cellStyle name="40 % - Markeringsfarve3 2 2 4 4 6" xfId="23363"/>
    <cellStyle name="40 % - Markeringsfarve3 2 2 4 5" xfId="2026"/>
    <cellStyle name="40 % - Markeringsfarve3 2 2 4 5 2" xfId="7014"/>
    <cellStyle name="40 % - Markeringsfarve3 2 2 4 5 2 2" xfId="17822"/>
    <cellStyle name="40 % - Markeringsfarve3 2 2 4 5 2 3" xfId="29179"/>
    <cellStyle name="40 % - Markeringsfarve3 2 2 4 5 3" xfId="12837"/>
    <cellStyle name="40 % - Markeringsfarve3 2 2 4 5 4" xfId="24195"/>
    <cellStyle name="40 % - Markeringsfarve3 2 2 4 6" xfId="3691"/>
    <cellStyle name="40 % - Markeringsfarve3 2 2 4 6 2" xfId="8676"/>
    <cellStyle name="40 % - Markeringsfarve3 2 2 4 6 2 2" xfId="19483"/>
    <cellStyle name="40 % - Markeringsfarve3 2 2 4 6 2 3" xfId="30840"/>
    <cellStyle name="40 % - Markeringsfarve3 2 2 4 6 3" xfId="14498"/>
    <cellStyle name="40 % - Markeringsfarve3 2 2 4 6 4" xfId="25856"/>
    <cellStyle name="40 % - Markeringsfarve3 2 2 4 7" xfId="5352"/>
    <cellStyle name="40 % - Markeringsfarve3 2 2 4 7 2" xfId="16161"/>
    <cellStyle name="40 % - Markeringsfarve3 2 2 4 7 3" xfId="27518"/>
    <cellStyle name="40 % - Markeringsfarve3 2 2 4 8" xfId="10337"/>
    <cellStyle name="40 % - Markeringsfarve3 2 2 4 8 2" xfId="21144"/>
    <cellStyle name="40 % - Markeringsfarve3 2 2 4 8 3" xfId="32501"/>
    <cellStyle name="40 % - Markeringsfarve3 2 2 4 9" xfId="11171"/>
    <cellStyle name="40 % - Markeringsfarve3 2 2 5" xfId="377"/>
    <cellStyle name="40 % - Markeringsfarve3 2 2 5 10" xfId="22034"/>
    <cellStyle name="40 % - Markeringsfarve3 2 2 5 11" xfId="22587"/>
    <cellStyle name="40 % - Markeringsfarve3 2 2 5 12" xfId="33390"/>
    <cellStyle name="40 % - Markeringsfarve3 2 2 5 13" xfId="33665"/>
    <cellStyle name="40 % - Markeringsfarve3 2 2 5 14" xfId="33936"/>
    <cellStyle name="40 % - Markeringsfarve3 2 2 5 2" xfId="694"/>
    <cellStyle name="40 % - Markeringsfarve3 2 2 5 2 2" xfId="1526"/>
    <cellStyle name="40 % - Markeringsfarve3 2 2 5 2 2 2" xfId="3191"/>
    <cellStyle name="40 % - Markeringsfarve3 2 2 5 2 2 2 2" xfId="8179"/>
    <cellStyle name="40 % - Markeringsfarve3 2 2 5 2 2 2 2 2" xfId="18986"/>
    <cellStyle name="40 % - Markeringsfarve3 2 2 5 2 2 2 2 3" xfId="30343"/>
    <cellStyle name="40 % - Markeringsfarve3 2 2 5 2 2 2 3" xfId="14001"/>
    <cellStyle name="40 % - Markeringsfarve3 2 2 5 2 2 2 4" xfId="25359"/>
    <cellStyle name="40 % - Markeringsfarve3 2 2 5 2 2 3" xfId="4855"/>
    <cellStyle name="40 % - Markeringsfarve3 2 2 5 2 2 3 2" xfId="9840"/>
    <cellStyle name="40 % - Markeringsfarve3 2 2 5 2 2 3 2 2" xfId="20647"/>
    <cellStyle name="40 % - Markeringsfarve3 2 2 5 2 2 3 2 3" xfId="32004"/>
    <cellStyle name="40 % - Markeringsfarve3 2 2 5 2 2 3 3" xfId="15662"/>
    <cellStyle name="40 % - Markeringsfarve3 2 2 5 2 2 3 4" xfId="27020"/>
    <cellStyle name="40 % - Markeringsfarve3 2 2 5 2 2 4" xfId="6517"/>
    <cellStyle name="40 % - Markeringsfarve3 2 2 5 2 2 4 2" xfId="17325"/>
    <cellStyle name="40 % - Markeringsfarve3 2 2 5 2 2 4 3" xfId="28682"/>
    <cellStyle name="40 % - Markeringsfarve3 2 2 5 2 2 5" xfId="12340"/>
    <cellStyle name="40 % - Markeringsfarve3 2 2 5 2 2 6" xfId="23698"/>
    <cellStyle name="40 % - Markeringsfarve3 2 2 5 2 3" xfId="2360"/>
    <cellStyle name="40 % - Markeringsfarve3 2 2 5 2 3 2" xfId="7348"/>
    <cellStyle name="40 % - Markeringsfarve3 2 2 5 2 3 2 2" xfId="18155"/>
    <cellStyle name="40 % - Markeringsfarve3 2 2 5 2 3 2 3" xfId="29512"/>
    <cellStyle name="40 % - Markeringsfarve3 2 2 5 2 3 3" xfId="13170"/>
    <cellStyle name="40 % - Markeringsfarve3 2 2 5 2 3 4" xfId="24528"/>
    <cellStyle name="40 % - Markeringsfarve3 2 2 5 2 4" xfId="4024"/>
    <cellStyle name="40 % - Markeringsfarve3 2 2 5 2 4 2" xfId="9009"/>
    <cellStyle name="40 % - Markeringsfarve3 2 2 5 2 4 2 2" xfId="19816"/>
    <cellStyle name="40 % - Markeringsfarve3 2 2 5 2 4 2 3" xfId="31173"/>
    <cellStyle name="40 % - Markeringsfarve3 2 2 5 2 4 3" xfId="14831"/>
    <cellStyle name="40 % - Markeringsfarve3 2 2 5 2 4 4" xfId="26189"/>
    <cellStyle name="40 % - Markeringsfarve3 2 2 5 2 5" xfId="5686"/>
    <cellStyle name="40 % - Markeringsfarve3 2 2 5 2 5 2" xfId="16494"/>
    <cellStyle name="40 % - Markeringsfarve3 2 2 5 2 5 3" xfId="27851"/>
    <cellStyle name="40 % - Markeringsfarve3 2 2 5 2 6" xfId="10673"/>
    <cellStyle name="40 % - Markeringsfarve3 2 2 5 2 6 2" xfId="21480"/>
    <cellStyle name="40 % - Markeringsfarve3 2 2 5 2 6 3" xfId="32837"/>
    <cellStyle name="40 % - Markeringsfarve3 2 2 5 2 7" xfId="11507"/>
    <cellStyle name="40 % - Markeringsfarve3 2 2 5 2 8" xfId="22313"/>
    <cellStyle name="40 % - Markeringsfarve3 2 2 5 2 9" xfId="22867"/>
    <cellStyle name="40 % - Markeringsfarve3 2 2 5 3" xfId="968"/>
    <cellStyle name="40 % - Markeringsfarve3 2 2 5 3 2" xfId="1800"/>
    <cellStyle name="40 % - Markeringsfarve3 2 2 5 3 2 2" xfId="3465"/>
    <cellStyle name="40 % - Markeringsfarve3 2 2 5 3 2 2 2" xfId="8453"/>
    <cellStyle name="40 % - Markeringsfarve3 2 2 5 3 2 2 2 2" xfId="19260"/>
    <cellStyle name="40 % - Markeringsfarve3 2 2 5 3 2 2 2 3" xfId="30617"/>
    <cellStyle name="40 % - Markeringsfarve3 2 2 5 3 2 2 3" xfId="14275"/>
    <cellStyle name="40 % - Markeringsfarve3 2 2 5 3 2 2 4" xfId="25633"/>
    <cellStyle name="40 % - Markeringsfarve3 2 2 5 3 2 3" xfId="5129"/>
    <cellStyle name="40 % - Markeringsfarve3 2 2 5 3 2 3 2" xfId="10114"/>
    <cellStyle name="40 % - Markeringsfarve3 2 2 5 3 2 3 2 2" xfId="20921"/>
    <cellStyle name="40 % - Markeringsfarve3 2 2 5 3 2 3 2 3" xfId="32278"/>
    <cellStyle name="40 % - Markeringsfarve3 2 2 5 3 2 3 3" xfId="15936"/>
    <cellStyle name="40 % - Markeringsfarve3 2 2 5 3 2 3 4" xfId="27294"/>
    <cellStyle name="40 % - Markeringsfarve3 2 2 5 3 2 4" xfId="6791"/>
    <cellStyle name="40 % - Markeringsfarve3 2 2 5 3 2 4 2" xfId="17599"/>
    <cellStyle name="40 % - Markeringsfarve3 2 2 5 3 2 4 3" xfId="28956"/>
    <cellStyle name="40 % - Markeringsfarve3 2 2 5 3 2 5" xfId="12614"/>
    <cellStyle name="40 % - Markeringsfarve3 2 2 5 3 2 6" xfId="23972"/>
    <cellStyle name="40 % - Markeringsfarve3 2 2 5 3 3" xfId="2634"/>
    <cellStyle name="40 % - Markeringsfarve3 2 2 5 3 3 2" xfId="7622"/>
    <cellStyle name="40 % - Markeringsfarve3 2 2 5 3 3 2 2" xfId="18429"/>
    <cellStyle name="40 % - Markeringsfarve3 2 2 5 3 3 2 3" xfId="29786"/>
    <cellStyle name="40 % - Markeringsfarve3 2 2 5 3 3 3" xfId="13444"/>
    <cellStyle name="40 % - Markeringsfarve3 2 2 5 3 3 4" xfId="24802"/>
    <cellStyle name="40 % - Markeringsfarve3 2 2 5 3 4" xfId="4298"/>
    <cellStyle name="40 % - Markeringsfarve3 2 2 5 3 4 2" xfId="9283"/>
    <cellStyle name="40 % - Markeringsfarve3 2 2 5 3 4 2 2" xfId="20090"/>
    <cellStyle name="40 % - Markeringsfarve3 2 2 5 3 4 2 3" xfId="31447"/>
    <cellStyle name="40 % - Markeringsfarve3 2 2 5 3 4 3" xfId="15105"/>
    <cellStyle name="40 % - Markeringsfarve3 2 2 5 3 4 4" xfId="26463"/>
    <cellStyle name="40 % - Markeringsfarve3 2 2 5 3 5" xfId="5960"/>
    <cellStyle name="40 % - Markeringsfarve3 2 2 5 3 5 2" xfId="16768"/>
    <cellStyle name="40 % - Markeringsfarve3 2 2 5 3 5 3" xfId="28125"/>
    <cellStyle name="40 % - Markeringsfarve3 2 2 5 3 6" xfId="10947"/>
    <cellStyle name="40 % - Markeringsfarve3 2 2 5 3 6 2" xfId="21754"/>
    <cellStyle name="40 % - Markeringsfarve3 2 2 5 3 6 3" xfId="33111"/>
    <cellStyle name="40 % - Markeringsfarve3 2 2 5 3 7" xfId="11782"/>
    <cellStyle name="40 % - Markeringsfarve3 2 2 5 3 8" xfId="23141"/>
    <cellStyle name="40 % - Markeringsfarve3 2 2 5 4" xfId="1247"/>
    <cellStyle name="40 % - Markeringsfarve3 2 2 5 4 2" xfId="2912"/>
    <cellStyle name="40 % - Markeringsfarve3 2 2 5 4 2 2" xfId="7900"/>
    <cellStyle name="40 % - Markeringsfarve3 2 2 5 4 2 2 2" xfId="18707"/>
    <cellStyle name="40 % - Markeringsfarve3 2 2 5 4 2 2 3" xfId="30064"/>
    <cellStyle name="40 % - Markeringsfarve3 2 2 5 4 2 3" xfId="13722"/>
    <cellStyle name="40 % - Markeringsfarve3 2 2 5 4 2 4" xfId="25080"/>
    <cellStyle name="40 % - Markeringsfarve3 2 2 5 4 3" xfId="4576"/>
    <cellStyle name="40 % - Markeringsfarve3 2 2 5 4 3 2" xfId="9561"/>
    <cellStyle name="40 % - Markeringsfarve3 2 2 5 4 3 2 2" xfId="20368"/>
    <cellStyle name="40 % - Markeringsfarve3 2 2 5 4 3 2 3" xfId="31725"/>
    <cellStyle name="40 % - Markeringsfarve3 2 2 5 4 3 3" xfId="15383"/>
    <cellStyle name="40 % - Markeringsfarve3 2 2 5 4 3 4" xfId="26741"/>
    <cellStyle name="40 % - Markeringsfarve3 2 2 5 4 4" xfId="6238"/>
    <cellStyle name="40 % - Markeringsfarve3 2 2 5 4 4 2" xfId="17046"/>
    <cellStyle name="40 % - Markeringsfarve3 2 2 5 4 4 3" xfId="28403"/>
    <cellStyle name="40 % - Markeringsfarve3 2 2 5 4 5" xfId="12061"/>
    <cellStyle name="40 % - Markeringsfarve3 2 2 5 4 6" xfId="23419"/>
    <cellStyle name="40 % - Markeringsfarve3 2 2 5 5" xfId="2082"/>
    <cellStyle name="40 % - Markeringsfarve3 2 2 5 5 2" xfId="7070"/>
    <cellStyle name="40 % - Markeringsfarve3 2 2 5 5 2 2" xfId="17878"/>
    <cellStyle name="40 % - Markeringsfarve3 2 2 5 5 2 3" xfId="29235"/>
    <cellStyle name="40 % - Markeringsfarve3 2 2 5 5 3" xfId="12893"/>
    <cellStyle name="40 % - Markeringsfarve3 2 2 5 5 4" xfId="24251"/>
    <cellStyle name="40 % - Markeringsfarve3 2 2 5 6" xfId="3747"/>
    <cellStyle name="40 % - Markeringsfarve3 2 2 5 6 2" xfId="8732"/>
    <cellStyle name="40 % - Markeringsfarve3 2 2 5 6 2 2" xfId="19539"/>
    <cellStyle name="40 % - Markeringsfarve3 2 2 5 6 2 3" xfId="30896"/>
    <cellStyle name="40 % - Markeringsfarve3 2 2 5 6 3" xfId="14554"/>
    <cellStyle name="40 % - Markeringsfarve3 2 2 5 6 4" xfId="25912"/>
    <cellStyle name="40 % - Markeringsfarve3 2 2 5 7" xfId="5408"/>
    <cellStyle name="40 % - Markeringsfarve3 2 2 5 7 2" xfId="16217"/>
    <cellStyle name="40 % - Markeringsfarve3 2 2 5 7 3" xfId="27574"/>
    <cellStyle name="40 % - Markeringsfarve3 2 2 5 8" xfId="10393"/>
    <cellStyle name="40 % - Markeringsfarve3 2 2 5 8 2" xfId="21200"/>
    <cellStyle name="40 % - Markeringsfarve3 2 2 5 8 3" xfId="32557"/>
    <cellStyle name="40 % - Markeringsfarve3 2 2 5 9" xfId="11227"/>
    <cellStyle name="40 % - Markeringsfarve3 2 2 6" xfId="477"/>
    <cellStyle name="40 % - Markeringsfarve3 2 2 6 2" xfId="1307"/>
    <cellStyle name="40 % - Markeringsfarve3 2 2 6 2 2" xfId="2972"/>
    <cellStyle name="40 % - Markeringsfarve3 2 2 6 2 2 2" xfId="7960"/>
    <cellStyle name="40 % - Markeringsfarve3 2 2 6 2 2 2 2" xfId="18767"/>
    <cellStyle name="40 % - Markeringsfarve3 2 2 6 2 2 2 3" xfId="30124"/>
    <cellStyle name="40 % - Markeringsfarve3 2 2 6 2 2 3" xfId="13782"/>
    <cellStyle name="40 % - Markeringsfarve3 2 2 6 2 2 4" xfId="25140"/>
    <cellStyle name="40 % - Markeringsfarve3 2 2 6 2 3" xfId="4636"/>
    <cellStyle name="40 % - Markeringsfarve3 2 2 6 2 3 2" xfId="9621"/>
    <cellStyle name="40 % - Markeringsfarve3 2 2 6 2 3 2 2" xfId="20428"/>
    <cellStyle name="40 % - Markeringsfarve3 2 2 6 2 3 2 3" xfId="31785"/>
    <cellStyle name="40 % - Markeringsfarve3 2 2 6 2 3 3" xfId="15443"/>
    <cellStyle name="40 % - Markeringsfarve3 2 2 6 2 3 4" xfId="26801"/>
    <cellStyle name="40 % - Markeringsfarve3 2 2 6 2 4" xfId="6298"/>
    <cellStyle name="40 % - Markeringsfarve3 2 2 6 2 4 2" xfId="17106"/>
    <cellStyle name="40 % - Markeringsfarve3 2 2 6 2 4 3" xfId="28463"/>
    <cellStyle name="40 % - Markeringsfarve3 2 2 6 2 5" xfId="12121"/>
    <cellStyle name="40 % - Markeringsfarve3 2 2 6 2 6" xfId="23479"/>
    <cellStyle name="40 % - Markeringsfarve3 2 2 6 3" xfId="2143"/>
    <cellStyle name="40 % - Markeringsfarve3 2 2 6 3 2" xfId="7131"/>
    <cellStyle name="40 % - Markeringsfarve3 2 2 6 3 2 2" xfId="17938"/>
    <cellStyle name="40 % - Markeringsfarve3 2 2 6 3 2 3" xfId="29295"/>
    <cellStyle name="40 % - Markeringsfarve3 2 2 6 3 3" xfId="12953"/>
    <cellStyle name="40 % - Markeringsfarve3 2 2 6 3 4" xfId="24311"/>
    <cellStyle name="40 % - Markeringsfarve3 2 2 6 4" xfId="3807"/>
    <cellStyle name="40 % - Markeringsfarve3 2 2 6 4 2" xfId="8792"/>
    <cellStyle name="40 % - Markeringsfarve3 2 2 6 4 2 2" xfId="19599"/>
    <cellStyle name="40 % - Markeringsfarve3 2 2 6 4 2 3" xfId="30956"/>
    <cellStyle name="40 % - Markeringsfarve3 2 2 6 4 3" xfId="14614"/>
    <cellStyle name="40 % - Markeringsfarve3 2 2 6 4 4" xfId="25972"/>
    <cellStyle name="40 % - Markeringsfarve3 2 2 6 5" xfId="5469"/>
    <cellStyle name="40 % - Markeringsfarve3 2 2 6 5 2" xfId="16277"/>
    <cellStyle name="40 % - Markeringsfarve3 2 2 6 5 3" xfId="27634"/>
    <cellStyle name="40 % - Markeringsfarve3 2 2 6 6" xfId="10440"/>
    <cellStyle name="40 % - Markeringsfarve3 2 2 6 6 2" xfId="21247"/>
    <cellStyle name="40 % - Markeringsfarve3 2 2 6 6 3" xfId="32604"/>
    <cellStyle name="40 % - Markeringsfarve3 2 2 6 7" xfId="11288"/>
    <cellStyle name="40 % - Markeringsfarve3 2 2 6 8" xfId="22094"/>
    <cellStyle name="40 % - Markeringsfarve3 2 2 6 9" xfId="22648"/>
    <cellStyle name="40 % - Markeringsfarve3 2 2 7" xfId="749"/>
    <cellStyle name="40 % - Markeringsfarve3 2 2 7 2" xfId="1581"/>
    <cellStyle name="40 % - Markeringsfarve3 2 2 7 2 2" xfId="3246"/>
    <cellStyle name="40 % - Markeringsfarve3 2 2 7 2 2 2" xfId="8234"/>
    <cellStyle name="40 % - Markeringsfarve3 2 2 7 2 2 2 2" xfId="19041"/>
    <cellStyle name="40 % - Markeringsfarve3 2 2 7 2 2 2 3" xfId="30398"/>
    <cellStyle name="40 % - Markeringsfarve3 2 2 7 2 2 3" xfId="14056"/>
    <cellStyle name="40 % - Markeringsfarve3 2 2 7 2 2 4" xfId="25414"/>
    <cellStyle name="40 % - Markeringsfarve3 2 2 7 2 3" xfId="4910"/>
    <cellStyle name="40 % - Markeringsfarve3 2 2 7 2 3 2" xfId="9895"/>
    <cellStyle name="40 % - Markeringsfarve3 2 2 7 2 3 2 2" xfId="20702"/>
    <cellStyle name="40 % - Markeringsfarve3 2 2 7 2 3 2 3" xfId="32059"/>
    <cellStyle name="40 % - Markeringsfarve3 2 2 7 2 3 3" xfId="15717"/>
    <cellStyle name="40 % - Markeringsfarve3 2 2 7 2 3 4" xfId="27075"/>
    <cellStyle name="40 % - Markeringsfarve3 2 2 7 2 4" xfId="6572"/>
    <cellStyle name="40 % - Markeringsfarve3 2 2 7 2 4 2" xfId="17380"/>
    <cellStyle name="40 % - Markeringsfarve3 2 2 7 2 4 3" xfId="28737"/>
    <cellStyle name="40 % - Markeringsfarve3 2 2 7 2 5" xfId="12395"/>
    <cellStyle name="40 % - Markeringsfarve3 2 2 7 2 6" xfId="23753"/>
    <cellStyle name="40 % - Markeringsfarve3 2 2 7 3" xfId="2415"/>
    <cellStyle name="40 % - Markeringsfarve3 2 2 7 3 2" xfId="7403"/>
    <cellStyle name="40 % - Markeringsfarve3 2 2 7 3 2 2" xfId="18210"/>
    <cellStyle name="40 % - Markeringsfarve3 2 2 7 3 2 3" xfId="29567"/>
    <cellStyle name="40 % - Markeringsfarve3 2 2 7 3 3" xfId="13225"/>
    <cellStyle name="40 % - Markeringsfarve3 2 2 7 3 4" xfId="24583"/>
    <cellStyle name="40 % - Markeringsfarve3 2 2 7 4" xfId="4079"/>
    <cellStyle name="40 % - Markeringsfarve3 2 2 7 4 2" xfId="9064"/>
    <cellStyle name="40 % - Markeringsfarve3 2 2 7 4 2 2" xfId="19871"/>
    <cellStyle name="40 % - Markeringsfarve3 2 2 7 4 2 3" xfId="31228"/>
    <cellStyle name="40 % - Markeringsfarve3 2 2 7 4 3" xfId="14886"/>
    <cellStyle name="40 % - Markeringsfarve3 2 2 7 4 4" xfId="26244"/>
    <cellStyle name="40 % - Markeringsfarve3 2 2 7 5" xfId="5741"/>
    <cellStyle name="40 % - Markeringsfarve3 2 2 7 5 2" xfId="16549"/>
    <cellStyle name="40 % - Markeringsfarve3 2 2 7 5 3" xfId="27906"/>
    <cellStyle name="40 % - Markeringsfarve3 2 2 7 6" xfId="10728"/>
    <cellStyle name="40 % - Markeringsfarve3 2 2 7 6 2" xfId="21535"/>
    <cellStyle name="40 % - Markeringsfarve3 2 2 7 6 3" xfId="32892"/>
    <cellStyle name="40 % - Markeringsfarve3 2 2 7 7" xfId="11563"/>
    <cellStyle name="40 % - Markeringsfarve3 2 2 7 8" xfId="22922"/>
    <cellStyle name="40 % - Markeringsfarve3 2 2 8" xfId="1028"/>
    <cellStyle name="40 % - Markeringsfarve3 2 2 8 2" xfId="2693"/>
    <cellStyle name="40 % - Markeringsfarve3 2 2 8 2 2" xfId="7681"/>
    <cellStyle name="40 % - Markeringsfarve3 2 2 8 2 2 2" xfId="18488"/>
    <cellStyle name="40 % - Markeringsfarve3 2 2 8 2 2 3" xfId="29845"/>
    <cellStyle name="40 % - Markeringsfarve3 2 2 8 2 3" xfId="13503"/>
    <cellStyle name="40 % - Markeringsfarve3 2 2 8 2 4" xfId="24861"/>
    <cellStyle name="40 % - Markeringsfarve3 2 2 8 3" xfId="4357"/>
    <cellStyle name="40 % - Markeringsfarve3 2 2 8 3 2" xfId="9342"/>
    <cellStyle name="40 % - Markeringsfarve3 2 2 8 3 2 2" xfId="20149"/>
    <cellStyle name="40 % - Markeringsfarve3 2 2 8 3 2 3" xfId="31506"/>
    <cellStyle name="40 % - Markeringsfarve3 2 2 8 3 3" xfId="15164"/>
    <cellStyle name="40 % - Markeringsfarve3 2 2 8 3 4" xfId="26522"/>
    <cellStyle name="40 % - Markeringsfarve3 2 2 8 4" xfId="6019"/>
    <cellStyle name="40 % - Markeringsfarve3 2 2 8 4 2" xfId="16827"/>
    <cellStyle name="40 % - Markeringsfarve3 2 2 8 4 3" xfId="28184"/>
    <cellStyle name="40 % - Markeringsfarve3 2 2 8 5" xfId="11842"/>
    <cellStyle name="40 % - Markeringsfarve3 2 2 8 6" xfId="23200"/>
    <cellStyle name="40 % - Markeringsfarve3 2 2 9" xfId="1864"/>
    <cellStyle name="40 % - Markeringsfarve3 2 2 9 2" xfId="6852"/>
    <cellStyle name="40 % - Markeringsfarve3 2 2 9 2 2" xfId="17660"/>
    <cellStyle name="40 % - Markeringsfarve3 2 2 9 2 3" xfId="29017"/>
    <cellStyle name="40 % - Markeringsfarve3 2 2 9 3" xfId="12675"/>
    <cellStyle name="40 % - Markeringsfarve3 2 2 9 4" xfId="24033"/>
    <cellStyle name="40 % - Markeringsfarve3 2 3" xfId="194"/>
    <cellStyle name="40 % - Markeringsfarve3 2 3 10" xfId="21852"/>
    <cellStyle name="40 % - Markeringsfarve3 2 3 11" xfId="22405"/>
    <cellStyle name="40 % - Markeringsfarve3 2 3 12" xfId="33208"/>
    <cellStyle name="40 % - Markeringsfarve3 2 3 13" xfId="33481"/>
    <cellStyle name="40 % - Markeringsfarve3 2 3 14" xfId="33752"/>
    <cellStyle name="40 % - Markeringsfarve3 2 3 2" xfId="514"/>
    <cellStyle name="40 % - Markeringsfarve3 2 3 2 2" xfId="1344"/>
    <cellStyle name="40 % - Markeringsfarve3 2 3 2 2 2" xfId="3009"/>
    <cellStyle name="40 % - Markeringsfarve3 2 3 2 2 2 2" xfId="7997"/>
    <cellStyle name="40 % - Markeringsfarve3 2 3 2 2 2 2 2" xfId="18804"/>
    <cellStyle name="40 % - Markeringsfarve3 2 3 2 2 2 2 3" xfId="30161"/>
    <cellStyle name="40 % - Markeringsfarve3 2 3 2 2 2 3" xfId="13819"/>
    <cellStyle name="40 % - Markeringsfarve3 2 3 2 2 2 4" xfId="25177"/>
    <cellStyle name="40 % - Markeringsfarve3 2 3 2 2 3" xfId="4673"/>
    <cellStyle name="40 % - Markeringsfarve3 2 3 2 2 3 2" xfId="9658"/>
    <cellStyle name="40 % - Markeringsfarve3 2 3 2 2 3 2 2" xfId="20465"/>
    <cellStyle name="40 % - Markeringsfarve3 2 3 2 2 3 2 3" xfId="31822"/>
    <cellStyle name="40 % - Markeringsfarve3 2 3 2 2 3 3" xfId="15480"/>
    <cellStyle name="40 % - Markeringsfarve3 2 3 2 2 3 4" xfId="26838"/>
    <cellStyle name="40 % - Markeringsfarve3 2 3 2 2 4" xfId="6335"/>
    <cellStyle name="40 % - Markeringsfarve3 2 3 2 2 4 2" xfId="17143"/>
    <cellStyle name="40 % - Markeringsfarve3 2 3 2 2 4 3" xfId="28500"/>
    <cellStyle name="40 % - Markeringsfarve3 2 3 2 2 5" xfId="12158"/>
    <cellStyle name="40 % - Markeringsfarve3 2 3 2 2 6" xfId="23516"/>
    <cellStyle name="40 % - Markeringsfarve3 2 3 2 3" xfId="2180"/>
    <cellStyle name="40 % - Markeringsfarve3 2 3 2 3 2" xfId="7168"/>
    <cellStyle name="40 % - Markeringsfarve3 2 3 2 3 2 2" xfId="17975"/>
    <cellStyle name="40 % - Markeringsfarve3 2 3 2 3 2 3" xfId="29332"/>
    <cellStyle name="40 % - Markeringsfarve3 2 3 2 3 3" xfId="12990"/>
    <cellStyle name="40 % - Markeringsfarve3 2 3 2 3 4" xfId="24348"/>
    <cellStyle name="40 % - Markeringsfarve3 2 3 2 4" xfId="3844"/>
    <cellStyle name="40 % - Markeringsfarve3 2 3 2 4 2" xfId="8829"/>
    <cellStyle name="40 % - Markeringsfarve3 2 3 2 4 2 2" xfId="19636"/>
    <cellStyle name="40 % - Markeringsfarve3 2 3 2 4 2 3" xfId="30993"/>
    <cellStyle name="40 % - Markeringsfarve3 2 3 2 4 3" xfId="14651"/>
    <cellStyle name="40 % - Markeringsfarve3 2 3 2 4 4" xfId="26009"/>
    <cellStyle name="40 % - Markeringsfarve3 2 3 2 5" xfId="5506"/>
    <cellStyle name="40 % - Markeringsfarve3 2 3 2 5 2" xfId="16314"/>
    <cellStyle name="40 % - Markeringsfarve3 2 3 2 5 3" xfId="27671"/>
    <cellStyle name="40 % - Markeringsfarve3 2 3 2 6" xfId="10491"/>
    <cellStyle name="40 % - Markeringsfarve3 2 3 2 6 2" xfId="21298"/>
    <cellStyle name="40 % - Markeringsfarve3 2 3 2 6 3" xfId="32655"/>
    <cellStyle name="40 % - Markeringsfarve3 2 3 2 7" xfId="11325"/>
    <cellStyle name="40 % - Markeringsfarve3 2 3 2 8" xfId="22131"/>
    <cellStyle name="40 % - Markeringsfarve3 2 3 2 9" xfId="22685"/>
    <cellStyle name="40 % - Markeringsfarve3 2 3 3" xfId="786"/>
    <cellStyle name="40 % - Markeringsfarve3 2 3 3 2" xfId="1618"/>
    <cellStyle name="40 % - Markeringsfarve3 2 3 3 2 2" xfId="3283"/>
    <cellStyle name="40 % - Markeringsfarve3 2 3 3 2 2 2" xfId="8271"/>
    <cellStyle name="40 % - Markeringsfarve3 2 3 3 2 2 2 2" xfId="19078"/>
    <cellStyle name="40 % - Markeringsfarve3 2 3 3 2 2 2 3" xfId="30435"/>
    <cellStyle name="40 % - Markeringsfarve3 2 3 3 2 2 3" xfId="14093"/>
    <cellStyle name="40 % - Markeringsfarve3 2 3 3 2 2 4" xfId="25451"/>
    <cellStyle name="40 % - Markeringsfarve3 2 3 3 2 3" xfId="4947"/>
    <cellStyle name="40 % - Markeringsfarve3 2 3 3 2 3 2" xfId="9932"/>
    <cellStyle name="40 % - Markeringsfarve3 2 3 3 2 3 2 2" xfId="20739"/>
    <cellStyle name="40 % - Markeringsfarve3 2 3 3 2 3 2 3" xfId="32096"/>
    <cellStyle name="40 % - Markeringsfarve3 2 3 3 2 3 3" xfId="15754"/>
    <cellStyle name="40 % - Markeringsfarve3 2 3 3 2 3 4" xfId="27112"/>
    <cellStyle name="40 % - Markeringsfarve3 2 3 3 2 4" xfId="6609"/>
    <cellStyle name="40 % - Markeringsfarve3 2 3 3 2 4 2" xfId="17417"/>
    <cellStyle name="40 % - Markeringsfarve3 2 3 3 2 4 3" xfId="28774"/>
    <cellStyle name="40 % - Markeringsfarve3 2 3 3 2 5" xfId="12432"/>
    <cellStyle name="40 % - Markeringsfarve3 2 3 3 2 6" xfId="23790"/>
    <cellStyle name="40 % - Markeringsfarve3 2 3 3 3" xfId="2452"/>
    <cellStyle name="40 % - Markeringsfarve3 2 3 3 3 2" xfId="7440"/>
    <cellStyle name="40 % - Markeringsfarve3 2 3 3 3 2 2" xfId="18247"/>
    <cellStyle name="40 % - Markeringsfarve3 2 3 3 3 2 3" xfId="29604"/>
    <cellStyle name="40 % - Markeringsfarve3 2 3 3 3 3" xfId="13262"/>
    <cellStyle name="40 % - Markeringsfarve3 2 3 3 3 4" xfId="24620"/>
    <cellStyle name="40 % - Markeringsfarve3 2 3 3 4" xfId="4116"/>
    <cellStyle name="40 % - Markeringsfarve3 2 3 3 4 2" xfId="9101"/>
    <cellStyle name="40 % - Markeringsfarve3 2 3 3 4 2 2" xfId="19908"/>
    <cellStyle name="40 % - Markeringsfarve3 2 3 3 4 2 3" xfId="31265"/>
    <cellStyle name="40 % - Markeringsfarve3 2 3 3 4 3" xfId="14923"/>
    <cellStyle name="40 % - Markeringsfarve3 2 3 3 4 4" xfId="26281"/>
    <cellStyle name="40 % - Markeringsfarve3 2 3 3 5" xfId="5778"/>
    <cellStyle name="40 % - Markeringsfarve3 2 3 3 5 2" xfId="16586"/>
    <cellStyle name="40 % - Markeringsfarve3 2 3 3 5 3" xfId="27943"/>
    <cellStyle name="40 % - Markeringsfarve3 2 3 3 6" xfId="10765"/>
    <cellStyle name="40 % - Markeringsfarve3 2 3 3 6 2" xfId="21572"/>
    <cellStyle name="40 % - Markeringsfarve3 2 3 3 6 3" xfId="32929"/>
    <cellStyle name="40 % - Markeringsfarve3 2 3 3 7" xfId="11600"/>
    <cellStyle name="40 % - Markeringsfarve3 2 3 3 8" xfId="22959"/>
    <cellStyle name="40 % - Markeringsfarve3 2 3 4" xfId="1065"/>
    <cellStyle name="40 % - Markeringsfarve3 2 3 4 2" xfId="2730"/>
    <cellStyle name="40 % - Markeringsfarve3 2 3 4 2 2" xfId="7718"/>
    <cellStyle name="40 % - Markeringsfarve3 2 3 4 2 2 2" xfId="18525"/>
    <cellStyle name="40 % - Markeringsfarve3 2 3 4 2 2 3" xfId="29882"/>
    <cellStyle name="40 % - Markeringsfarve3 2 3 4 2 3" xfId="13540"/>
    <cellStyle name="40 % - Markeringsfarve3 2 3 4 2 4" xfId="24898"/>
    <cellStyle name="40 % - Markeringsfarve3 2 3 4 3" xfId="4394"/>
    <cellStyle name="40 % - Markeringsfarve3 2 3 4 3 2" xfId="9379"/>
    <cellStyle name="40 % - Markeringsfarve3 2 3 4 3 2 2" xfId="20186"/>
    <cellStyle name="40 % - Markeringsfarve3 2 3 4 3 2 3" xfId="31543"/>
    <cellStyle name="40 % - Markeringsfarve3 2 3 4 3 3" xfId="15201"/>
    <cellStyle name="40 % - Markeringsfarve3 2 3 4 3 4" xfId="26559"/>
    <cellStyle name="40 % - Markeringsfarve3 2 3 4 4" xfId="6056"/>
    <cellStyle name="40 % - Markeringsfarve3 2 3 4 4 2" xfId="16864"/>
    <cellStyle name="40 % - Markeringsfarve3 2 3 4 4 3" xfId="28221"/>
    <cellStyle name="40 % - Markeringsfarve3 2 3 4 5" xfId="11879"/>
    <cellStyle name="40 % - Markeringsfarve3 2 3 4 6" xfId="23237"/>
    <cellStyle name="40 % - Markeringsfarve3 2 3 5" xfId="1900"/>
    <cellStyle name="40 % - Markeringsfarve3 2 3 5 2" xfId="6888"/>
    <cellStyle name="40 % - Markeringsfarve3 2 3 5 2 2" xfId="17696"/>
    <cellStyle name="40 % - Markeringsfarve3 2 3 5 2 3" xfId="29053"/>
    <cellStyle name="40 % - Markeringsfarve3 2 3 5 3" xfId="12711"/>
    <cellStyle name="40 % - Markeringsfarve3 2 3 5 4" xfId="24069"/>
    <cellStyle name="40 % - Markeringsfarve3 2 3 6" xfId="3565"/>
    <cellStyle name="40 % - Markeringsfarve3 2 3 6 2" xfId="8550"/>
    <cellStyle name="40 % - Markeringsfarve3 2 3 6 2 2" xfId="19357"/>
    <cellStyle name="40 % - Markeringsfarve3 2 3 6 2 3" xfId="30714"/>
    <cellStyle name="40 % - Markeringsfarve3 2 3 6 3" xfId="14372"/>
    <cellStyle name="40 % - Markeringsfarve3 2 3 6 4" xfId="25730"/>
    <cellStyle name="40 % - Markeringsfarve3 2 3 7" xfId="5226"/>
    <cellStyle name="40 % - Markeringsfarve3 2 3 7 2" xfId="16035"/>
    <cellStyle name="40 % - Markeringsfarve3 2 3 7 3" xfId="27392"/>
    <cellStyle name="40 % - Markeringsfarve3 2 3 8" xfId="10211"/>
    <cellStyle name="40 % - Markeringsfarve3 2 3 8 2" xfId="21018"/>
    <cellStyle name="40 % - Markeringsfarve3 2 3 8 3" xfId="32375"/>
    <cellStyle name="40 % - Markeringsfarve3 2 3 9" xfId="11045"/>
    <cellStyle name="40 % - Markeringsfarve3 2 4" xfId="248"/>
    <cellStyle name="40 % - Markeringsfarve3 2 4 10" xfId="21905"/>
    <cellStyle name="40 % - Markeringsfarve3 2 4 11" xfId="22458"/>
    <cellStyle name="40 % - Markeringsfarve3 2 4 12" xfId="33261"/>
    <cellStyle name="40 % - Markeringsfarve3 2 4 13" xfId="33536"/>
    <cellStyle name="40 % - Markeringsfarve3 2 4 14" xfId="33807"/>
    <cellStyle name="40 % - Markeringsfarve3 2 4 2" xfId="565"/>
    <cellStyle name="40 % - Markeringsfarve3 2 4 2 2" xfId="1397"/>
    <cellStyle name="40 % - Markeringsfarve3 2 4 2 2 2" xfId="3062"/>
    <cellStyle name="40 % - Markeringsfarve3 2 4 2 2 2 2" xfId="8050"/>
    <cellStyle name="40 % - Markeringsfarve3 2 4 2 2 2 2 2" xfId="18857"/>
    <cellStyle name="40 % - Markeringsfarve3 2 4 2 2 2 2 3" xfId="30214"/>
    <cellStyle name="40 % - Markeringsfarve3 2 4 2 2 2 3" xfId="13872"/>
    <cellStyle name="40 % - Markeringsfarve3 2 4 2 2 2 4" xfId="25230"/>
    <cellStyle name="40 % - Markeringsfarve3 2 4 2 2 3" xfId="4726"/>
    <cellStyle name="40 % - Markeringsfarve3 2 4 2 2 3 2" xfId="9711"/>
    <cellStyle name="40 % - Markeringsfarve3 2 4 2 2 3 2 2" xfId="20518"/>
    <cellStyle name="40 % - Markeringsfarve3 2 4 2 2 3 2 3" xfId="31875"/>
    <cellStyle name="40 % - Markeringsfarve3 2 4 2 2 3 3" xfId="15533"/>
    <cellStyle name="40 % - Markeringsfarve3 2 4 2 2 3 4" xfId="26891"/>
    <cellStyle name="40 % - Markeringsfarve3 2 4 2 2 4" xfId="6388"/>
    <cellStyle name="40 % - Markeringsfarve3 2 4 2 2 4 2" xfId="17196"/>
    <cellStyle name="40 % - Markeringsfarve3 2 4 2 2 4 3" xfId="28553"/>
    <cellStyle name="40 % - Markeringsfarve3 2 4 2 2 5" xfId="12211"/>
    <cellStyle name="40 % - Markeringsfarve3 2 4 2 2 6" xfId="23569"/>
    <cellStyle name="40 % - Markeringsfarve3 2 4 2 3" xfId="2231"/>
    <cellStyle name="40 % - Markeringsfarve3 2 4 2 3 2" xfId="7219"/>
    <cellStyle name="40 % - Markeringsfarve3 2 4 2 3 2 2" xfId="18026"/>
    <cellStyle name="40 % - Markeringsfarve3 2 4 2 3 2 3" xfId="29383"/>
    <cellStyle name="40 % - Markeringsfarve3 2 4 2 3 3" xfId="13041"/>
    <cellStyle name="40 % - Markeringsfarve3 2 4 2 3 4" xfId="24399"/>
    <cellStyle name="40 % - Markeringsfarve3 2 4 2 4" xfId="3895"/>
    <cellStyle name="40 % - Markeringsfarve3 2 4 2 4 2" xfId="8880"/>
    <cellStyle name="40 % - Markeringsfarve3 2 4 2 4 2 2" xfId="19687"/>
    <cellStyle name="40 % - Markeringsfarve3 2 4 2 4 2 3" xfId="31044"/>
    <cellStyle name="40 % - Markeringsfarve3 2 4 2 4 3" xfId="14702"/>
    <cellStyle name="40 % - Markeringsfarve3 2 4 2 4 4" xfId="26060"/>
    <cellStyle name="40 % - Markeringsfarve3 2 4 2 5" xfId="5557"/>
    <cellStyle name="40 % - Markeringsfarve3 2 4 2 5 2" xfId="16365"/>
    <cellStyle name="40 % - Markeringsfarve3 2 4 2 5 3" xfId="27722"/>
    <cellStyle name="40 % - Markeringsfarve3 2 4 2 6" xfId="10544"/>
    <cellStyle name="40 % - Markeringsfarve3 2 4 2 6 2" xfId="21351"/>
    <cellStyle name="40 % - Markeringsfarve3 2 4 2 6 3" xfId="32708"/>
    <cellStyle name="40 % - Markeringsfarve3 2 4 2 7" xfId="11378"/>
    <cellStyle name="40 % - Markeringsfarve3 2 4 2 8" xfId="22184"/>
    <cellStyle name="40 % - Markeringsfarve3 2 4 2 9" xfId="22738"/>
    <cellStyle name="40 % - Markeringsfarve3 2 4 3" xfId="839"/>
    <cellStyle name="40 % - Markeringsfarve3 2 4 3 2" xfId="1671"/>
    <cellStyle name="40 % - Markeringsfarve3 2 4 3 2 2" xfId="3336"/>
    <cellStyle name="40 % - Markeringsfarve3 2 4 3 2 2 2" xfId="8324"/>
    <cellStyle name="40 % - Markeringsfarve3 2 4 3 2 2 2 2" xfId="19131"/>
    <cellStyle name="40 % - Markeringsfarve3 2 4 3 2 2 2 3" xfId="30488"/>
    <cellStyle name="40 % - Markeringsfarve3 2 4 3 2 2 3" xfId="14146"/>
    <cellStyle name="40 % - Markeringsfarve3 2 4 3 2 2 4" xfId="25504"/>
    <cellStyle name="40 % - Markeringsfarve3 2 4 3 2 3" xfId="5000"/>
    <cellStyle name="40 % - Markeringsfarve3 2 4 3 2 3 2" xfId="9985"/>
    <cellStyle name="40 % - Markeringsfarve3 2 4 3 2 3 2 2" xfId="20792"/>
    <cellStyle name="40 % - Markeringsfarve3 2 4 3 2 3 2 3" xfId="32149"/>
    <cellStyle name="40 % - Markeringsfarve3 2 4 3 2 3 3" xfId="15807"/>
    <cellStyle name="40 % - Markeringsfarve3 2 4 3 2 3 4" xfId="27165"/>
    <cellStyle name="40 % - Markeringsfarve3 2 4 3 2 4" xfId="6662"/>
    <cellStyle name="40 % - Markeringsfarve3 2 4 3 2 4 2" xfId="17470"/>
    <cellStyle name="40 % - Markeringsfarve3 2 4 3 2 4 3" xfId="28827"/>
    <cellStyle name="40 % - Markeringsfarve3 2 4 3 2 5" xfId="12485"/>
    <cellStyle name="40 % - Markeringsfarve3 2 4 3 2 6" xfId="23843"/>
    <cellStyle name="40 % - Markeringsfarve3 2 4 3 3" xfId="2505"/>
    <cellStyle name="40 % - Markeringsfarve3 2 4 3 3 2" xfId="7493"/>
    <cellStyle name="40 % - Markeringsfarve3 2 4 3 3 2 2" xfId="18300"/>
    <cellStyle name="40 % - Markeringsfarve3 2 4 3 3 2 3" xfId="29657"/>
    <cellStyle name="40 % - Markeringsfarve3 2 4 3 3 3" xfId="13315"/>
    <cellStyle name="40 % - Markeringsfarve3 2 4 3 3 4" xfId="24673"/>
    <cellStyle name="40 % - Markeringsfarve3 2 4 3 4" xfId="4169"/>
    <cellStyle name="40 % - Markeringsfarve3 2 4 3 4 2" xfId="9154"/>
    <cellStyle name="40 % - Markeringsfarve3 2 4 3 4 2 2" xfId="19961"/>
    <cellStyle name="40 % - Markeringsfarve3 2 4 3 4 2 3" xfId="31318"/>
    <cellStyle name="40 % - Markeringsfarve3 2 4 3 4 3" xfId="14976"/>
    <cellStyle name="40 % - Markeringsfarve3 2 4 3 4 4" xfId="26334"/>
    <cellStyle name="40 % - Markeringsfarve3 2 4 3 5" xfId="5831"/>
    <cellStyle name="40 % - Markeringsfarve3 2 4 3 5 2" xfId="16639"/>
    <cellStyle name="40 % - Markeringsfarve3 2 4 3 5 3" xfId="27996"/>
    <cellStyle name="40 % - Markeringsfarve3 2 4 3 6" xfId="10818"/>
    <cellStyle name="40 % - Markeringsfarve3 2 4 3 6 2" xfId="21625"/>
    <cellStyle name="40 % - Markeringsfarve3 2 4 3 6 3" xfId="32982"/>
    <cellStyle name="40 % - Markeringsfarve3 2 4 3 7" xfId="11653"/>
    <cellStyle name="40 % - Markeringsfarve3 2 4 3 8" xfId="23012"/>
    <cellStyle name="40 % - Markeringsfarve3 2 4 4" xfId="1118"/>
    <cellStyle name="40 % - Markeringsfarve3 2 4 4 2" xfId="2783"/>
    <cellStyle name="40 % - Markeringsfarve3 2 4 4 2 2" xfId="7771"/>
    <cellStyle name="40 % - Markeringsfarve3 2 4 4 2 2 2" xfId="18578"/>
    <cellStyle name="40 % - Markeringsfarve3 2 4 4 2 2 3" xfId="29935"/>
    <cellStyle name="40 % - Markeringsfarve3 2 4 4 2 3" xfId="13593"/>
    <cellStyle name="40 % - Markeringsfarve3 2 4 4 2 4" xfId="24951"/>
    <cellStyle name="40 % - Markeringsfarve3 2 4 4 3" xfId="4447"/>
    <cellStyle name="40 % - Markeringsfarve3 2 4 4 3 2" xfId="9432"/>
    <cellStyle name="40 % - Markeringsfarve3 2 4 4 3 2 2" xfId="20239"/>
    <cellStyle name="40 % - Markeringsfarve3 2 4 4 3 2 3" xfId="31596"/>
    <cellStyle name="40 % - Markeringsfarve3 2 4 4 3 3" xfId="15254"/>
    <cellStyle name="40 % - Markeringsfarve3 2 4 4 3 4" xfId="26612"/>
    <cellStyle name="40 % - Markeringsfarve3 2 4 4 4" xfId="6109"/>
    <cellStyle name="40 % - Markeringsfarve3 2 4 4 4 2" xfId="16917"/>
    <cellStyle name="40 % - Markeringsfarve3 2 4 4 4 3" xfId="28274"/>
    <cellStyle name="40 % - Markeringsfarve3 2 4 4 5" xfId="11932"/>
    <cellStyle name="40 % - Markeringsfarve3 2 4 4 6" xfId="23290"/>
    <cellStyle name="40 % - Markeringsfarve3 2 4 5" xfId="1953"/>
    <cellStyle name="40 % - Markeringsfarve3 2 4 5 2" xfId="6941"/>
    <cellStyle name="40 % - Markeringsfarve3 2 4 5 2 2" xfId="17749"/>
    <cellStyle name="40 % - Markeringsfarve3 2 4 5 2 3" xfId="29106"/>
    <cellStyle name="40 % - Markeringsfarve3 2 4 5 3" xfId="12764"/>
    <cellStyle name="40 % - Markeringsfarve3 2 4 5 4" xfId="24122"/>
    <cellStyle name="40 % - Markeringsfarve3 2 4 6" xfId="3618"/>
    <cellStyle name="40 % - Markeringsfarve3 2 4 6 2" xfId="8603"/>
    <cellStyle name="40 % - Markeringsfarve3 2 4 6 2 2" xfId="19410"/>
    <cellStyle name="40 % - Markeringsfarve3 2 4 6 2 3" xfId="30767"/>
    <cellStyle name="40 % - Markeringsfarve3 2 4 6 3" xfId="14425"/>
    <cellStyle name="40 % - Markeringsfarve3 2 4 6 4" xfId="25783"/>
    <cellStyle name="40 % - Markeringsfarve3 2 4 7" xfId="5279"/>
    <cellStyle name="40 % - Markeringsfarve3 2 4 7 2" xfId="16088"/>
    <cellStyle name="40 % - Markeringsfarve3 2 4 7 3" xfId="27445"/>
    <cellStyle name="40 % - Markeringsfarve3 2 4 8" xfId="10264"/>
    <cellStyle name="40 % - Markeringsfarve3 2 4 8 2" xfId="21071"/>
    <cellStyle name="40 % - Markeringsfarve3 2 4 8 3" xfId="32428"/>
    <cellStyle name="40 % - Markeringsfarve3 2 4 9" xfId="11098"/>
    <cellStyle name="40 % - Markeringsfarve3 2 5" xfId="302"/>
    <cellStyle name="40 % - Markeringsfarve3 2 5 10" xfId="21959"/>
    <cellStyle name="40 % - Markeringsfarve3 2 5 11" xfId="22512"/>
    <cellStyle name="40 % - Markeringsfarve3 2 5 12" xfId="33315"/>
    <cellStyle name="40 % - Markeringsfarve3 2 5 13" xfId="33590"/>
    <cellStyle name="40 % - Markeringsfarve3 2 5 14" xfId="33861"/>
    <cellStyle name="40 % - Markeringsfarve3 2 5 2" xfId="619"/>
    <cellStyle name="40 % - Markeringsfarve3 2 5 2 2" xfId="1451"/>
    <cellStyle name="40 % - Markeringsfarve3 2 5 2 2 2" xfId="3116"/>
    <cellStyle name="40 % - Markeringsfarve3 2 5 2 2 2 2" xfId="8104"/>
    <cellStyle name="40 % - Markeringsfarve3 2 5 2 2 2 2 2" xfId="18911"/>
    <cellStyle name="40 % - Markeringsfarve3 2 5 2 2 2 2 3" xfId="30268"/>
    <cellStyle name="40 % - Markeringsfarve3 2 5 2 2 2 3" xfId="13926"/>
    <cellStyle name="40 % - Markeringsfarve3 2 5 2 2 2 4" xfId="25284"/>
    <cellStyle name="40 % - Markeringsfarve3 2 5 2 2 3" xfId="4780"/>
    <cellStyle name="40 % - Markeringsfarve3 2 5 2 2 3 2" xfId="9765"/>
    <cellStyle name="40 % - Markeringsfarve3 2 5 2 2 3 2 2" xfId="20572"/>
    <cellStyle name="40 % - Markeringsfarve3 2 5 2 2 3 2 3" xfId="31929"/>
    <cellStyle name="40 % - Markeringsfarve3 2 5 2 2 3 3" xfId="15587"/>
    <cellStyle name="40 % - Markeringsfarve3 2 5 2 2 3 4" xfId="26945"/>
    <cellStyle name="40 % - Markeringsfarve3 2 5 2 2 4" xfId="6442"/>
    <cellStyle name="40 % - Markeringsfarve3 2 5 2 2 4 2" xfId="17250"/>
    <cellStyle name="40 % - Markeringsfarve3 2 5 2 2 4 3" xfId="28607"/>
    <cellStyle name="40 % - Markeringsfarve3 2 5 2 2 5" xfId="12265"/>
    <cellStyle name="40 % - Markeringsfarve3 2 5 2 2 6" xfId="23623"/>
    <cellStyle name="40 % - Markeringsfarve3 2 5 2 3" xfId="2285"/>
    <cellStyle name="40 % - Markeringsfarve3 2 5 2 3 2" xfId="7273"/>
    <cellStyle name="40 % - Markeringsfarve3 2 5 2 3 2 2" xfId="18080"/>
    <cellStyle name="40 % - Markeringsfarve3 2 5 2 3 2 3" xfId="29437"/>
    <cellStyle name="40 % - Markeringsfarve3 2 5 2 3 3" xfId="13095"/>
    <cellStyle name="40 % - Markeringsfarve3 2 5 2 3 4" xfId="24453"/>
    <cellStyle name="40 % - Markeringsfarve3 2 5 2 4" xfId="3949"/>
    <cellStyle name="40 % - Markeringsfarve3 2 5 2 4 2" xfId="8934"/>
    <cellStyle name="40 % - Markeringsfarve3 2 5 2 4 2 2" xfId="19741"/>
    <cellStyle name="40 % - Markeringsfarve3 2 5 2 4 2 3" xfId="31098"/>
    <cellStyle name="40 % - Markeringsfarve3 2 5 2 4 3" xfId="14756"/>
    <cellStyle name="40 % - Markeringsfarve3 2 5 2 4 4" xfId="26114"/>
    <cellStyle name="40 % - Markeringsfarve3 2 5 2 5" xfId="5611"/>
    <cellStyle name="40 % - Markeringsfarve3 2 5 2 5 2" xfId="16419"/>
    <cellStyle name="40 % - Markeringsfarve3 2 5 2 5 3" xfId="27776"/>
    <cellStyle name="40 % - Markeringsfarve3 2 5 2 6" xfId="10598"/>
    <cellStyle name="40 % - Markeringsfarve3 2 5 2 6 2" xfId="21405"/>
    <cellStyle name="40 % - Markeringsfarve3 2 5 2 6 3" xfId="32762"/>
    <cellStyle name="40 % - Markeringsfarve3 2 5 2 7" xfId="11432"/>
    <cellStyle name="40 % - Markeringsfarve3 2 5 2 8" xfId="22238"/>
    <cellStyle name="40 % - Markeringsfarve3 2 5 2 9" xfId="22792"/>
    <cellStyle name="40 % - Markeringsfarve3 2 5 3" xfId="893"/>
    <cellStyle name="40 % - Markeringsfarve3 2 5 3 2" xfId="1725"/>
    <cellStyle name="40 % - Markeringsfarve3 2 5 3 2 2" xfId="3390"/>
    <cellStyle name="40 % - Markeringsfarve3 2 5 3 2 2 2" xfId="8378"/>
    <cellStyle name="40 % - Markeringsfarve3 2 5 3 2 2 2 2" xfId="19185"/>
    <cellStyle name="40 % - Markeringsfarve3 2 5 3 2 2 2 3" xfId="30542"/>
    <cellStyle name="40 % - Markeringsfarve3 2 5 3 2 2 3" xfId="14200"/>
    <cellStyle name="40 % - Markeringsfarve3 2 5 3 2 2 4" xfId="25558"/>
    <cellStyle name="40 % - Markeringsfarve3 2 5 3 2 3" xfId="5054"/>
    <cellStyle name="40 % - Markeringsfarve3 2 5 3 2 3 2" xfId="10039"/>
    <cellStyle name="40 % - Markeringsfarve3 2 5 3 2 3 2 2" xfId="20846"/>
    <cellStyle name="40 % - Markeringsfarve3 2 5 3 2 3 2 3" xfId="32203"/>
    <cellStyle name="40 % - Markeringsfarve3 2 5 3 2 3 3" xfId="15861"/>
    <cellStyle name="40 % - Markeringsfarve3 2 5 3 2 3 4" xfId="27219"/>
    <cellStyle name="40 % - Markeringsfarve3 2 5 3 2 4" xfId="6716"/>
    <cellStyle name="40 % - Markeringsfarve3 2 5 3 2 4 2" xfId="17524"/>
    <cellStyle name="40 % - Markeringsfarve3 2 5 3 2 4 3" xfId="28881"/>
    <cellStyle name="40 % - Markeringsfarve3 2 5 3 2 5" xfId="12539"/>
    <cellStyle name="40 % - Markeringsfarve3 2 5 3 2 6" xfId="23897"/>
    <cellStyle name="40 % - Markeringsfarve3 2 5 3 3" xfId="2559"/>
    <cellStyle name="40 % - Markeringsfarve3 2 5 3 3 2" xfId="7547"/>
    <cellStyle name="40 % - Markeringsfarve3 2 5 3 3 2 2" xfId="18354"/>
    <cellStyle name="40 % - Markeringsfarve3 2 5 3 3 2 3" xfId="29711"/>
    <cellStyle name="40 % - Markeringsfarve3 2 5 3 3 3" xfId="13369"/>
    <cellStyle name="40 % - Markeringsfarve3 2 5 3 3 4" xfId="24727"/>
    <cellStyle name="40 % - Markeringsfarve3 2 5 3 4" xfId="4223"/>
    <cellStyle name="40 % - Markeringsfarve3 2 5 3 4 2" xfId="9208"/>
    <cellStyle name="40 % - Markeringsfarve3 2 5 3 4 2 2" xfId="20015"/>
    <cellStyle name="40 % - Markeringsfarve3 2 5 3 4 2 3" xfId="31372"/>
    <cellStyle name="40 % - Markeringsfarve3 2 5 3 4 3" xfId="15030"/>
    <cellStyle name="40 % - Markeringsfarve3 2 5 3 4 4" xfId="26388"/>
    <cellStyle name="40 % - Markeringsfarve3 2 5 3 5" xfId="5885"/>
    <cellStyle name="40 % - Markeringsfarve3 2 5 3 5 2" xfId="16693"/>
    <cellStyle name="40 % - Markeringsfarve3 2 5 3 5 3" xfId="28050"/>
    <cellStyle name="40 % - Markeringsfarve3 2 5 3 6" xfId="10872"/>
    <cellStyle name="40 % - Markeringsfarve3 2 5 3 6 2" xfId="21679"/>
    <cellStyle name="40 % - Markeringsfarve3 2 5 3 6 3" xfId="33036"/>
    <cellStyle name="40 % - Markeringsfarve3 2 5 3 7" xfId="11707"/>
    <cellStyle name="40 % - Markeringsfarve3 2 5 3 8" xfId="23066"/>
    <cellStyle name="40 % - Markeringsfarve3 2 5 4" xfId="1172"/>
    <cellStyle name="40 % - Markeringsfarve3 2 5 4 2" xfId="2837"/>
    <cellStyle name="40 % - Markeringsfarve3 2 5 4 2 2" xfId="7825"/>
    <cellStyle name="40 % - Markeringsfarve3 2 5 4 2 2 2" xfId="18632"/>
    <cellStyle name="40 % - Markeringsfarve3 2 5 4 2 2 3" xfId="29989"/>
    <cellStyle name="40 % - Markeringsfarve3 2 5 4 2 3" xfId="13647"/>
    <cellStyle name="40 % - Markeringsfarve3 2 5 4 2 4" xfId="25005"/>
    <cellStyle name="40 % - Markeringsfarve3 2 5 4 3" xfId="4501"/>
    <cellStyle name="40 % - Markeringsfarve3 2 5 4 3 2" xfId="9486"/>
    <cellStyle name="40 % - Markeringsfarve3 2 5 4 3 2 2" xfId="20293"/>
    <cellStyle name="40 % - Markeringsfarve3 2 5 4 3 2 3" xfId="31650"/>
    <cellStyle name="40 % - Markeringsfarve3 2 5 4 3 3" xfId="15308"/>
    <cellStyle name="40 % - Markeringsfarve3 2 5 4 3 4" xfId="26666"/>
    <cellStyle name="40 % - Markeringsfarve3 2 5 4 4" xfId="6163"/>
    <cellStyle name="40 % - Markeringsfarve3 2 5 4 4 2" xfId="16971"/>
    <cellStyle name="40 % - Markeringsfarve3 2 5 4 4 3" xfId="28328"/>
    <cellStyle name="40 % - Markeringsfarve3 2 5 4 5" xfId="11986"/>
    <cellStyle name="40 % - Markeringsfarve3 2 5 4 6" xfId="23344"/>
    <cellStyle name="40 % - Markeringsfarve3 2 5 5" xfId="2007"/>
    <cellStyle name="40 % - Markeringsfarve3 2 5 5 2" xfId="6995"/>
    <cellStyle name="40 % - Markeringsfarve3 2 5 5 2 2" xfId="17803"/>
    <cellStyle name="40 % - Markeringsfarve3 2 5 5 2 3" xfId="29160"/>
    <cellStyle name="40 % - Markeringsfarve3 2 5 5 3" xfId="12818"/>
    <cellStyle name="40 % - Markeringsfarve3 2 5 5 4" xfId="24176"/>
    <cellStyle name="40 % - Markeringsfarve3 2 5 6" xfId="3672"/>
    <cellStyle name="40 % - Markeringsfarve3 2 5 6 2" xfId="8657"/>
    <cellStyle name="40 % - Markeringsfarve3 2 5 6 2 2" xfId="19464"/>
    <cellStyle name="40 % - Markeringsfarve3 2 5 6 2 3" xfId="30821"/>
    <cellStyle name="40 % - Markeringsfarve3 2 5 6 3" xfId="14479"/>
    <cellStyle name="40 % - Markeringsfarve3 2 5 6 4" xfId="25837"/>
    <cellStyle name="40 % - Markeringsfarve3 2 5 7" xfId="5333"/>
    <cellStyle name="40 % - Markeringsfarve3 2 5 7 2" xfId="16142"/>
    <cellStyle name="40 % - Markeringsfarve3 2 5 7 3" xfId="27499"/>
    <cellStyle name="40 % - Markeringsfarve3 2 5 8" xfId="10318"/>
    <cellStyle name="40 % - Markeringsfarve3 2 5 8 2" xfId="21125"/>
    <cellStyle name="40 % - Markeringsfarve3 2 5 8 3" xfId="32482"/>
    <cellStyle name="40 % - Markeringsfarve3 2 5 9" xfId="11152"/>
    <cellStyle name="40 % - Markeringsfarve3 2 6" xfId="358"/>
    <cellStyle name="40 % - Markeringsfarve3 2 6 10" xfId="22015"/>
    <cellStyle name="40 % - Markeringsfarve3 2 6 11" xfId="22568"/>
    <cellStyle name="40 % - Markeringsfarve3 2 6 12" xfId="33371"/>
    <cellStyle name="40 % - Markeringsfarve3 2 6 13" xfId="33646"/>
    <cellStyle name="40 % - Markeringsfarve3 2 6 14" xfId="33917"/>
    <cellStyle name="40 % - Markeringsfarve3 2 6 2" xfId="675"/>
    <cellStyle name="40 % - Markeringsfarve3 2 6 2 2" xfId="1507"/>
    <cellStyle name="40 % - Markeringsfarve3 2 6 2 2 2" xfId="3172"/>
    <cellStyle name="40 % - Markeringsfarve3 2 6 2 2 2 2" xfId="8160"/>
    <cellStyle name="40 % - Markeringsfarve3 2 6 2 2 2 2 2" xfId="18967"/>
    <cellStyle name="40 % - Markeringsfarve3 2 6 2 2 2 2 3" xfId="30324"/>
    <cellStyle name="40 % - Markeringsfarve3 2 6 2 2 2 3" xfId="13982"/>
    <cellStyle name="40 % - Markeringsfarve3 2 6 2 2 2 4" xfId="25340"/>
    <cellStyle name="40 % - Markeringsfarve3 2 6 2 2 3" xfId="4836"/>
    <cellStyle name="40 % - Markeringsfarve3 2 6 2 2 3 2" xfId="9821"/>
    <cellStyle name="40 % - Markeringsfarve3 2 6 2 2 3 2 2" xfId="20628"/>
    <cellStyle name="40 % - Markeringsfarve3 2 6 2 2 3 2 3" xfId="31985"/>
    <cellStyle name="40 % - Markeringsfarve3 2 6 2 2 3 3" xfId="15643"/>
    <cellStyle name="40 % - Markeringsfarve3 2 6 2 2 3 4" xfId="27001"/>
    <cellStyle name="40 % - Markeringsfarve3 2 6 2 2 4" xfId="6498"/>
    <cellStyle name="40 % - Markeringsfarve3 2 6 2 2 4 2" xfId="17306"/>
    <cellStyle name="40 % - Markeringsfarve3 2 6 2 2 4 3" xfId="28663"/>
    <cellStyle name="40 % - Markeringsfarve3 2 6 2 2 5" xfId="12321"/>
    <cellStyle name="40 % - Markeringsfarve3 2 6 2 2 6" xfId="23679"/>
    <cellStyle name="40 % - Markeringsfarve3 2 6 2 3" xfId="2341"/>
    <cellStyle name="40 % - Markeringsfarve3 2 6 2 3 2" xfId="7329"/>
    <cellStyle name="40 % - Markeringsfarve3 2 6 2 3 2 2" xfId="18136"/>
    <cellStyle name="40 % - Markeringsfarve3 2 6 2 3 2 3" xfId="29493"/>
    <cellStyle name="40 % - Markeringsfarve3 2 6 2 3 3" xfId="13151"/>
    <cellStyle name="40 % - Markeringsfarve3 2 6 2 3 4" xfId="24509"/>
    <cellStyle name="40 % - Markeringsfarve3 2 6 2 4" xfId="4005"/>
    <cellStyle name="40 % - Markeringsfarve3 2 6 2 4 2" xfId="8990"/>
    <cellStyle name="40 % - Markeringsfarve3 2 6 2 4 2 2" xfId="19797"/>
    <cellStyle name="40 % - Markeringsfarve3 2 6 2 4 2 3" xfId="31154"/>
    <cellStyle name="40 % - Markeringsfarve3 2 6 2 4 3" xfId="14812"/>
    <cellStyle name="40 % - Markeringsfarve3 2 6 2 4 4" xfId="26170"/>
    <cellStyle name="40 % - Markeringsfarve3 2 6 2 5" xfId="5667"/>
    <cellStyle name="40 % - Markeringsfarve3 2 6 2 5 2" xfId="16475"/>
    <cellStyle name="40 % - Markeringsfarve3 2 6 2 5 3" xfId="27832"/>
    <cellStyle name="40 % - Markeringsfarve3 2 6 2 6" xfId="10654"/>
    <cellStyle name="40 % - Markeringsfarve3 2 6 2 6 2" xfId="21461"/>
    <cellStyle name="40 % - Markeringsfarve3 2 6 2 6 3" xfId="32818"/>
    <cellStyle name="40 % - Markeringsfarve3 2 6 2 7" xfId="11488"/>
    <cellStyle name="40 % - Markeringsfarve3 2 6 2 8" xfId="22294"/>
    <cellStyle name="40 % - Markeringsfarve3 2 6 2 9" xfId="22848"/>
    <cellStyle name="40 % - Markeringsfarve3 2 6 3" xfId="949"/>
    <cellStyle name="40 % - Markeringsfarve3 2 6 3 2" xfId="1781"/>
    <cellStyle name="40 % - Markeringsfarve3 2 6 3 2 2" xfId="3446"/>
    <cellStyle name="40 % - Markeringsfarve3 2 6 3 2 2 2" xfId="8434"/>
    <cellStyle name="40 % - Markeringsfarve3 2 6 3 2 2 2 2" xfId="19241"/>
    <cellStyle name="40 % - Markeringsfarve3 2 6 3 2 2 2 3" xfId="30598"/>
    <cellStyle name="40 % - Markeringsfarve3 2 6 3 2 2 3" xfId="14256"/>
    <cellStyle name="40 % - Markeringsfarve3 2 6 3 2 2 4" xfId="25614"/>
    <cellStyle name="40 % - Markeringsfarve3 2 6 3 2 3" xfId="5110"/>
    <cellStyle name="40 % - Markeringsfarve3 2 6 3 2 3 2" xfId="10095"/>
    <cellStyle name="40 % - Markeringsfarve3 2 6 3 2 3 2 2" xfId="20902"/>
    <cellStyle name="40 % - Markeringsfarve3 2 6 3 2 3 2 3" xfId="32259"/>
    <cellStyle name="40 % - Markeringsfarve3 2 6 3 2 3 3" xfId="15917"/>
    <cellStyle name="40 % - Markeringsfarve3 2 6 3 2 3 4" xfId="27275"/>
    <cellStyle name="40 % - Markeringsfarve3 2 6 3 2 4" xfId="6772"/>
    <cellStyle name="40 % - Markeringsfarve3 2 6 3 2 4 2" xfId="17580"/>
    <cellStyle name="40 % - Markeringsfarve3 2 6 3 2 4 3" xfId="28937"/>
    <cellStyle name="40 % - Markeringsfarve3 2 6 3 2 5" xfId="12595"/>
    <cellStyle name="40 % - Markeringsfarve3 2 6 3 2 6" xfId="23953"/>
    <cellStyle name="40 % - Markeringsfarve3 2 6 3 3" xfId="2615"/>
    <cellStyle name="40 % - Markeringsfarve3 2 6 3 3 2" xfId="7603"/>
    <cellStyle name="40 % - Markeringsfarve3 2 6 3 3 2 2" xfId="18410"/>
    <cellStyle name="40 % - Markeringsfarve3 2 6 3 3 2 3" xfId="29767"/>
    <cellStyle name="40 % - Markeringsfarve3 2 6 3 3 3" xfId="13425"/>
    <cellStyle name="40 % - Markeringsfarve3 2 6 3 3 4" xfId="24783"/>
    <cellStyle name="40 % - Markeringsfarve3 2 6 3 4" xfId="4279"/>
    <cellStyle name="40 % - Markeringsfarve3 2 6 3 4 2" xfId="9264"/>
    <cellStyle name="40 % - Markeringsfarve3 2 6 3 4 2 2" xfId="20071"/>
    <cellStyle name="40 % - Markeringsfarve3 2 6 3 4 2 3" xfId="31428"/>
    <cellStyle name="40 % - Markeringsfarve3 2 6 3 4 3" xfId="15086"/>
    <cellStyle name="40 % - Markeringsfarve3 2 6 3 4 4" xfId="26444"/>
    <cellStyle name="40 % - Markeringsfarve3 2 6 3 5" xfId="5941"/>
    <cellStyle name="40 % - Markeringsfarve3 2 6 3 5 2" xfId="16749"/>
    <cellStyle name="40 % - Markeringsfarve3 2 6 3 5 3" xfId="28106"/>
    <cellStyle name="40 % - Markeringsfarve3 2 6 3 6" xfId="10928"/>
    <cellStyle name="40 % - Markeringsfarve3 2 6 3 6 2" xfId="21735"/>
    <cellStyle name="40 % - Markeringsfarve3 2 6 3 6 3" xfId="33092"/>
    <cellStyle name="40 % - Markeringsfarve3 2 6 3 7" xfId="11763"/>
    <cellStyle name="40 % - Markeringsfarve3 2 6 3 8" xfId="23122"/>
    <cellStyle name="40 % - Markeringsfarve3 2 6 4" xfId="1228"/>
    <cellStyle name="40 % - Markeringsfarve3 2 6 4 2" xfId="2893"/>
    <cellStyle name="40 % - Markeringsfarve3 2 6 4 2 2" xfId="7881"/>
    <cellStyle name="40 % - Markeringsfarve3 2 6 4 2 2 2" xfId="18688"/>
    <cellStyle name="40 % - Markeringsfarve3 2 6 4 2 2 3" xfId="30045"/>
    <cellStyle name="40 % - Markeringsfarve3 2 6 4 2 3" xfId="13703"/>
    <cellStyle name="40 % - Markeringsfarve3 2 6 4 2 4" xfId="25061"/>
    <cellStyle name="40 % - Markeringsfarve3 2 6 4 3" xfId="4557"/>
    <cellStyle name="40 % - Markeringsfarve3 2 6 4 3 2" xfId="9542"/>
    <cellStyle name="40 % - Markeringsfarve3 2 6 4 3 2 2" xfId="20349"/>
    <cellStyle name="40 % - Markeringsfarve3 2 6 4 3 2 3" xfId="31706"/>
    <cellStyle name="40 % - Markeringsfarve3 2 6 4 3 3" xfId="15364"/>
    <cellStyle name="40 % - Markeringsfarve3 2 6 4 3 4" xfId="26722"/>
    <cellStyle name="40 % - Markeringsfarve3 2 6 4 4" xfId="6219"/>
    <cellStyle name="40 % - Markeringsfarve3 2 6 4 4 2" xfId="17027"/>
    <cellStyle name="40 % - Markeringsfarve3 2 6 4 4 3" xfId="28384"/>
    <cellStyle name="40 % - Markeringsfarve3 2 6 4 5" xfId="12042"/>
    <cellStyle name="40 % - Markeringsfarve3 2 6 4 6" xfId="23400"/>
    <cellStyle name="40 % - Markeringsfarve3 2 6 5" xfId="2063"/>
    <cellStyle name="40 % - Markeringsfarve3 2 6 5 2" xfId="7051"/>
    <cellStyle name="40 % - Markeringsfarve3 2 6 5 2 2" xfId="17859"/>
    <cellStyle name="40 % - Markeringsfarve3 2 6 5 2 3" xfId="29216"/>
    <cellStyle name="40 % - Markeringsfarve3 2 6 5 3" xfId="12874"/>
    <cellStyle name="40 % - Markeringsfarve3 2 6 5 4" xfId="24232"/>
    <cellStyle name="40 % - Markeringsfarve3 2 6 6" xfId="3728"/>
    <cellStyle name="40 % - Markeringsfarve3 2 6 6 2" xfId="8713"/>
    <cellStyle name="40 % - Markeringsfarve3 2 6 6 2 2" xfId="19520"/>
    <cellStyle name="40 % - Markeringsfarve3 2 6 6 2 3" xfId="30877"/>
    <cellStyle name="40 % - Markeringsfarve3 2 6 6 3" xfId="14535"/>
    <cellStyle name="40 % - Markeringsfarve3 2 6 6 4" xfId="25893"/>
    <cellStyle name="40 % - Markeringsfarve3 2 6 7" xfId="5389"/>
    <cellStyle name="40 % - Markeringsfarve3 2 6 7 2" xfId="16198"/>
    <cellStyle name="40 % - Markeringsfarve3 2 6 7 3" xfId="27555"/>
    <cellStyle name="40 % - Markeringsfarve3 2 6 8" xfId="10374"/>
    <cellStyle name="40 % - Markeringsfarve3 2 6 8 2" xfId="21181"/>
    <cellStyle name="40 % - Markeringsfarve3 2 6 8 3" xfId="32538"/>
    <cellStyle name="40 % - Markeringsfarve3 2 6 9" xfId="11208"/>
    <cellStyle name="40 % - Markeringsfarve3 2 7" xfId="459"/>
    <cellStyle name="40 % - Markeringsfarve3 2 7 2" xfId="1289"/>
    <cellStyle name="40 % - Markeringsfarve3 2 7 2 2" xfId="2954"/>
    <cellStyle name="40 % - Markeringsfarve3 2 7 2 2 2" xfId="7942"/>
    <cellStyle name="40 % - Markeringsfarve3 2 7 2 2 2 2" xfId="18749"/>
    <cellStyle name="40 % - Markeringsfarve3 2 7 2 2 2 3" xfId="30106"/>
    <cellStyle name="40 % - Markeringsfarve3 2 7 2 2 3" xfId="13764"/>
    <cellStyle name="40 % - Markeringsfarve3 2 7 2 2 4" xfId="25122"/>
    <cellStyle name="40 % - Markeringsfarve3 2 7 2 3" xfId="4618"/>
    <cellStyle name="40 % - Markeringsfarve3 2 7 2 3 2" xfId="9603"/>
    <cellStyle name="40 % - Markeringsfarve3 2 7 2 3 2 2" xfId="20410"/>
    <cellStyle name="40 % - Markeringsfarve3 2 7 2 3 2 3" xfId="31767"/>
    <cellStyle name="40 % - Markeringsfarve3 2 7 2 3 3" xfId="15425"/>
    <cellStyle name="40 % - Markeringsfarve3 2 7 2 3 4" xfId="26783"/>
    <cellStyle name="40 % - Markeringsfarve3 2 7 2 4" xfId="6280"/>
    <cellStyle name="40 % - Markeringsfarve3 2 7 2 4 2" xfId="17088"/>
    <cellStyle name="40 % - Markeringsfarve3 2 7 2 4 3" xfId="28445"/>
    <cellStyle name="40 % - Markeringsfarve3 2 7 2 5" xfId="12103"/>
    <cellStyle name="40 % - Markeringsfarve3 2 7 2 6" xfId="23461"/>
    <cellStyle name="40 % - Markeringsfarve3 2 7 3" xfId="2125"/>
    <cellStyle name="40 % - Markeringsfarve3 2 7 3 2" xfId="7113"/>
    <cellStyle name="40 % - Markeringsfarve3 2 7 3 2 2" xfId="17920"/>
    <cellStyle name="40 % - Markeringsfarve3 2 7 3 2 3" xfId="29277"/>
    <cellStyle name="40 % - Markeringsfarve3 2 7 3 3" xfId="12935"/>
    <cellStyle name="40 % - Markeringsfarve3 2 7 3 4" xfId="24293"/>
    <cellStyle name="40 % - Markeringsfarve3 2 7 4" xfId="3789"/>
    <cellStyle name="40 % - Markeringsfarve3 2 7 4 2" xfId="8774"/>
    <cellStyle name="40 % - Markeringsfarve3 2 7 4 2 2" xfId="19581"/>
    <cellStyle name="40 % - Markeringsfarve3 2 7 4 2 3" xfId="30938"/>
    <cellStyle name="40 % - Markeringsfarve3 2 7 4 3" xfId="14596"/>
    <cellStyle name="40 % - Markeringsfarve3 2 7 4 4" xfId="25954"/>
    <cellStyle name="40 % - Markeringsfarve3 2 7 5" xfId="5451"/>
    <cellStyle name="40 % - Markeringsfarve3 2 7 5 2" xfId="16259"/>
    <cellStyle name="40 % - Markeringsfarve3 2 7 5 3" xfId="27616"/>
    <cellStyle name="40 % - Markeringsfarve3 2 7 6" xfId="10429"/>
    <cellStyle name="40 % - Markeringsfarve3 2 7 6 2" xfId="21236"/>
    <cellStyle name="40 % - Markeringsfarve3 2 7 6 3" xfId="32593"/>
    <cellStyle name="40 % - Markeringsfarve3 2 7 7" xfId="11270"/>
    <cellStyle name="40 % - Markeringsfarve3 2 7 8" xfId="22076"/>
    <cellStyle name="40 % - Markeringsfarve3 2 7 9" xfId="22630"/>
    <cellStyle name="40 % - Markeringsfarve3 2 8" xfId="731"/>
    <cellStyle name="40 % - Markeringsfarve3 2 8 2" xfId="1563"/>
    <cellStyle name="40 % - Markeringsfarve3 2 8 2 2" xfId="3228"/>
    <cellStyle name="40 % - Markeringsfarve3 2 8 2 2 2" xfId="8216"/>
    <cellStyle name="40 % - Markeringsfarve3 2 8 2 2 2 2" xfId="19023"/>
    <cellStyle name="40 % - Markeringsfarve3 2 8 2 2 2 3" xfId="30380"/>
    <cellStyle name="40 % - Markeringsfarve3 2 8 2 2 3" xfId="14038"/>
    <cellStyle name="40 % - Markeringsfarve3 2 8 2 2 4" xfId="25396"/>
    <cellStyle name="40 % - Markeringsfarve3 2 8 2 3" xfId="4892"/>
    <cellStyle name="40 % - Markeringsfarve3 2 8 2 3 2" xfId="9877"/>
    <cellStyle name="40 % - Markeringsfarve3 2 8 2 3 2 2" xfId="20684"/>
    <cellStyle name="40 % - Markeringsfarve3 2 8 2 3 2 3" xfId="32041"/>
    <cellStyle name="40 % - Markeringsfarve3 2 8 2 3 3" xfId="15699"/>
    <cellStyle name="40 % - Markeringsfarve3 2 8 2 3 4" xfId="27057"/>
    <cellStyle name="40 % - Markeringsfarve3 2 8 2 4" xfId="6554"/>
    <cellStyle name="40 % - Markeringsfarve3 2 8 2 4 2" xfId="17362"/>
    <cellStyle name="40 % - Markeringsfarve3 2 8 2 4 3" xfId="28719"/>
    <cellStyle name="40 % - Markeringsfarve3 2 8 2 5" xfId="12377"/>
    <cellStyle name="40 % - Markeringsfarve3 2 8 2 6" xfId="23735"/>
    <cellStyle name="40 % - Markeringsfarve3 2 8 3" xfId="2397"/>
    <cellStyle name="40 % - Markeringsfarve3 2 8 3 2" xfId="7385"/>
    <cellStyle name="40 % - Markeringsfarve3 2 8 3 2 2" xfId="18192"/>
    <cellStyle name="40 % - Markeringsfarve3 2 8 3 2 3" xfId="29549"/>
    <cellStyle name="40 % - Markeringsfarve3 2 8 3 3" xfId="13207"/>
    <cellStyle name="40 % - Markeringsfarve3 2 8 3 4" xfId="24565"/>
    <cellStyle name="40 % - Markeringsfarve3 2 8 4" xfId="4061"/>
    <cellStyle name="40 % - Markeringsfarve3 2 8 4 2" xfId="9046"/>
    <cellStyle name="40 % - Markeringsfarve3 2 8 4 2 2" xfId="19853"/>
    <cellStyle name="40 % - Markeringsfarve3 2 8 4 2 3" xfId="31210"/>
    <cellStyle name="40 % - Markeringsfarve3 2 8 4 3" xfId="14868"/>
    <cellStyle name="40 % - Markeringsfarve3 2 8 4 4" xfId="26226"/>
    <cellStyle name="40 % - Markeringsfarve3 2 8 5" xfId="5723"/>
    <cellStyle name="40 % - Markeringsfarve3 2 8 5 2" xfId="16531"/>
    <cellStyle name="40 % - Markeringsfarve3 2 8 5 3" xfId="27888"/>
    <cellStyle name="40 % - Markeringsfarve3 2 8 6" xfId="10710"/>
    <cellStyle name="40 % - Markeringsfarve3 2 8 6 2" xfId="21517"/>
    <cellStyle name="40 % - Markeringsfarve3 2 8 6 3" xfId="32874"/>
    <cellStyle name="40 % - Markeringsfarve3 2 8 7" xfId="11545"/>
    <cellStyle name="40 % - Markeringsfarve3 2 8 8" xfId="22904"/>
    <cellStyle name="40 % - Markeringsfarve3 2 9" xfId="1010"/>
    <cellStyle name="40 % - Markeringsfarve3 2 9 2" xfId="2675"/>
    <cellStyle name="40 % - Markeringsfarve3 2 9 2 2" xfId="7663"/>
    <cellStyle name="40 % - Markeringsfarve3 2 9 2 2 2" xfId="18470"/>
    <cellStyle name="40 % - Markeringsfarve3 2 9 2 2 3" xfId="29827"/>
    <cellStyle name="40 % - Markeringsfarve3 2 9 2 3" xfId="13485"/>
    <cellStyle name="40 % - Markeringsfarve3 2 9 2 4" xfId="24843"/>
    <cellStyle name="40 % - Markeringsfarve3 2 9 3" xfId="4339"/>
    <cellStyle name="40 % - Markeringsfarve3 2 9 3 2" xfId="9324"/>
    <cellStyle name="40 % - Markeringsfarve3 2 9 3 2 2" xfId="20131"/>
    <cellStyle name="40 % - Markeringsfarve3 2 9 3 2 3" xfId="31488"/>
    <cellStyle name="40 % - Markeringsfarve3 2 9 3 3" xfId="15146"/>
    <cellStyle name="40 % - Markeringsfarve3 2 9 3 4" xfId="26504"/>
    <cellStyle name="40 % - Markeringsfarve3 2 9 4" xfId="6001"/>
    <cellStyle name="40 % - Markeringsfarve3 2 9 4 2" xfId="16809"/>
    <cellStyle name="40 % - Markeringsfarve3 2 9 4 3" xfId="28166"/>
    <cellStyle name="40 % - Markeringsfarve3 2 9 5" xfId="11824"/>
    <cellStyle name="40 % - Markeringsfarve3 2 9 6" xfId="23182"/>
    <cellStyle name="40 % - Markeringsfarve3 3" xfId="182"/>
    <cellStyle name="40 % - Markeringsfarve3 3 10" xfId="21840"/>
    <cellStyle name="40 % - Markeringsfarve3 3 11" xfId="22393"/>
    <cellStyle name="40 % - Markeringsfarve3 3 12" xfId="33196"/>
    <cellStyle name="40 % - Markeringsfarve3 3 13" xfId="33469"/>
    <cellStyle name="40 % - Markeringsfarve3 3 14" xfId="33740"/>
    <cellStyle name="40 % - Markeringsfarve3 3 2" xfId="502"/>
    <cellStyle name="40 % - Markeringsfarve3 3 2 2" xfId="1332"/>
    <cellStyle name="40 % - Markeringsfarve3 3 2 2 2" xfId="2997"/>
    <cellStyle name="40 % - Markeringsfarve3 3 2 2 2 2" xfId="7985"/>
    <cellStyle name="40 % - Markeringsfarve3 3 2 2 2 2 2" xfId="18792"/>
    <cellStyle name="40 % - Markeringsfarve3 3 2 2 2 2 3" xfId="30149"/>
    <cellStyle name="40 % - Markeringsfarve3 3 2 2 2 3" xfId="13807"/>
    <cellStyle name="40 % - Markeringsfarve3 3 2 2 2 4" xfId="25165"/>
    <cellStyle name="40 % - Markeringsfarve3 3 2 2 3" xfId="4661"/>
    <cellStyle name="40 % - Markeringsfarve3 3 2 2 3 2" xfId="9646"/>
    <cellStyle name="40 % - Markeringsfarve3 3 2 2 3 2 2" xfId="20453"/>
    <cellStyle name="40 % - Markeringsfarve3 3 2 2 3 2 3" xfId="31810"/>
    <cellStyle name="40 % - Markeringsfarve3 3 2 2 3 3" xfId="15468"/>
    <cellStyle name="40 % - Markeringsfarve3 3 2 2 3 4" xfId="26826"/>
    <cellStyle name="40 % - Markeringsfarve3 3 2 2 4" xfId="6323"/>
    <cellStyle name="40 % - Markeringsfarve3 3 2 2 4 2" xfId="17131"/>
    <cellStyle name="40 % - Markeringsfarve3 3 2 2 4 3" xfId="28488"/>
    <cellStyle name="40 % - Markeringsfarve3 3 2 2 5" xfId="12146"/>
    <cellStyle name="40 % - Markeringsfarve3 3 2 2 6" xfId="23504"/>
    <cellStyle name="40 % - Markeringsfarve3 3 2 3" xfId="2168"/>
    <cellStyle name="40 % - Markeringsfarve3 3 2 3 2" xfId="7156"/>
    <cellStyle name="40 % - Markeringsfarve3 3 2 3 2 2" xfId="17963"/>
    <cellStyle name="40 % - Markeringsfarve3 3 2 3 2 3" xfId="29320"/>
    <cellStyle name="40 % - Markeringsfarve3 3 2 3 3" xfId="12978"/>
    <cellStyle name="40 % - Markeringsfarve3 3 2 3 4" xfId="24336"/>
    <cellStyle name="40 % - Markeringsfarve3 3 2 4" xfId="3832"/>
    <cellStyle name="40 % - Markeringsfarve3 3 2 4 2" xfId="8817"/>
    <cellStyle name="40 % - Markeringsfarve3 3 2 4 2 2" xfId="19624"/>
    <cellStyle name="40 % - Markeringsfarve3 3 2 4 2 3" xfId="30981"/>
    <cellStyle name="40 % - Markeringsfarve3 3 2 4 3" xfId="14639"/>
    <cellStyle name="40 % - Markeringsfarve3 3 2 4 4" xfId="25997"/>
    <cellStyle name="40 % - Markeringsfarve3 3 2 5" xfId="5494"/>
    <cellStyle name="40 % - Markeringsfarve3 3 2 5 2" xfId="16302"/>
    <cellStyle name="40 % - Markeringsfarve3 3 2 5 3" xfId="27659"/>
    <cellStyle name="40 % - Markeringsfarve3 3 2 6" xfId="10479"/>
    <cellStyle name="40 % - Markeringsfarve3 3 2 6 2" xfId="21286"/>
    <cellStyle name="40 % - Markeringsfarve3 3 2 6 3" xfId="32643"/>
    <cellStyle name="40 % - Markeringsfarve3 3 2 7" xfId="11313"/>
    <cellStyle name="40 % - Markeringsfarve3 3 2 8" xfId="22119"/>
    <cellStyle name="40 % - Markeringsfarve3 3 2 9" xfId="22673"/>
    <cellStyle name="40 % - Markeringsfarve3 3 3" xfId="774"/>
    <cellStyle name="40 % - Markeringsfarve3 3 3 2" xfId="1606"/>
    <cellStyle name="40 % - Markeringsfarve3 3 3 2 2" xfId="3271"/>
    <cellStyle name="40 % - Markeringsfarve3 3 3 2 2 2" xfId="8259"/>
    <cellStyle name="40 % - Markeringsfarve3 3 3 2 2 2 2" xfId="19066"/>
    <cellStyle name="40 % - Markeringsfarve3 3 3 2 2 2 3" xfId="30423"/>
    <cellStyle name="40 % - Markeringsfarve3 3 3 2 2 3" xfId="14081"/>
    <cellStyle name="40 % - Markeringsfarve3 3 3 2 2 4" xfId="25439"/>
    <cellStyle name="40 % - Markeringsfarve3 3 3 2 3" xfId="4935"/>
    <cellStyle name="40 % - Markeringsfarve3 3 3 2 3 2" xfId="9920"/>
    <cellStyle name="40 % - Markeringsfarve3 3 3 2 3 2 2" xfId="20727"/>
    <cellStyle name="40 % - Markeringsfarve3 3 3 2 3 2 3" xfId="32084"/>
    <cellStyle name="40 % - Markeringsfarve3 3 3 2 3 3" xfId="15742"/>
    <cellStyle name="40 % - Markeringsfarve3 3 3 2 3 4" xfId="27100"/>
    <cellStyle name="40 % - Markeringsfarve3 3 3 2 4" xfId="6597"/>
    <cellStyle name="40 % - Markeringsfarve3 3 3 2 4 2" xfId="17405"/>
    <cellStyle name="40 % - Markeringsfarve3 3 3 2 4 3" xfId="28762"/>
    <cellStyle name="40 % - Markeringsfarve3 3 3 2 5" xfId="12420"/>
    <cellStyle name="40 % - Markeringsfarve3 3 3 2 6" xfId="23778"/>
    <cellStyle name="40 % - Markeringsfarve3 3 3 3" xfId="2440"/>
    <cellStyle name="40 % - Markeringsfarve3 3 3 3 2" xfId="7428"/>
    <cellStyle name="40 % - Markeringsfarve3 3 3 3 2 2" xfId="18235"/>
    <cellStyle name="40 % - Markeringsfarve3 3 3 3 2 3" xfId="29592"/>
    <cellStyle name="40 % - Markeringsfarve3 3 3 3 3" xfId="13250"/>
    <cellStyle name="40 % - Markeringsfarve3 3 3 3 4" xfId="24608"/>
    <cellStyle name="40 % - Markeringsfarve3 3 3 4" xfId="4104"/>
    <cellStyle name="40 % - Markeringsfarve3 3 3 4 2" xfId="9089"/>
    <cellStyle name="40 % - Markeringsfarve3 3 3 4 2 2" xfId="19896"/>
    <cellStyle name="40 % - Markeringsfarve3 3 3 4 2 3" xfId="31253"/>
    <cellStyle name="40 % - Markeringsfarve3 3 3 4 3" xfId="14911"/>
    <cellStyle name="40 % - Markeringsfarve3 3 3 4 4" xfId="26269"/>
    <cellStyle name="40 % - Markeringsfarve3 3 3 5" xfId="5766"/>
    <cellStyle name="40 % - Markeringsfarve3 3 3 5 2" xfId="16574"/>
    <cellStyle name="40 % - Markeringsfarve3 3 3 5 3" xfId="27931"/>
    <cellStyle name="40 % - Markeringsfarve3 3 3 6" xfId="10753"/>
    <cellStyle name="40 % - Markeringsfarve3 3 3 6 2" xfId="21560"/>
    <cellStyle name="40 % - Markeringsfarve3 3 3 6 3" xfId="32917"/>
    <cellStyle name="40 % - Markeringsfarve3 3 3 7" xfId="11588"/>
    <cellStyle name="40 % - Markeringsfarve3 3 3 8" xfId="22947"/>
    <cellStyle name="40 % - Markeringsfarve3 3 4" xfId="1053"/>
    <cellStyle name="40 % - Markeringsfarve3 3 4 2" xfId="2718"/>
    <cellStyle name="40 % - Markeringsfarve3 3 4 2 2" xfId="7706"/>
    <cellStyle name="40 % - Markeringsfarve3 3 4 2 2 2" xfId="18513"/>
    <cellStyle name="40 % - Markeringsfarve3 3 4 2 2 3" xfId="29870"/>
    <cellStyle name="40 % - Markeringsfarve3 3 4 2 3" xfId="13528"/>
    <cellStyle name="40 % - Markeringsfarve3 3 4 2 4" xfId="24886"/>
    <cellStyle name="40 % - Markeringsfarve3 3 4 3" xfId="4382"/>
    <cellStyle name="40 % - Markeringsfarve3 3 4 3 2" xfId="9367"/>
    <cellStyle name="40 % - Markeringsfarve3 3 4 3 2 2" xfId="20174"/>
    <cellStyle name="40 % - Markeringsfarve3 3 4 3 2 3" xfId="31531"/>
    <cellStyle name="40 % - Markeringsfarve3 3 4 3 3" xfId="15189"/>
    <cellStyle name="40 % - Markeringsfarve3 3 4 3 4" xfId="26547"/>
    <cellStyle name="40 % - Markeringsfarve3 3 4 4" xfId="6044"/>
    <cellStyle name="40 % - Markeringsfarve3 3 4 4 2" xfId="16852"/>
    <cellStyle name="40 % - Markeringsfarve3 3 4 4 3" xfId="28209"/>
    <cellStyle name="40 % - Markeringsfarve3 3 4 5" xfId="11867"/>
    <cellStyle name="40 % - Markeringsfarve3 3 4 6" xfId="23225"/>
    <cellStyle name="40 % - Markeringsfarve3 3 5" xfId="1888"/>
    <cellStyle name="40 % - Markeringsfarve3 3 5 2" xfId="6876"/>
    <cellStyle name="40 % - Markeringsfarve3 3 5 2 2" xfId="17684"/>
    <cellStyle name="40 % - Markeringsfarve3 3 5 2 3" xfId="29041"/>
    <cellStyle name="40 % - Markeringsfarve3 3 5 3" xfId="12699"/>
    <cellStyle name="40 % - Markeringsfarve3 3 5 4" xfId="24057"/>
    <cellStyle name="40 % - Markeringsfarve3 3 6" xfId="3553"/>
    <cellStyle name="40 % - Markeringsfarve3 3 6 2" xfId="8538"/>
    <cellStyle name="40 % - Markeringsfarve3 3 6 2 2" xfId="19345"/>
    <cellStyle name="40 % - Markeringsfarve3 3 6 2 3" xfId="30702"/>
    <cellStyle name="40 % - Markeringsfarve3 3 6 3" xfId="14360"/>
    <cellStyle name="40 % - Markeringsfarve3 3 6 4" xfId="25718"/>
    <cellStyle name="40 % - Markeringsfarve3 3 7" xfId="5214"/>
    <cellStyle name="40 % - Markeringsfarve3 3 7 2" xfId="16023"/>
    <cellStyle name="40 % - Markeringsfarve3 3 7 3" xfId="27380"/>
    <cellStyle name="40 % - Markeringsfarve3 3 8" xfId="10199"/>
    <cellStyle name="40 % - Markeringsfarve3 3 8 2" xfId="21006"/>
    <cellStyle name="40 % - Markeringsfarve3 3 8 3" xfId="32363"/>
    <cellStyle name="40 % - Markeringsfarve3 3 9" xfId="11033"/>
    <cellStyle name="40 % - Markeringsfarve3 4" xfId="235"/>
    <cellStyle name="40 % - Markeringsfarve3 4 10" xfId="21893"/>
    <cellStyle name="40 % - Markeringsfarve3 4 11" xfId="22446"/>
    <cellStyle name="40 % - Markeringsfarve3 4 12" xfId="33249"/>
    <cellStyle name="40 % - Markeringsfarve3 4 13" xfId="33524"/>
    <cellStyle name="40 % - Markeringsfarve3 4 14" xfId="33795"/>
    <cellStyle name="40 % - Markeringsfarve3 4 2" xfId="553"/>
    <cellStyle name="40 % - Markeringsfarve3 4 2 2" xfId="1385"/>
    <cellStyle name="40 % - Markeringsfarve3 4 2 2 2" xfId="3050"/>
    <cellStyle name="40 % - Markeringsfarve3 4 2 2 2 2" xfId="8038"/>
    <cellStyle name="40 % - Markeringsfarve3 4 2 2 2 2 2" xfId="18845"/>
    <cellStyle name="40 % - Markeringsfarve3 4 2 2 2 2 3" xfId="30202"/>
    <cellStyle name="40 % - Markeringsfarve3 4 2 2 2 3" xfId="13860"/>
    <cellStyle name="40 % - Markeringsfarve3 4 2 2 2 4" xfId="25218"/>
    <cellStyle name="40 % - Markeringsfarve3 4 2 2 3" xfId="4714"/>
    <cellStyle name="40 % - Markeringsfarve3 4 2 2 3 2" xfId="9699"/>
    <cellStyle name="40 % - Markeringsfarve3 4 2 2 3 2 2" xfId="20506"/>
    <cellStyle name="40 % - Markeringsfarve3 4 2 2 3 2 3" xfId="31863"/>
    <cellStyle name="40 % - Markeringsfarve3 4 2 2 3 3" xfId="15521"/>
    <cellStyle name="40 % - Markeringsfarve3 4 2 2 3 4" xfId="26879"/>
    <cellStyle name="40 % - Markeringsfarve3 4 2 2 4" xfId="6376"/>
    <cellStyle name="40 % - Markeringsfarve3 4 2 2 4 2" xfId="17184"/>
    <cellStyle name="40 % - Markeringsfarve3 4 2 2 4 3" xfId="28541"/>
    <cellStyle name="40 % - Markeringsfarve3 4 2 2 5" xfId="12199"/>
    <cellStyle name="40 % - Markeringsfarve3 4 2 2 6" xfId="23557"/>
    <cellStyle name="40 % - Markeringsfarve3 4 2 3" xfId="2219"/>
    <cellStyle name="40 % - Markeringsfarve3 4 2 3 2" xfId="7207"/>
    <cellStyle name="40 % - Markeringsfarve3 4 2 3 2 2" xfId="18014"/>
    <cellStyle name="40 % - Markeringsfarve3 4 2 3 2 3" xfId="29371"/>
    <cellStyle name="40 % - Markeringsfarve3 4 2 3 3" xfId="13029"/>
    <cellStyle name="40 % - Markeringsfarve3 4 2 3 4" xfId="24387"/>
    <cellStyle name="40 % - Markeringsfarve3 4 2 4" xfId="3883"/>
    <cellStyle name="40 % - Markeringsfarve3 4 2 4 2" xfId="8868"/>
    <cellStyle name="40 % - Markeringsfarve3 4 2 4 2 2" xfId="19675"/>
    <cellStyle name="40 % - Markeringsfarve3 4 2 4 2 3" xfId="31032"/>
    <cellStyle name="40 % - Markeringsfarve3 4 2 4 3" xfId="14690"/>
    <cellStyle name="40 % - Markeringsfarve3 4 2 4 4" xfId="26048"/>
    <cellStyle name="40 % - Markeringsfarve3 4 2 5" xfId="5545"/>
    <cellStyle name="40 % - Markeringsfarve3 4 2 5 2" xfId="16353"/>
    <cellStyle name="40 % - Markeringsfarve3 4 2 5 3" xfId="27710"/>
    <cellStyle name="40 % - Markeringsfarve3 4 2 6" xfId="10532"/>
    <cellStyle name="40 % - Markeringsfarve3 4 2 6 2" xfId="21339"/>
    <cellStyle name="40 % - Markeringsfarve3 4 2 6 3" xfId="32696"/>
    <cellStyle name="40 % - Markeringsfarve3 4 2 7" xfId="11366"/>
    <cellStyle name="40 % - Markeringsfarve3 4 2 8" xfId="22172"/>
    <cellStyle name="40 % - Markeringsfarve3 4 2 9" xfId="22726"/>
    <cellStyle name="40 % - Markeringsfarve3 4 3" xfId="827"/>
    <cellStyle name="40 % - Markeringsfarve3 4 3 2" xfId="1659"/>
    <cellStyle name="40 % - Markeringsfarve3 4 3 2 2" xfId="3324"/>
    <cellStyle name="40 % - Markeringsfarve3 4 3 2 2 2" xfId="8312"/>
    <cellStyle name="40 % - Markeringsfarve3 4 3 2 2 2 2" xfId="19119"/>
    <cellStyle name="40 % - Markeringsfarve3 4 3 2 2 2 3" xfId="30476"/>
    <cellStyle name="40 % - Markeringsfarve3 4 3 2 2 3" xfId="14134"/>
    <cellStyle name="40 % - Markeringsfarve3 4 3 2 2 4" xfId="25492"/>
    <cellStyle name="40 % - Markeringsfarve3 4 3 2 3" xfId="4988"/>
    <cellStyle name="40 % - Markeringsfarve3 4 3 2 3 2" xfId="9973"/>
    <cellStyle name="40 % - Markeringsfarve3 4 3 2 3 2 2" xfId="20780"/>
    <cellStyle name="40 % - Markeringsfarve3 4 3 2 3 2 3" xfId="32137"/>
    <cellStyle name="40 % - Markeringsfarve3 4 3 2 3 3" xfId="15795"/>
    <cellStyle name="40 % - Markeringsfarve3 4 3 2 3 4" xfId="27153"/>
    <cellStyle name="40 % - Markeringsfarve3 4 3 2 4" xfId="6650"/>
    <cellStyle name="40 % - Markeringsfarve3 4 3 2 4 2" xfId="17458"/>
    <cellStyle name="40 % - Markeringsfarve3 4 3 2 4 3" xfId="28815"/>
    <cellStyle name="40 % - Markeringsfarve3 4 3 2 5" xfId="12473"/>
    <cellStyle name="40 % - Markeringsfarve3 4 3 2 6" xfId="23831"/>
    <cellStyle name="40 % - Markeringsfarve3 4 3 3" xfId="2493"/>
    <cellStyle name="40 % - Markeringsfarve3 4 3 3 2" xfId="7481"/>
    <cellStyle name="40 % - Markeringsfarve3 4 3 3 2 2" xfId="18288"/>
    <cellStyle name="40 % - Markeringsfarve3 4 3 3 2 3" xfId="29645"/>
    <cellStyle name="40 % - Markeringsfarve3 4 3 3 3" xfId="13303"/>
    <cellStyle name="40 % - Markeringsfarve3 4 3 3 4" xfId="24661"/>
    <cellStyle name="40 % - Markeringsfarve3 4 3 4" xfId="4157"/>
    <cellStyle name="40 % - Markeringsfarve3 4 3 4 2" xfId="9142"/>
    <cellStyle name="40 % - Markeringsfarve3 4 3 4 2 2" xfId="19949"/>
    <cellStyle name="40 % - Markeringsfarve3 4 3 4 2 3" xfId="31306"/>
    <cellStyle name="40 % - Markeringsfarve3 4 3 4 3" xfId="14964"/>
    <cellStyle name="40 % - Markeringsfarve3 4 3 4 4" xfId="26322"/>
    <cellStyle name="40 % - Markeringsfarve3 4 3 5" xfId="5819"/>
    <cellStyle name="40 % - Markeringsfarve3 4 3 5 2" xfId="16627"/>
    <cellStyle name="40 % - Markeringsfarve3 4 3 5 3" xfId="27984"/>
    <cellStyle name="40 % - Markeringsfarve3 4 3 6" xfId="10806"/>
    <cellStyle name="40 % - Markeringsfarve3 4 3 6 2" xfId="21613"/>
    <cellStyle name="40 % - Markeringsfarve3 4 3 6 3" xfId="32970"/>
    <cellStyle name="40 % - Markeringsfarve3 4 3 7" xfId="11641"/>
    <cellStyle name="40 % - Markeringsfarve3 4 3 8" xfId="23000"/>
    <cellStyle name="40 % - Markeringsfarve3 4 4" xfId="1106"/>
    <cellStyle name="40 % - Markeringsfarve3 4 4 2" xfId="2771"/>
    <cellStyle name="40 % - Markeringsfarve3 4 4 2 2" xfId="7759"/>
    <cellStyle name="40 % - Markeringsfarve3 4 4 2 2 2" xfId="18566"/>
    <cellStyle name="40 % - Markeringsfarve3 4 4 2 2 3" xfId="29923"/>
    <cellStyle name="40 % - Markeringsfarve3 4 4 2 3" xfId="13581"/>
    <cellStyle name="40 % - Markeringsfarve3 4 4 2 4" xfId="24939"/>
    <cellStyle name="40 % - Markeringsfarve3 4 4 3" xfId="4435"/>
    <cellStyle name="40 % - Markeringsfarve3 4 4 3 2" xfId="9420"/>
    <cellStyle name="40 % - Markeringsfarve3 4 4 3 2 2" xfId="20227"/>
    <cellStyle name="40 % - Markeringsfarve3 4 4 3 2 3" xfId="31584"/>
    <cellStyle name="40 % - Markeringsfarve3 4 4 3 3" xfId="15242"/>
    <cellStyle name="40 % - Markeringsfarve3 4 4 3 4" xfId="26600"/>
    <cellStyle name="40 % - Markeringsfarve3 4 4 4" xfId="6097"/>
    <cellStyle name="40 % - Markeringsfarve3 4 4 4 2" xfId="16905"/>
    <cellStyle name="40 % - Markeringsfarve3 4 4 4 3" xfId="28262"/>
    <cellStyle name="40 % - Markeringsfarve3 4 4 5" xfId="11920"/>
    <cellStyle name="40 % - Markeringsfarve3 4 4 6" xfId="23278"/>
    <cellStyle name="40 % - Markeringsfarve3 4 5" xfId="1941"/>
    <cellStyle name="40 % - Markeringsfarve3 4 5 2" xfId="6929"/>
    <cellStyle name="40 % - Markeringsfarve3 4 5 2 2" xfId="17737"/>
    <cellStyle name="40 % - Markeringsfarve3 4 5 2 3" xfId="29094"/>
    <cellStyle name="40 % - Markeringsfarve3 4 5 3" xfId="12752"/>
    <cellStyle name="40 % - Markeringsfarve3 4 5 4" xfId="24110"/>
    <cellStyle name="40 % - Markeringsfarve3 4 6" xfId="3606"/>
    <cellStyle name="40 % - Markeringsfarve3 4 6 2" xfId="8591"/>
    <cellStyle name="40 % - Markeringsfarve3 4 6 2 2" xfId="19398"/>
    <cellStyle name="40 % - Markeringsfarve3 4 6 2 3" xfId="30755"/>
    <cellStyle name="40 % - Markeringsfarve3 4 6 3" xfId="14413"/>
    <cellStyle name="40 % - Markeringsfarve3 4 6 4" xfId="25771"/>
    <cellStyle name="40 % - Markeringsfarve3 4 7" xfId="5267"/>
    <cellStyle name="40 % - Markeringsfarve3 4 7 2" xfId="16076"/>
    <cellStyle name="40 % - Markeringsfarve3 4 7 3" xfId="27433"/>
    <cellStyle name="40 % - Markeringsfarve3 4 8" xfId="10252"/>
    <cellStyle name="40 % - Markeringsfarve3 4 8 2" xfId="21059"/>
    <cellStyle name="40 % - Markeringsfarve3 4 8 3" xfId="32416"/>
    <cellStyle name="40 % - Markeringsfarve3 4 9" xfId="11086"/>
    <cellStyle name="40 % - Markeringsfarve3 5" xfId="291"/>
    <cellStyle name="40 % - Markeringsfarve3 5 10" xfId="21948"/>
    <cellStyle name="40 % - Markeringsfarve3 5 11" xfId="22501"/>
    <cellStyle name="40 % - Markeringsfarve3 5 12" xfId="33304"/>
    <cellStyle name="40 % - Markeringsfarve3 5 13" xfId="33579"/>
    <cellStyle name="40 % - Markeringsfarve3 5 14" xfId="33850"/>
    <cellStyle name="40 % - Markeringsfarve3 5 2" xfId="608"/>
    <cellStyle name="40 % - Markeringsfarve3 5 2 2" xfId="1440"/>
    <cellStyle name="40 % - Markeringsfarve3 5 2 2 2" xfId="3105"/>
    <cellStyle name="40 % - Markeringsfarve3 5 2 2 2 2" xfId="8093"/>
    <cellStyle name="40 % - Markeringsfarve3 5 2 2 2 2 2" xfId="18900"/>
    <cellStyle name="40 % - Markeringsfarve3 5 2 2 2 2 3" xfId="30257"/>
    <cellStyle name="40 % - Markeringsfarve3 5 2 2 2 3" xfId="13915"/>
    <cellStyle name="40 % - Markeringsfarve3 5 2 2 2 4" xfId="25273"/>
    <cellStyle name="40 % - Markeringsfarve3 5 2 2 3" xfId="4769"/>
    <cellStyle name="40 % - Markeringsfarve3 5 2 2 3 2" xfId="9754"/>
    <cellStyle name="40 % - Markeringsfarve3 5 2 2 3 2 2" xfId="20561"/>
    <cellStyle name="40 % - Markeringsfarve3 5 2 2 3 2 3" xfId="31918"/>
    <cellStyle name="40 % - Markeringsfarve3 5 2 2 3 3" xfId="15576"/>
    <cellStyle name="40 % - Markeringsfarve3 5 2 2 3 4" xfId="26934"/>
    <cellStyle name="40 % - Markeringsfarve3 5 2 2 4" xfId="6431"/>
    <cellStyle name="40 % - Markeringsfarve3 5 2 2 4 2" xfId="17239"/>
    <cellStyle name="40 % - Markeringsfarve3 5 2 2 4 3" xfId="28596"/>
    <cellStyle name="40 % - Markeringsfarve3 5 2 2 5" xfId="12254"/>
    <cellStyle name="40 % - Markeringsfarve3 5 2 2 6" xfId="23612"/>
    <cellStyle name="40 % - Markeringsfarve3 5 2 3" xfId="2274"/>
    <cellStyle name="40 % - Markeringsfarve3 5 2 3 2" xfId="7262"/>
    <cellStyle name="40 % - Markeringsfarve3 5 2 3 2 2" xfId="18069"/>
    <cellStyle name="40 % - Markeringsfarve3 5 2 3 2 3" xfId="29426"/>
    <cellStyle name="40 % - Markeringsfarve3 5 2 3 3" xfId="13084"/>
    <cellStyle name="40 % - Markeringsfarve3 5 2 3 4" xfId="24442"/>
    <cellStyle name="40 % - Markeringsfarve3 5 2 4" xfId="3938"/>
    <cellStyle name="40 % - Markeringsfarve3 5 2 4 2" xfId="8923"/>
    <cellStyle name="40 % - Markeringsfarve3 5 2 4 2 2" xfId="19730"/>
    <cellStyle name="40 % - Markeringsfarve3 5 2 4 2 3" xfId="31087"/>
    <cellStyle name="40 % - Markeringsfarve3 5 2 4 3" xfId="14745"/>
    <cellStyle name="40 % - Markeringsfarve3 5 2 4 4" xfId="26103"/>
    <cellStyle name="40 % - Markeringsfarve3 5 2 5" xfId="5600"/>
    <cellStyle name="40 % - Markeringsfarve3 5 2 5 2" xfId="16408"/>
    <cellStyle name="40 % - Markeringsfarve3 5 2 5 3" xfId="27765"/>
    <cellStyle name="40 % - Markeringsfarve3 5 2 6" xfId="10587"/>
    <cellStyle name="40 % - Markeringsfarve3 5 2 6 2" xfId="21394"/>
    <cellStyle name="40 % - Markeringsfarve3 5 2 6 3" xfId="32751"/>
    <cellStyle name="40 % - Markeringsfarve3 5 2 7" xfId="11421"/>
    <cellStyle name="40 % - Markeringsfarve3 5 2 8" xfId="22227"/>
    <cellStyle name="40 % - Markeringsfarve3 5 2 9" xfId="22781"/>
    <cellStyle name="40 % - Markeringsfarve3 5 3" xfId="882"/>
    <cellStyle name="40 % - Markeringsfarve3 5 3 2" xfId="1714"/>
    <cellStyle name="40 % - Markeringsfarve3 5 3 2 2" xfId="3379"/>
    <cellStyle name="40 % - Markeringsfarve3 5 3 2 2 2" xfId="8367"/>
    <cellStyle name="40 % - Markeringsfarve3 5 3 2 2 2 2" xfId="19174"/>
    <cellStyle name="40 % - Markeringsfarve3 5 3 2 2 2 3" xfId="30531"/>
    <cellStyle name="40 % - Markeringsfarve3 5 3 2 2 3" xfId="14189"/>
    <cellStyle name="40 % - Markeringsfarve3 5 3 2 2 4" xfId="25547"/>
    <cellStyle name="40 % - Markeringsfarve3 5 3 2 3" xfId="5043"/>
    <cellStyle name="40 % - Markeringsfarve3 5 3 2 3 2" xfId="10028"/>
    <cellStyle name="40 % - Markeringsfarve3 5 3 2 3 2 2" xfId="20835"/>
    <cellStyle name="40 % - Markeringsfarve3 5 3 2 3 2 3" xfId="32192"/>
    <cellStyle name="40 % - Markeringsfarve3 5 3 2 3 3" xfId="15850"/>
    <cellStyle name="40 % - Markeringsfarve3 5 3 2 3 4" xfId="27208"/>
    <cellStyle name="40 % - Markeringsfarve3 5 3 2 4" xfId="6705"/>
    <cellStyle name="40 % - Markeringsfarve3 5 3 2 4 2" xfId="17513"/>
    <cellStyle name="40 % - Markeringsfarve3 5 3 2 4 3" xfId="28870"/>
    <cellStyle name="40 % - Markeringsfarve3 5 3 2 5" xfId="12528"/>
    <cellStyle name="40 % - Markeringsfarve3 5 3 2 6" xfId="23886"/>
    <cellStyle name="40 % - Markeringsfarve3 5 3 3" xfId="2548"/>
    <cellStyle name="40 % - Markeringsfarve3 5 3 3 2" xfId="7536"/>
    <cellStyle name="40 % - Markeringsfarve3 5 3 3 2 2" xfId="18343"/>
    <cellStyle name="40 % - Markeringsfarve3 5 3 3 2 3" xfId="29700"/>
    <cellStyle name="40 % - Markeringsfarve3 5 3 3 3" xfId="13358"/>
    <cellStyle name="40 % - Markeringsfarve3 5 3 3 4" xfId="24716"/>
    <cellStyle name="40 % - Markeringsfarve3 5 3 4" xfId="4212"/>
    <cellStyle name="40 % - Markeringsfarve3 5 3 4 2" xfId="9197"/>
    <cellStyle name="40 % - Markeringsfarve3 5 3 4 2 2" xfId="20004"/>
    <cellStyle name="40 % - Markeringsfarve3 5 3 4 2 3" xfId="31361"/>
    <cellStyle name="40 % - Markeringsfarve3 5 3 4 3" xfId="15019"/>
    <cellStyle name="40 % - Markeringsfarve3 5 3 4 4" xfId="26377"/>
    <cellStyle name="40 % - Markeringsfarve3 5 3 5" xfId="5874"/>
    <cellStyle name="40 % - Markeringsfarve3 5 3 5 2" xfId="16682"/>
    <cellStyle name="40 % - Markeringsfarve3 5 3 5 3" xfId="28039"/>
    <cellStyle name="40 % - Markeringsfarve3 5 3 6" xfId="10861"/>
    <cellStyle name="40 % - Markeringsfarve3 5 3 6 2" xfId="21668"/>
    <cellStyle name="40 % - Markeringsfarve3 5 3 6 3" xfId="33025"/>
    <cellStyle name="40 % - Markeringsfarve3 5 3 7" xfId="11696"/>
    <cellStyle name="40 % - Markeringsfarve3 5 3 8" xfId="23055"/>
    <cellStyle name="40 % - Markeringsfarve3 5 4" xfId="1161"/>
    <cellStyle name="40 % - Markeringsfarve3 5 4 2" xfId="2826"/>
    <cellStyle name="40 % - Markeringsfarve3 5 4 2 2" xfId="7814"/>
    <cellStyle name="40 % - Markeringsfarve3 5 4 2 2 2" xfId="18621"/>
    <cellStyle name="40 % - Markeringsfarve3 5 4 2 2 3" xfId="29978"/>
    <cellStyle name="40 % - Markeringsfarve3 5 4 2 3" xfId="13636"/>
    <cellStyle name="40 % - Markeringsfarve3 5 4 2 4" xfId="24994"/>
    <cellStyle name="40 % - Markeringsfarve3 5 4 3" xfId="4490"/>
    <cellStyle name="40 % - Markeringsfarve3 5 4 3 2" xfId="9475"/>
    <cellStyle name="40 % - Markeringsfarve3 5 4 3 2 2" xfId="20282"/>
    <cellStyle name="40 % - Markeringsfarve3 5 4 3 2 3" xfId="31639"/>
    <cellStyle name="40 % - Markeringsfarve3 5 4 3 3" xfId="15297"/>
    <cellStyle name="40 % - Markeringsfarve3 5 4 3 4" xfId="26655"/>
    <cellStyle name="40 % - Markeringsfarve3 5 4 4" xfId="6152"/>
    <cellStyle name="40 % - Markeringsfarve3 5 4 4 2" xfId="16960"/>
    <cellStyle name="40 % - Markeringsfarve3 5 4 4 3" xfId="28317"/>
    <cellStyle name="40 % - Markeringsfarve3 5 4 5" xfId="11975"/>
    <cellStyle name="40 % - Markeringsfarve3 5 4 6" xfId="23333"/>
    <cellStyle name="40 % - Markeringsfarve3 5 5" xfId="1996"/>
    <cellStyle name="40 % - Markeringsfarve3 5 5 2" xfId="6984"/>
    <cellStyle name="40 % - Markeringsfarve3 5 5 2 2" xfId="17792"/>
    <cellStyle name="40 % - Markeringsfarve3 5 5 2 3" xfId="29149"/>
    <cellStyle name="40 % - Markeringsfarve3 5 5 3" xfId="12807"/>
    <cellStyle name="40 % - Markeringsfarve3 5 5 4" xfId="24165"/>
    <cellStyle name="40 % - Markeringsfarve3 5 6" xfId="3661"/>
    <cellStyle name="40 % - Markeringsfarve3 5 6 2" xfId="8646"/>
    <cellStyle name="40 % - Markeringsfarve3 5 6 2 2" xfId="19453"/>
    <cellStyle name="40 % - Markeringsfarve3 5 6 2 3" xfId="30810"/>
    <cellStyle name="40 % - Markeringsfarve3 5 6 3" xfId="14468"/>
    <cellStyle name="40 % - Markeringsfarve3 5 6 4" xfId="25826"/>
    <cellStyle name="40 % - Markeringsfarve3 5 7" xfId="5322"/>
    <cellStyle name="40 % - Markeringsfarve3 5 7 2" xfId="16131"/>
    <cellStyle name="40 % - Markeringsfarve3 5 7 3" xfId="27488"/>
    <cellStyle name="40 % - Markeringsfarve3 5 8" xfId="10307"/>
    <cellStyle name="40 % - Markeringsfarve3 5 8 2" xfId="21114"/>
    <cellStyle name="40 % - Markeringsfarve3 5 8 3" xfId="32471"/>
    <cellStyle name="40 % - Markeringsfarve3 5 9" xfId="11141"/>
    <cellStyle name="40 % - Markeringsfarve3 6" xfId="346"/>
    <cellStyle name="40 % - Markeringsfarve3 6 10" xfId="22003"/>
    <cellStyle name="40 % - Markeringsfarve3 6 11" xfId="22556"/>
    <cellStyle name="40 % - Markeringsfarve3 6 12" xfId="33359"/>
    <cellStyle name="40 % - Markeringsfarve3 6 13" xfId="33634"/>
    <cellStyle name="40 % - Markeringsfarve3 6 14" xfId="33905"/>
    <cellStyle name="40 % - Markeringsfarve3 6 2" xfId="663"/>
    <cellStyle name="40 % - Markeringsfarve3 6 2 2" xfId="1495"/>
    <cellStyle name="40 % - Markeringsfarve3 6 2 2 2" xfId="3160"/>
    <cellStyle name="40 % - Markeringsfarve3 6 2 2 2 2" xfId="8148"/>
    <cellStyle name="40 % - Markeringsfarve3 6 2 2 2 2 2" xfId="18955"/>
    <cellStyle name="40 % - Markeringsfarve3 6 2 2 2 2 3" xfId="30312"/>
    <cellStyle name="40 % - Markeringsfarve3 6 2 2 2 3" xfId="13970"/>
    <cellStyle name="40 % - Markeringsfarve3 6 2 2 2 4" xfId="25328"/>
    <cellStyle name="40 % - Markeringsfarve3 6 2 2 3" xfId="4824"/>
    <cellStyle name="40 % - Markeringsfarve3 6 2 2 3 2" xfId="9809"/>
    <cellStyle name="40 % - Markeringsfarve3 6 2 2 3 2 2" xfId="20616"/>
    <cellStyle name="40 % - Markeringsfarve3 6 2 2 3 2 3" xfId="31973"/>
    <cellStyle name="40 % - Markeringsfarve3 6 2 2 3 3" xfId="15631"/>
    <cellStyle name="40 % - Markeringsfarve3 6 2 2 3 4" xfId="26989"/>
    <cellStyle name="40 % - Markeringsfarve3 6 2 2 4" xfId="6486"/>
    <cellStyle name="40 % - Markeringsfarve3 6 2 2 4 2" xfId="17294"/>
    <cellStyle name="40 % - Markeringsfarve3 6 2 2 4 3" xfId="28651"/>
    <cellStyle name="40 % - Markeringsfarve3 6 2 2 5" xfId="12309"/>
    <cellStyle name="40 % - Markeringsfarve3 6 2 2 6" xfId="23667"/>
    <cellStyle name="40 % - Markeringsfarve3 6 2 3" xfId="2329"/>
    <cellStyle name="40 % - Markeringsfarve3 6 2 3 2" xfId="7317"/>
    <cellStyle name="40 % - Markeringsfarve3 6 2 3 2 2" xfId="18124"/>
    <cellStyle name="40 % - Markeringsfarve3 6 2 3 2 3" xfId="29481"/>
    <cellStyle name="40 % - Markeringsfarve3 6 2 3 3" xfId="13139"/>
    <cellStyle name="40 % - Markeringsfarve3 6 2 3 4" xfId="24497"/>
    <cellStyle name="40 % - Markeringsfarve3 6 2 4" xfId="3993"/>
    <cellStyle name="40 % - Markeringsfarve3 6 2 4 2" xfId="8978"/>
    <cellStyle name="40 % - Markeringsfarve3 6 2 4 2 2" xfId="19785"/>
    <cellStyle name="40 % - Markeringsfarve3 6 2 4 2 3" xfId="31142"/>
    <cellStyle name="40 % - Markeringsfarve3 6 2 4 3" xfId="14800"/>
    <cellStyle name="40 % - Markeringsfarve3 6 2 4 4" xfId="26158"/>
    <cellStyle name="40 % - Markeringsfarve3 6 2 5" xfId="5655"/>
    <cellStyle name="40 % - Markeringsfarve3 6 2 5 2" xfId="16463"/>
    <cellStyle name="40 % - Markeringsfarve3 6 2 5 3" xfId="27820"/>
    <cellStyle name="40 % - Markeringsfarve3 6 2 6" xfId="10642"/>
    <cellStyle name="40 % - Markeringsfarve3 6 2 6 2" xfId="21449"/>
    <cellStyle name="40 % - Markeringsfarve3 6 2 6 3" xfId="32806"/>
    <cellStyle name="40 % - Markeringsfarve3 6 2 7" xfId="11476"/>
    <cellStyle name="40 % - Markeringsfarve3 6 2 8" xfId="22282"/>
    <cellStyle name="40 % - Markeringsfarve3 6 2 9" xfId="22836"/>
    <cellStyle name="40 % - Markeringsfarve3 6 3" xfId="937"/>
    <cellStyle name="40 % - Markeringsfarve3 6 3 2" xfId="1769"/>
    <cellStyle name="40 % - Markeringsfarve3 6 3 2 2" xfId="3434"/>
    <cellStyle name="40 % - Markeringsfarve3 6 3 2 2 2" xfId="8422"/>
    <cellStyle name="40 % - Markeringsfarve3 6 3 2 2 2 2" xfId="19229"/>
    <cellStyle name="40 % - Markeringsfarve3 6 3 2 2 2 3" xfId="30586"/>
    <cellStyle name="40 % - Markeringsfarve3 6 3 2 2 3" xfId="14244"/>
    <cellStyle name="40 % - Markeringsfarve3 6 3 2 2 4" xfId="25602"/>
    <cellStyle name="40 % - Markeringsfarve3 6 3 2 3" xfId="5098"/>
    <cellStyle name="40 % - Markeringsfarve3 6 3 2 3 2" xfId="10083"/>
    <cellStyle name="40 % - Markeringsfarve3 6 3 2 3 2 2" xfId="20890"/>
    <cellStyle name="40 % - Markeringsfarve3 6 3 2 3 2 3" xfId="32247"/>
    <cellStyle name="40 % - Markeringsfarve3 6 3 2 3 3" xfId="15905"/>
    <cellStyle name="40 % - Markeringsfarve3 6 3 2 3 4" xfId="27263"/>
    <cellStyle name="40 % - Markeringsfarve3 6 3 2 4" xfId="6760"/>
    <cellStyle name="40 % - Markeringsfarve3 6 3 2 4 2" xfId="17568"/>
    <cellStyle name="40 % - Markeringsfarve3 6 3 2 4 3" xfId="28925"/>
    <cellStyle name="40 % - Markeringsfarve3 6 3 2 5" xfId="12583"/>
    <cellStyle name="40 % - Markeringsfarve3 6 3 2 6" xfId="23941"/>
    <cellStyle name="40 % - Markeringsfarve3 6 3 3" xfId="2603"/>
    <cellStyle name="40 % - Markeringsfarve3 6 3 3 2" xfId="7591"/>
    <cellStyle name="40 % - Markeringsfarve3 6 3 3 2 2" xfId="18398"/>
    <cellStyle name="40 % - Markeringsfarve3 6 3 3 2 3" xfId="29755"/>
    <cellStyle name="40 % - Markeringsfarve3 6 3 3 3" xfId="13413"/>
    <cellStyle name="40 % - Markeringsfarve3 6 3 3 4" xfId="24771"/>
    <cellStyle name="40 % - Markeringsfarve3 6 3 4" xfId="4267"/>
    <cellStyle name="40 % - Markeringsfarve3 6 3 4 2" xfId="9252"/>
    <cellStyle name="40 % - Markeringsfarve3 6 3 4 2 2" xfId="20059"/>
    <cellStyle name="40 % - Markeringsfarve3 6 3 4 2 3" xfId="31416"/>
    <cellStyle name="40 % - Markeringsfarve3 6 3 4 3" xfId="15074"/>
    <cellStyle name="40 % - Markeringsfarve3 6 3 4 4" xfId="26432"/>
    <cellStyle name="40 % - Markeringsfarve3 6 3 5" xfId="5929"/>
    <cellStyle name="40 % - Markeringsfarve3 6 3 5 2" xfId="16737"/>
    <cellStyle name="40 % - Markeringsfarve3 6 3 5 3" xfId="28094"/>
    <cellStyle name="40 % - Markeringsfarve3 6 3 6" xfId="10916"/>
    <cellStyle name="40 % - Markeringsfarve3 6 3 6 2" xfId="21723"/>
    <cellStyle name="40 % - Markeringsfarve3 6 3 6 3" xfId="33080"/>
    <cellStyle name="40 % - Markeringsfarve3 6 3 7" xfId="11751"/>
    <cellStyle name="40 % - Markeringsfarve3 6 3 8" xfId="23110"/>
    <cellStyle name="40 % - Markeringsfarve3 6 4" xfId="1216"/>
    <cellStyle name="40 % - Markeringsfarve3 6 4 2" xfId="2881"/>
    <cellStyle name="40 % - Markeringsfarve3 6 4 2 2" xfId="7869"/>
    <cellStyle name="40 % - Markeringsfarve3 6 4 2 2 2" xfId="18676"/>
    <cellStyle name="40 % - Markeringsfarve3 6 4 2 2 3" xfId="30033"/>
    <cellStyle name="40 % - Markeringsfarve3 6 4 2 3" xfId="13691"/>
    <cellStyle name="40 % - Markeringsfarve3 6 4 2 4" xfId="25049"/>
    <cellStyle name="40 % - Markeringsfarve3 6 4 3" xfId="4545"/>
    <cellStyle name="40 % - Markeringsfarve3 6 4 3 2" xfId="9530"/>
    <cellStyle name="40 % - Markeringsfarve3 6 4 3 2 2" xfId="20337"/>
    <cellStyle name="40 % - Markeringsfarve3 6 4 3 2 3" xfId="31694"/>
    <cellStyle name="40 % - Markeringsfarve3 6 4 3 3" xfId="15352"/>
    <cellStyle name="40 % - Markeringsfarve3 6 4 3 4" xfId="26710"/>
    <cellStyle name="40 % - Markeringsfarve3 6 4 4" xfId="6207"/>
    <cellStyle name="40 % - Markeringsfarve3 6 4 4 2" xfId="17015"/>
    <cellStyle name="40 % - Markeringsfarve3 6 4 4 3" xfId="28372"/>
    <cellStyle name="40 % - Markeringsfarve3 6 4 5" xfId="12030"/>
    <cellStyle name="40 % - Markeringsfarve3 6 4 6" xfId="23388"/>
    <cellStyle name="40 % - Markeringsfarve3 6 5" xfId="2051"/>
    <cellStyle name="40 % - Markeringsfarve3 6 5 2" xfId="7039"/>
    <cellStyle name="40 % - Markeringsfarve3 6 5 2 2" xfId="17847"/>
    <cellStyle name="40 % - Markeringsfarve3 6 5 2 3" xfId="29204"/>
    <cellStyle name="40 % - Markeringsfarve3 6 5 3" xfId="12862"/>
    <cellStyle name="40 % - Markeringsfarve3 6 5 4" xfId="24220"/>
    <cellStyle name="40 % - Markeringsfarve3 6 6" xfId="3716"/>
    <cellStyle name="40 % - Markeringsfarve3 6 6 2" xfId="8701"/>
    <cellStyle name="40 % - Markeringsfarve3 6 6 2 2" xfId="19508"/>
    <cellStyle name="40 % - Markeringsfarve3 6 6 2 3" xfId="30865"/>
    <cellStyle name="40 % - Markeringsfarve3 6 6 3" xfId="14523"/>
    <cellStyle name="40 % - Markeringsfarve3 6 6 4" xfId="25881"/>
    <cellStyle name="40 % - Markeringsfarve3 6 7" xfId="5377"/>
    <cellStyle name="40 % - Markeringsfarve3 6 7 2" xfId="16186"/>
    <cellStyle name="40 % - Markeringsfarve3 6 7 3" xfId="27543"/>
    <cellStyle name="40 % - Markeringsfarve3 6 8" xfId="10362"/>
    <cellStyle name="40 % - Markeringsfarve3 6 8 2" xfId="21169"/>
    <cellStyle name="40 % - Markeringsfarve3 6 8 3" xfId="32526"/>
    <cellStyle name="40 % - Markeringsfarve3 6 9" xfId="11196"/>
    <cellStyle name="40 % - Markeringsfarve3 7" xfId="447"/>
    <cellStyle name="40 % - Markeringsfarve3 7 2" xfId="1277"/>
    <cellStyle name="40 % - Markeringsfarve3 7 2 2" xfId="2942"/>
    <cellStyle name="40 % - Markeringsfarve3 7 2 2 2" xfId="7930"/>
    <cellStyle name="40 % - Markeringsfarve3 7 2 2 2 2" xfId="18737"/>
    <cellStyle name="40 % - Markeringsfarve3 7 2 2 2 3" xfId="30094"/>
    <cellStyle name="40 % - Markeringsfarve3 7 2 2 3" xfId="13752"/>
    <cellStyle name="40 % - Markeringsfarve3 7 2 2 4" xfId="25110"/>
    <cellStyle name="40 % - Markeringsfarve3 7 2 3" xfId="4606"/>
    <cellStyle name="40 % - Markeringsfarve3 7 2 3 2" xfId="9591"/>
    <cellStyle name="40 % - Markeringsfarve3 7 2 3 2 2" xfId="20398"/>
    <cellStyle name="40 % - Markeringsfarve3 7 2 3 2 3" xfId="31755"/>
    <cellStyle name="40 % - Markeringsfarve3 7 2 3 3" xfId="15413"/>
    <cellStyle name="40 % - Markeringsfarve3 7 2 3 4" xfId="26771"/>
    <cellStyle name="40 % - Markeringsfarve3 7 2 4" xfId="6268"/>
    <cellStyle name="40 % - Markeringsfarve3 7 2 4 2" xfId="17076"/>
    <cellStyle name="40 % - Markeringsfarve3 7 2 4 3" xfId="28433"/>
    <cellStyle name="40 % - Markeringsfarve3 7 2 5" xfId="12091"/>
    <cellStyle name="40 % - Markeringsfarve3 7 2 6" xfId="23449"/>
    <cellStyle name="40 % - Markeringsfarve3 7 3" xfId="2113"/>
    <cellStyle name="40 % - Markeringsfarve3 7 3 2" xfId="7101"/>
    <cellStyle name="40 % - Markeringsfarve3 7 3 2 2" xfId="17908"/>
    <cellStyle name="40 % - Markeringsfarve3 7 3 2 3" xfId="29265"/>
    <cellStyle name="40 % - Markeringsfarve3 7 3 3" xfId="12923"/>
    <cellStyle name="40 % - Markeringsfarve3 7 3 4" xfId="24281"/>
    <cellStyle name="40 % - Markeringsfarve3 7 4" xfId="3777"/>
    <cellStyle name="40 % - Markeringsfarve3 7 4 2" xfId="8762"/>
    <cellStyle name="40 % - Markeringsfarve3 7 4 2 2" xfId="19569"/>
    <cellStyle name="40 % - Markeringsfarve3 7 4 2 3" xfId="30926"/>
    <cellStyle name="40 % - Markeringsfarve3 7 4 3" xfId="14584"/>
    <cellStyle name="40 % - Markeringsfarve3 7 4 4" xfId="25942"/>
    <cellStyle name="40 % - Markeringsfarve3 7 5" xfId="5439"/>
    <cellStyle name="40 % - Markeringsfarve3 7 5 2" xfId="16247"/>
    <cellStyle name="40 % - Markeringsfarve3 7 5 3" xfId="27604"/>
    <cellStyle name="40 % - Markeringsfarve3 7 6" xfId="10442"/>
    <cellStyle name="40 % - Markeringsfarve3 7 6 2" xfId="21249"/>
    <cellStyle name="40 % - Markeringsfarve3 7 6 3" xfId="32606"/>
    <cellStyle name="40 % - Markeringsfarve3 7 7" xfId="11258"/>
    <cellStyle name="40 % - Markeringsfarve3 7 8" xfId="22064"/>
    <cellStyle name="40 % - Markeringsfarve3 7 9" xfId="22618"/>
    <cellStyle name="40 % - Markeringsfarve3 8" xfId="719"/>
    <cellStyle name="40 % - Markeringsfarve3 8 2" xfId="1551"/>
    <cellStyle name="40 % - Markeringsfarve3 8 2 2" xfId="3216"/>
    <cellStyle name="40 % - Markeringsfarve3 8 2 2 2" xfId="8204"/>
    <cellStyle name="40 % - Markeringsfarve3 8 2 2 2 2" xfId="19011"/>
    <cellStyle name="40 % - Markeringsfarve3 8 2 2 2 3" xfId="30368"/>
    <cellStyle name="40 % - Markeringsfarve3 8 2 2 3" xfId="14026"/>
    <cellStyle name="40 % - Markeringsfarve3 8 2 2 4" xfId="25384"/>
    <cellStyle name="40 % - Markeringsfarve3 8 2 3" xfId="4880"/>
    <cellStyle name="40 % - Markeringsfarve3 8 2 3 2" xfId="9865"/>
    <cellStyle name="40 % - Markeringsfarve3 8 2 3 2 2" xfId="20672"/>
    <cellStyle name="40 % - Markeringsfarve3 8 2 3 2 3" xfId="32029"/>
    <cellStyle name="40 % - Markeringsfarve3 8 2 3 3" xfId="15687"/>
    <cellStyle name="40 % - Markeringsfarve3 8 2 3 4" xfId="27045"/>
    <cellStyle name="40 % - Markeringsfarve3 8 2 4" xfId="6542"/>
    <cellStyle name="40 % - Markeringsfarve3 8 2 4 2" xfId="17350"/>
    <cellStyle name="40 % - Markeringsfarve3 8 2 4 3" xfId="28707"/>
    <cellStyle name="40 % - Markeringsfarve3 8 2 5" xfId="12365"/>
    <cellStyle name="40 % - Markeringsfarve3 8 2 6" xfId="23723"/>
    <cellStyle name="40 % - Markeringsfarve3 8 3" xfId="2385"/>
    <cellStyle name="40 % - Markeringsfarve3 8 3 2" xfId="7373"/>
    <cellStyle name="40 % - Markeringsfarve3 8 3 2 2" xfId="18180"/>
    <cellStyle name="40 % - Markeringsfarve3 8 3 2 3" xfId="29537"/>
    <cellStyle name="40 % - Markeringsfarve3 8 3 3" xfId="13195"/>
    <cellStyle name="40 % - Markeringsfarve3 8 3 4" xfId="24553"/>
    <cellStyle name="40 % - Markeringsfarve3 8 4" xfId="4049"/>
    <cellStyle name="40 % - Markeringsfarve3 8 4 2" xfId="9034"/>
    <cellStyle name="40 % - Markeringsfarve3 8 4 2 2" xfId="19841"/>
    <cellStyle name="40 % - Markeringsfarve3 8 4 2 3" xfId="31198"/>
    <cellStyle name="40 % - Markeringsfarve3 8 4 3" xfId="14856"/>
    <cellStyle name="40 % - Markeringsfarve3 8 4 4" xfId="26214"/>
    <cellStyle name="40 % - Markeringsfarve3 8 5" xfId="5711"/>
    <cellStyle name="40 % - Markeringsfarve3 8 5 2" xfId="16519"/>
    <cellStyle name="40 % - Markeringsfarve3 8 5 3" xfId="27876"/>
    <cellStyle name="40 % - Markeringsfarve3 8 6" xfId="10698"/>
    <cellStyle name="40 % - Markeringsfarve3 8 6 2" xfId="21505"/>
    <cellStyle name="40 % - Markeringsfarve3 8 6 3" xfId="32862"/>
    <cellStyle name="40 % - Markeringsfarve3 8 7" xfId="11533"/>
    <cellStyle name="40 % - Markeringsfarve3 8 8" xfId="22892"/>
    <cellStyle name="40 % - Markeringsfarve3 9" xfId="998"/>
    <cellStyle name="40 % - Markeringsfarve3 9 2" xfId="2663"/>
    <cellStyle name="40 % - Markeringsfarve3 9 2 2" xfId="7651"/>
    <cellStyle name="40 % - Markeringsfarve3 9 2 2 2" xfId="18458"/>
    <cellStyle name="40 % - Markeringsfarve3 9 2 2 3" xfId="29815"/>
    <cellStyle name="40 % - Markeringsfarve3 9 2 3" xfId="13473"/>
    <cellStyle name="40 % - Markeringsfarve3 9 2 4" xfId="24831"/>
    <cellStyle name="40 % - Markeringsfarve3 9 3" xfId="4327"/>
    <cellStyle name="40 % - Markeringsfarve3 9 3 2" xfId="9312"/>
    <cellStyle name="40 % - Markeringsfarve3 9 3 2 2" xfId="20119"/>
    <cellStyle name="40 % - Markeringsfarve3 9 3 2 3" xfId="31476"/>
    <cellStyle name="40 % - Markeringsfarve3 9 3 3" xfId="15134"/>
    <cellStyle name="40 % - Markeringsfarve3 9 3 4" xfId="26492"/>
    <cellStyle name="40 % - Markeringsfarve3 9 4" xfId="5989"/>
    <cellStyle name="40 % - Markeringsfarve3 9 4 2" xfId="16797"/>
    <cellStyle name="40 % - Markeringsfarve3 9 4 3" xfId="28154"/>
    <cellStyle name="40 % - Markeringsfarve3 9 5" xfId="11812"/>
    <cellStyle name="40 % - Markeringsfarve3 9 6" xfId="23170"/>
    <cellStyle name="40 % - Markeringsfarve4" xfId="34" builtinId="43" customBuiltin="1"/>
    <cellStyle name="40 % - Markeringsfarve4 10" xfId="1000"/>
    <cellStyle name="40 % - Markeringsfarve4 10 2" xfId="2665"/>
    <cellStyle name="40 % - Markeringsfarve4 10 2 2" xfId="7653"/>
    <cellStyle name="40 % - Markeringsfarve4 10 2 2 2" xfId="18460"/>
    <cellStyle name="40 % - Markeringsfarve4 10 2 2 3" xfId="29817"/>
    <cellStyle name="40 % - Markeringsfarve4 10 2 3" xfId="13475"/>
    <cellStyle name="40 % - Markeringsfarve4 10 2 4" xfId="24833"/>
    <cellStyle name="40 % - Markeringsfarve4 10 3" xfId="4329"/>
    <cellStyle name="40 % - Markeringsfarve4 10 3 2" xfId="9314"/>
    <cellStyle name="40 % - Markeringsfarve4 10 3 2 2" xfId="20121"/>
    <cellStyle name="40 % - Markeringsfarve4 10 3 2 3" xfId="31478"/>
    <cellStyle name="40 % - Markeringsfarve4 10 3 3" xfId="15136"/>
    <cellStyle name="40 % - Markeringsfarve4 10 3 4" xfId="26494"/>
    <cellStyle name="40 % - Markeringsfarve4 10 4" xfId="5991"/>
    <cellStyle name="40 % - Markeringsfarve4 10 4 2" xfId="16799"/>
    <cellStyle name="40 % - Markeringsfarve4 10 4 3" xfId="28156"/>
    <cellStyle name="40 % - Markeringsfarve4 10 5" xfId="11814"/>
    <cellStyle name="40 % - Markeringsfarve4 10 6" xfId="23172"/>
    <cellStyle name="40 % - Markeringsfarve4 11" xfId="1835"/>
    <cellStyle name="40 % - Markeringsfarve4 11 2" xfId="6823"/>
    <cellStyle name="40 % - Markeringsfarve4 11 2 2" xfId="17631"/>
    <cellStyle name="40 % - Markeringsfarve4 11 2 3" xfId="28988"/>
    <cellStyle name="40 % - Markeringsfarve4 11 3" xfId="12646"/>
    <cellStyle name="40 % - Markeringsfarve4 11 4" xfId="24004"/>
    <cellStyle name="40 % - Markeringsfarve4 12" xfId="3500"/>
    <cellStyle name="40 % - Markeringsfarve4 12 2" xfId="8485"/>
    <cellStyle name="40 % - Markeringsfarve4 12 2 2" xfId="19292"/>
    <cellStyle name="40 % - Markeringsfarve4 12 2 3" xfId="30649"/>
    <cellStyle name="40 % - Markeringsfarve4 12 3" xfId="14307"/>
    <cellStyle name="40 % - Markeringsfarve4 12 4" xfId="25665"/>
    <cellStyle name="40 % - Markeringsfarve4 13" xfId="5161"/>
    <cellStyle name="40 % - Markeringsfarve4 13 2" xfId="15970"/>
    <cellStyle name="40 % - Markeringsfarve4 13 3" xfId="27327"/>
    <cellStyle name="40 % - Markeringsfarve4 14" xfId="10146"/>
    <cellStyle name="40 % - Markeringsfarve4 14 2" xfId="20953"/>
    <cellStyle name="40 % - Markeringsfarve4 14 3" xfId="32310"/>
    <cellStyle name="40 % - Markeringsfarve4 15" xfId="10980"/>
    <cellStyle name="40 % - Markeringsfarve4 16" xfId="21787"/>
    <cellStyle name="40 % - Markeringsfarve4 17" xfId="22340"/>
    <cellStyle name="40 % - Markeringsfarve4 18" xfId="33143"/>
    <cellStyle name="40 % - Markeringsfarve4 19" xfId="33419"/>
    <cellStyle name="40 % - Markeringsfarve4 2" xfId="73"/>
    <cellStyle name="40 % - Markeringsfarve4 2 10" xfId="3520"/>
    <cellStyle name="40 % - Markeringsfarve4 2 10 2" xfId="8505"/>
    <cellStyle name="40 % - Markeringsfarve4 2 10 2 2" xfId="19312"/>
    <cellStyle name="40 % - Markeringsfarve4 2 10 2 3" xfId="30669"/>
    <cellStyle name="40 % - Markeringsfarve4 2 10 3" xfId="14327"/>
    <cellStyle name="40 % - Markeringsfarve4 2 10 4" xfId="25685"/>
    <cellStyle name="40 % - Markeringsfarve4 2 11" xfId="5181"/>
    <cellStyle name="40 % - Markeringsfarve4 2 11 2" xfId="15990"/>
    <cellStyle name="40 % - Markeringsfarve4 2 11 3" xfId="27347"/>
    <cellStyle name="40 % - Markeringsfarve4 2 12" xfId="10165"/>
    <cellStyle name="40 % - Markeringsfarve4 2 12 2" xfId="20972"/>
    <cellStyle name="40 % - Markeringsfarve4 2 12 3" xfId="32329"/>
    <cellStyle name="40 % - Markeringsfarve4 2 13" xfId="10999"/>
    <cellStyle name="40 % - Markeringsfarve4 2 14" xfId="21806"/>
    <cellStyle name="40 % - Markeringsfarve4 2 15" xfId="22359"/>
    <cellStyle name="40 % - Markeringsfarve4 2 16" xfId="33162"/>
    <cellStyle name="40 % - Markeringsfarve4 2 17" xfId="33431"/>
    <cellStyle name="40 % - Markeringsfarve4 2 18" xfId="33702"/>
    <cellStyle name="40 % - Markeringsfarve4 2 2" xfId="202"/>
    <cellStyle name="40 % - Markeringsfarve4 2 2 10" xfId="21860"/>
    <cellStyle name="40 % - Markeringsfarve4 2 2 11" xfId="22413"/>
    <cellStyle name="40 % - Markeringsfarve4 2 2 12" xfId="33216"/>
    <cellStyle name="40 % - Markeringsfarve4 2 2 13" xfId="33491"/>
    <cellStyle name="40 % - Markeringsfarve4 2 2 14" xfId="33762"/>
    <cellStyle name="40 % - Markeringsfarve4 2 2 2" xfId="520"/>
    <cellStyle name="40 % - Markeringsfarve4 2 2 2 2" xfId="1352"/>
    <cellStyle name="40 % - Markeringsfarve4 2 2 2 2 2" xfId="3017"/>
    <cellStyle name="40 % - Markeringsfarve4 2 2 2 2 2 2" xfId="8005"/>
    <cellStyle name="40 % - Markeringsfarve4 2 2 2 2 2 2 2" xfId="18812"/>
    <cellStyle name="40 % - Markeringsfarve4 2 2 2 2 2 2 3" xfId="30169"/>
    <cellStyle name="40 % - Markeringsfarve4 2 2 2 2 2 3" xfId="13827"/>
    <cellStyle name="40 % - Markeringsfarve4 2 2 2 2 2 4" xfId="25185"/>
    <cellStyle name="40 % - Markeringsfarve4 2 2 2 2 3" xfId="4681"/>
    <cellStyle name="40 % - Markeringsfarve4 2 2 2 2 3 2" xfId="9666"/>
    <cellStyle name="40 % - Markeringsfarve4 2 2 2 2 3 2 2" xfId="20473"/>
    <cellStyle name="40 % - Markeringsfarve4 2 2 2 2 3 2 3" xfId="31830"/>
    <cellStyle name="40 % - Markeringsfarve4 2 2 2 2 3 3" xfId="15488"/>
    <cellStyle name="40 % - Markeringsfarve4 2 2 2 2 3 4" xfId="26846"/>
    <cellStyle name="40 % - Markeringsfarve4 2 2 2 2 4" xfId="6343"/>
    <cellStyle name="40 % - Markeringsfarve4 2 2 2 2 4 2" xfId="17151"/>
    <cellStyle name="40 % - Markeringsfarve4 2 2 2 2 4 3" xfId="28508"/>
    <cellStyle name="40 % - Markeringsfarve4 2 2 2 2 5" xfId="12166"/>
    <cellStyle name="40 % - Markeringsfarve4 2 2 2 2 6" xfId="23524"/>
    <cellStyle name="40 % - Markeringsfarve4 2 2 2 3" xfId="2186"/>
    <cellStyle name="40 % - Markeringsfarve4 2 2 2 3 2" xfId="7174"/>
    <cellStyle name="40 % - Markeringsfarve4 2 2 2 3 2 2" xfId="17981"/>
    <cellStyle name="40 % - Markeringsfarve4 2 2 2 3 2 3" xfId="29338"/>
    <cellStyle name="40 % - Markeringsfarve4 2 2 2 3 3" xfId="12996"/>
    <cellStyle name="40 % - Markeringsfarve4 2 2 2 3 4" xfId="24354"/>
    <cellStyle name="40 % - Markeringsfarve4 2 2 2 4" xfId="3850"/>
    <cellStyle name="40 % - Markeringsfarve4 2 2 2 4 2" xfId="8835"/>
    <cellStyle name="40 % - Markeringsfarve4 2 2 2 4 2 2" xfId="19642"/>
    <cellStyle name="40 % - Markeringsfarve4 2 2 2 4 2 3" xfId="30999"/>
    <cellStyle name="40 % - Markeringsfarve4 2 2 2 4 3" xfId="14657"/>
    <cellStyle name="40 % - Markeringsfarve4 2 2 2 4 4" xfId="26015"/>
    <cellStyle name="40 % - Markeringsfarve4 2 2 2 5" xfId="5512"/>
    <cellStyle name="40 % - Markeringsfarve4 2 2 2 5 2" xfId="16320"/>
    <cellStyle name="40 % - Markeringsfarve4 2 2 2 5 3" xfId="27677"/>
    <cellStyle name="40 % - Markeringsfarve4 2 2 2 6" xfId="10499"/>
    <cellStyle name="40 % - Markeringsfarve4 2 2 2 6 2" xfId="21306"/>
    <cellStyle name="40 % - Markeringsfarve4 2 2 2 6 3" xfId="32663"/>
    <cellStyle name="40 % - Markeringsfarve4 2 2 2 7" xfId="11333"/>
    <cellStyle name="40 % - Markeringsfarve4 2 2 2 8" xfId="22139"/>
    <cellStyle name="40 % - Markeringsfarve4 2 2 2 9" xfId="22693"/>
    <cellStyle name="40 % - Markeringsfarve4 2 2 3" xfId="794"/>
    <cellStyle name="40 % - Markeringsfarve4 2 2 3 2" xfId="1626"/>
    <cellStyle name="40 % - Markeringsfarve4 2 2 3 2 2" xfId="3291"/>
    <cellStyle name="40 % - Markeringsfarve4 2 2 3 2 2 2" xfId="8279"/>
    <cellStyle name="40 % - Markeringsfarve4 2 2 3 2 2 2 2" xfId="19086"/>
    <cellStyle name="40 % - Markeringsfarve4 2 2 3 2 2 2 3" xfId="30443"/>
    <cellStyle name="40 % - Markeringsfarve4 2 2 3 2 2 3" xfId="14101"/>
    <cellStyle name="40 % - Markeringsfarve4 2 2 3 2 2 4" xfId="25459"/>
    <cellStyle name="40 % - Markeringsfarve4 2 2 3 2 3" xfId="4955"/>
    <cellStyle name="40 % - Markeringsfarve4 2 2 3 2 3 2" xfId="9940"/>
    <cellStyle name="40 % - Markeringsfarve4 2 2 3 2 3 2 2" xfId="20747"/>
    <cellStyle name="40 % - Markeringsfarve4 2 2 3 2 3 2 3" xfId="32104"/>
    <cellStyle name="40 % - Markeringsfarve4 2 2 3 2 3 3" xfId="15762"/>
    <cellStyle name="40 % - Markeringsfarve4 2 2 3 2 3 4" xfId="27120"/>
    <cellStyle name="40 % - Markeringsfarve4 2 2 3 2 4" xfId="6617"/>
    <cellStyle name="40 % - Markeringsfarve4 2 2 3 2 4 2" xfId="17425"/>
    <cellStyle name="40 % - Markeringsfarve4 2 2 3 2 4 3" xfId="28782"/>
    <cellStyle name="40 % - Markeringsfarve4 2 2 3 2 5" xfId="12440"/>
    <cellStyle name="40 % - Markeringsfarve4 2 2 3 2 6" xfId="23798"/>
    <cellStyle name="40 % - Markeringsfarve4 2 2 3 3" xfId="2460"/>
    <cellStyle name="40 % - Markeringsfarve4 2 2 3 3 2" xfId="7448"/>
    <cellStyle name="40 % - Markeringsfarve4 2 2 3 3 2 2" xfId="18255"/>
    <cellStyle name="40 % - Markeringsfarve4 2 2 3 3 2 3" xfId="29612"/>
    <cellStyle name="40 % - Markeringsfarve4 2 2 3 3 3" xfId="13270"/>
    <cellStyle name="40 % - Markeringsfarve4 2 2 3 3 4" xfId="24628"/>
    <cellStyle name="40 % - Markeringsfarve4 2 2 3 4" xfId="4124"/>
    <cellStyle name="40 % - Markeringsfarve4 2 2 3 4 2" xfId="9109"/>
    <cellStyle name="40 % - Markeringsfarve4 2 2 3 4 2 2" xfId="19916"/>
    <cellStyle name="40 % - Markeringsfarve4 2 2 3 4 2 3" xfId="31273"/>
    <cellStyle name="40 % - Markeringsfarve4 2 2 3 4 3" xfId="14931"/>
    <cellStyle name="40 % - Markeringsfarve4 2 2 3 4 4" xfId="26289"/>
    <cellStyle name="40 % - Markeringsfarve4 2 2 3 5" xfId="5786"/>
    <cellStyle name="40 % - Markeringsfarve4 2 2 3 5 2" xfId="16594"/>
    <cellStyle name="40 % - Markeringsfarve4 2 2 3 5 3" xfId="27951"/>
    <cellStyle name="40 % - Markeringsfarve4 2 2 3 6" xfId="10773"/>
    <cellStyle name="40 % - Markeringsfarve4 2 2 3 6 2" xfId="21580"/>
    <cellStyle name="40 % - Markeringsfarve4 2 2 3 6 3" xfId="32937"/>
    <cellStyle name="40 % - Markeringsfarve4 2 2 3 7" xfId="11608"/>
    <cellStyle name="40 % - Markeringsfarve4 2 2 3 8" xfId="22967"/>
    <cellStyle name="40 % - Markeringsfarve4 2 2 4" xfId="1073"/>
    <cellStyle name="40 % - Markeringsfarve4 2 2 4 2" xfId="2738"/>
    <cellStyle name="40 % - Markeringsfarve4 2 2 4 2 2" xfId="7726"/>
    <cellStyle name="40 % - Markeringsfarve4 2 2 4 2 2 2" xfId="18533"/>
    <cellStyle name="40 % - Markeringsfarve4 2 2 4 2 2 3" xfId="29890"/>
    <cellStyle name="40 % - Markeringsfarve4 2 2 4 2 3" xfId="13548"/>
    <cellStyle name="40 % - Markeringsfarve4 2 2 4 2 4" xfId="24906"/>
    <cellStyle name="40 % - Markeringsfarve4 2 2 4 3" xfId="4402"/>
    <cellStyle name="40 % - Markeringsfarve4 2 2 4 3 2" xfId="9387"/>
    <cellStyle name="40 % - Markeringsfarve4 2 2 4 3 2 2" xfId="20194"/>
    <cellStyle name="40 % - Markeringsfarve4 2 2 4 3 2 3" xfId="31551"/>
    <cellStyle name="40 % - Markeringsfarve4 2 2 4 3 3" xfId="15209"/>
    <cellStyle name="40 % - Markeringsfarve4 2 2 4 3 4" xfId="26567"/>
    <cellStyle name="40 % - Markeringsfarve4 2 2 4 4" xfId="6064"/>
    <cellStyle name="40 % - Markeringsfarve4 2 2 4 4 2" xfId="16872"/>
    <cellStyle name="40 % - Markeringsfarve4 2 2 4 4 3" xfId="28229"/>
    <cellStyle name="40 % - Markeringsfarve4 2 2 4 5" xfId="11887"/>
    <cellStyle name="40 % - Markeringsfarve4 2 2 4 6" xfId="23245"/>
    <cellStyle name="40 % - Markeringsfarve4 2 2 5" xfId="1908"/>
    <cellStyle name="40 % - Markeringsfarve4 2 2 5 2" xfId="6896"/>
    <cellStyle name="40 % - Markeringsfarve4 2 2 5 2 2" xfId="17704"/>
    <cellStyle name="40 % - Markeringsfarve4 2 2 5 2 3" xfId="29061"/>
    <cellStyle name="40 % - Markeringsfarve4 2 2 5 3" xfId="12719"/>
    <cellStyle name="40 % - Markeringsfarve4 2 2 5 4" xfId="24077"/>
    <cellStyle name="40 % - Markeringsfarve4 2 2 6" xfId="3573"/>
    <cellStyle name="40 % - Markeringsfarve4 2 2 6 2" xfId="8558"/>
    <cellStyle name="40 % - Markeringsfarve4 2 2 6 2 2" xfId="19365"/>
    <cellStyle name="40 % - Markeringsfarve4 2 2 6 2 3" xfId="30722"/>
    <cellStyle name="40 % - Markeringsfarve4 2 2 6 3" xfId="14380"/>
    <cellStyle name="40 % - Markeringsfarve4 2 2 6 4" xfId="25738"/>
    <cellStyle name="40 % - Markeringsfarve4 2 2 7" xfId="5234"/>
    <cellStyle name="40 % - Markeringsfarve4 2 2 7 2" xfId="16043"/>
    <cellStyle name="40 % - Markeringsfarve4 2 2 7 3" xfId="27400"/>
    <cellStyle name="40 % - Markeringsfarve4 2 2 8" xfId="10219"/>
    <cellStyle name="40 % - Markeringsfarve4 2 2 8 2" xfId="21026"/>
    <cellStyle name="40 % - Markeringsfarve4 2 2 8 3" xfId="32383"/>
    <cellStyle name="40 % - Markeringsfarve4 2 2 9" xfId="11053"/>
    <cellStyle name="40 % - Markeringsfarve4 2 3" xfId="257"/>
    <cellStyle name="40 % - Markeringsfarve4 2 3 10" xfId="21914"/>
    <cellStyle name="40 % - Markeringsfarve4 2 3 11" xfId="22467"/>
    <cellStyle name="40 % - Markeringsfarve4 2 3 12" xfId="33270"/>
    <cellStyle name="40 % - Markeringsfarve4 2 3 13" xfId="33545"/>
    <cellStyle name="40 % - Markeringsfarve4 2 3 14" xfId="33816"/>
    <cellStyle name="40 % - Markeringsfarve4 2 3 2" xfId="574"/>
    <cellStyle name="40 % - Markeringsfarve4 2 3 2 2" xfId="1406"/>
    <cellStyle name="40 % - Markeringsfarve4 2 3 2 2 2" xfId="3071"/>
    <cellStyle name="40 % - Markeringsfarve4 2 3 2 2 2 2" xfId="8059"/>
    <cellStyle name="40 % - Markeringsfarve4 2 3 2 2 2 2 2" xfId="18866"/>
    <cellStyle name="40 % - Markeringsfarve4 2 3 2 2 2 2 3" xfId="30223"/>
    <cellStyle name="40 % - Markeringsfarve4 2 3 2 2 2 3" xfId="13881"/>
    <cellStyle name="40 % - Markeringsfarve4 2 3 2 2 2 4" xfId="25239"/>
    <cellStyle name="40 % - Markeringsfarve4 2 3 2 2 3" xfId="4735"/>
    <cellStyle name="40 % - Markeringsfarve4 2 3 2 2 3 2" xfId="9720"/>
    <cellStyle name="40 % - Markeringsfarve4 2 3 2 2 3 2 2" xfId="20527"/>
    <cellStyle name="40 % - Markeringsfarve4 2 3 2 2 3 2 3" xfId="31884"/>
    <cellStyle name="40 % - Markeringsfarve4 2 3 2 2 3 3" xfId="15542"/>
    <cellStyle name="40 % - Markeringsfarve4 2 3 2 2 3 4" xfId="26900"/>
    <cellStyle name="40 % - Markeringsfarve4 2 3 2 2 4" xfId="6397"/>
    <cellStyle name="40 % - Markeringsfarve4 2 3 2 2 4 2" xfId="17205"/>
    <cellStyle name="40 % - Markeringsfarve4 2 3 2 2 4 3" xfId="28562"/>
    <cellStyle name="40 % - Markeringsfarve4 2 3 2 2 5" xfId="12220"/>
    <cellStyle name="40 % - Markeringsfarve4 2 3 2 2 6" xfId="23578"/>
    <cellStyle name="40 % - Markeringsfarve4 2 3 2 3" xfId="2240"/>
    <cellStyle name="40 % - Markeringsfarve4 2 3 2 3 2" xfId="7228"/>
    <cellStyle name="40 % - Markeringsfarve4 2 3 2 3 2 2" xfId="18035"/>
    <cellStyle name="40 % - Markeringsfarve4 2 3 2 3 2 3" xfId="29392"/>
    <cellStyle name="40 % - Markeringsfarve4 2 3 2 3 3" xfId="13050"/>
    <cellStyle name="40 % - Markeringsfarve4 2 3 2 3 4" xfId="24408"/>
    <cellStyle name="40 % - Markeringsfarve4 2 3 2 4" xfId="3904"/>
    <cellStyle name="40 % - Markeringsfarve4 2 3 2 4 2" xfId="8889"/>
    <cellStyle name="40 % - Markeringsfarve4 2 3 2 4 2 2" xfId="19696"/>
    <cellStyle name="40 % - Markeringsfarve4 2 3 2 4 2 3" xfId="31053"/>
    <cellStyle name="40 % - Markeringsfarve4 2 3 2 4 3" xfId="14711"/>
    <cellStyle name="40 % - Markeringsfarve4 2 3 2 4 4" xfId="26069"/>
    <cellStyle name="40 % - Markeringsfarve4 2 3 2 5" xfId="5566"/>
    <cellStyle name="40 % - Markeringsfarve4 2 3 2 5 2" xfId="16374"/>
    <cellStyle name="40 % - Markeringsfarve4 2 3 2 5 3" xfId="27731"/>
    <cellStyle name="40 % - Markeringsfarve4 2 3 2 6" xfId="10553"/>
    <cellStyle name="40 % - Markeringsfarve4 2 3 2 6 2" xfId="21360"/>
    <cellStyle name="40 % - Markeringsfarve4 2 3 2 6 3" xfId="32717"/>
    <cellStyle name="40 % - Markeringsfarve4 2 3 2 7" xfId="11387"/>
    <cellStyle name="40 % - Markeringsfarve4 2 3 2 8" xfId="22193"/>
    <cellStyle name="40 % - Markeringsfarve4 2 3 2 9" xfId="22747"/>
    <cellStyle name="40 % - Markeringsfarve4 2 3 3" xfId="848"/>
    <cellStyle name="40 % - Markeringsfarve4 2 3 3 2" xfId="1680"/>
    <cellStyle name="40 % - Markeringsfarve4 2 3 3 2 2" xfId="3345"/>
    <cellStyle name="40 % - Markeringsfarve4 2 3 3 2 2 2" xfId="8333"/>
    <cellStyle name="40 % - Markeringsfarve4 2 3 3 2 2 2 2" xfId="19140"/>
    <cellStyle name="40 % - Markeringsfarve4 2 3 3 2 2 2 3" xfId="30497"/>
    <cellStyle name="40 % - Markeringsfarve4 2 3 3 2 2 3" xfId="14155"/>
    <cellStyle name="40 % - Markeringsfarve4 2 3 3 2 2 4" xfId="25513"/>
    <cellStyle name="40 % - Markeringsfarve4 2 3 3 2 3" xfId="5009"/>
    <cellStyle name="40 % - Markeringsfarve4 2 3 3 2 3 2" xfId="9994"/>
    <cellStyle name="40 % - Markeringsfarve4 2 3 3 2 3 2 2" xfId="20801"/>
    <cellStyle name="40 % - Markeringsfarve4 2 3 3 2 3 2 3" xfId="32158"/>
    <cellStyle name="40 % - Markeringsfarve4 2 3 3 2 3 3" xfId="15816"/>
    <cellStyle name="40 % - Markeringsfarve4 2 3 3 2 3 4" xfId="27174"/>
    <cellStyle name="40 % - Markeringsfarve4 2 3 3 2 4" xfId="6671"/>
    <cellStyle name="40 % - Markeringsfarve4 2 3 3 2 4 2" xfId="17479"/>
    <cellStyle name="40 % - Markeringsfarve4 2 3 3 2 4 3" xfId="28836"/>
    <cellStyle name="40 % - Markeringsfarve4 2 3 3 2 5" xfId="12494"/>
    <cellStyle name="40 % - Markeringsfarve4 2 3 3 2 6" xfId="23852"/>
    <cellStyle name="40 % - Markeringsfarve4 2 3 3 3" xfId="2514"/>
    <cellStyle name="40 % - Markeringsfarve4 2 3 3 3 2" xfId="7502"/>
    <cellStyle name="40 % - Markeringsfarve4 2 3 3 3 2 2" xfId="18309"/>
    <cellStyle name="40 % - Markeringsfarve4 2 3 3 3 2 3" xfId="29666"/>
    <cellStyle name="40 % - Markeringsfarve4 2 3 3 3 3" xfId="13324"/>
    <cellStyle name="40 % - Markeringsfarve4 2 3 3 3 4" xfId="24682"/>
    <cellStyle name="40 % - Markeringsfarve4 2 3 3 4" xfId="4178"/>
    <cellStyle name="40 % - Markeringsfarve4 2 3 3 4 2" xfId="9163"/>
    <cellStyle name="40 % - Markeringsfarve4 2 3 3 4 2 2" xfId="19970"/>
    <cellStyle name="40 % - Markeringsfarve4 2 3 3 4 2 3" xfId="31327"/>
    <cellStyle name="40 % - Markeringsfarve4 2 3 3 4 3" xfId="14985"/>
    <cellStyle name="40 % - Markeringsfarve4 2 3 3 4 4" xfId="26343"/>
    <cellStyle name="40 % - Markeringsfarve4 2 3 3 5" xfId="5840"/>
    <cellStyle name="40 % - Markeringsfarve4 2 3 3 5 2" xfId="16648"/>
    <cellStyle name="40 % - Markeringsfarve4 2 3 3 5 3" xfId="28005"/>
    <cellStyle name="40 % - Markeringsfarve4 2 3 3 6" xfId="10827"/>
    <cellStyle name="40 % - Markeringsfarve4 2 3 3 6 2" xfId="21634"/>
    <cellStyle name="40 % - Markeringsfarve4 2 3 3 6 3" xfId="32991"/>
    <cellStyle name="40 % - Markeringsfarve4 2 3 3 7" xfId="11662"/>
    <cellStyle name="40 % - Markeringsfarve4 2 3 3 8" xfId="23021"/>
    <cellStyle name="40 % - Markeringsfarve4 2 3 4" xfId="1127"/>
    <cellStyle name="40 % - Markeringsfarve4 2 3 4 2" xfId="2792"/>
    <cellStyle name="40 % - Markeringsfarve4 2 3 4 2 2" xfId="7780"/>
    <cellStyle name="40 % - Markeringsfarve4 2 3 4 2 2 2" xfId="18587"/>
    <cellStyle name="40 % - Markeringsfarve4 2 3 4 2 2 3" xfId="29944"/>
    <cellStyle name="40 % - Markeringsfarve4 2 3 4 2 3" xfId="13602"/>
    <cellStyle name="40 % - Markeringsfarve4 2 3 4 2 4" xfId="24960"/>
    <cellStyle name="40 % - Markeringsfarve4 2 3 4 3" xfId="4456"/>
    <cellStyle name="40 % - Markeringsfarve4 2 3 4 3 2" xfId="9441"/>
    <cellStyle name="40 % - Markeringsfarve4 2 3 4 3 2 2" xfId="20248"/>
    <cellStyle name="40 % - Markeringsfarve4 2 3 4 3 2 3" xfId="31605"/>
    <cellStyle name="40 % - Markeringsfarve4 2 3 4 3 3" xfId="15263"/>
    <cellStyle name="40 % - Markeringsfarve4 2 3 4 3 4" xfId="26621"/>
    <cellStyle name="40 % - Markeringsfarve4 2 3 4 4" xfId="6118"/>
    <cellStyle name="40 % - Markeringsfarve4 2 3 4 4 2" xfId="16926"/>
    <cellStyle name="40 % - Markeringsfarve4 2 3 4 4 3" xfId="28283"/>
    <cellStyle name="40 % - Markeringsfarve4 2 3 4 5" xfId="11941"/>
    <cellStyle name="40 % - Markeringsfarve4 2 3 4 6" xfId="23299"/>
    <cellStyle name="40 % - Markeringsfarve4 2 3 5" xfId="1962"/>
    <cellStyle name="40 % - Markeringsfarve4 2 3 5 2" xfId="6950"/>
    <cellStyle name="40 % - Markeringsfarve4 2 3 5 2 2" xfId="17758"/>
    <cellStyle name="40 % - Markeringsfarve4 2 3 5 2 3" xfId="29115"/>
    <cellStyle name="40 % - Markeringsfarve4 2 3 5 3" xfId="12773"/>
    <cellStyle name="40 % - Markeringsfarve4 2 3 5 4" xfId="24131"/>
    <cellStyle name="40 % - Markeringsfarve4 2 3 6" xfId="3627"/>
    <cellStyle name="40 % - Markeringsfarve4 2 3 6 2" xfId="8612"/>
    <cellStyle name="40 % - Markeringsfarve4 2 3 6 2 2" xfId="19419"/>
    <cellStyle name="40 % - Markeringsfarve4 2 3 6 2 3" xfId="30776"/>
    <cellStyle name="40 % - Markeringsfarve4 2 3 6 3" xfId="14434"/>
    <cellStyle name="40 % - Markeringsfarve4 2 3 6 4" xfId="25792"/>
    <cellStyle name="40 % - Markeringsfarve4 2 3 7" xfId="5288"/>
    <cellStyle name="40 % - Markeringsfarve4 2 3 7 2" xfId="16097"/>
    <cellStyle name="40 % - Markeringsfarve4 2 3 7 3" xfId="27454"/>
    <cellStyle name="40 % - Markeringsfarve4 2 3 8" xfId="10273"/>
    <cellStyle name="40 % - Markeringsfarve4 2 3 8 2" xfId="21080"/>
    <cellStyle name="40 % - Markeringsfarve4 2 3 8 3" xfId="32437"/>
    <cellStyle name="40 % - Markeringsfarve4 2 3 9" xfId="11107"/>
    <cellStyle name="40 % - Markeringsfarve4 2 4" xfId="312"/>
    <cellStyle name="40 % - Markeringsfarve4 2 4 10" xfId="21969"/>
    <cellStyle name="40 % - Markeringsfarve4 2 4 11" xfId="22522"/>
    <cellStyle name="40 % - Markeringsfarve4 2 4 12" xfId="33325"/>
    <cellStyle name="40 % - Markeringsfarve4 2 4 13" xfId="33600"/>
    <cellStyle name="40 % - Markeringsfarve4 2 4 14" xfId="33871"/>
    <cellStyle name="40 % - Markeringsfarve4 2 4 2" xfId="629"/>
    <cellStyle name="40 % - Markeringsfarve4 2 4 2 2" xfId="1461"/>
    <cellStyle name="40 % - Markeringsfarve4 2 4 2 2 2" xfId="3126"/>
    <cellStyle name="40 % - Markeringsfarve4 2 4 2 2 2 2" xfId="8114"/>
    <cellStyle name="40 % - Markeringsfarve4 2 4 2 2 2 2 2" xfId="18921"/>
    <cellStyle name="40 % - Markeringsfarve4 2 4 2 2 2 2 3" xfId="30278"/>
    <cellStyle name="40 % - Markeringsfarve4 2 4 2 2 2 3" xfId="13936"/>
    <cellStyle name="40 % - Markeringsfarve4 2 4 2 2 2 4" xfId="25294"/>
    <cellStyle name="40 % - Markeringsfarve4 2 4 2 2 3" xfId="4790"/>
    <cellStyle name="40 % - Markeringsfarve4 2 4 2 2 3 2" xfId="9775"/>
    <cellStyle name="40 % - Markeringsfarve4 2 4 2 2 3 2 2" xfId="20582"/>
    <cellStyle name="40 % - Markeringsfarve4 2 4 2 2 3 2 3" xfId="31939"/>
    <cellStyle name="40 % - Markeringsfarve4 2 4 2 2 3 3" xfId="15597"/>
    <cellStyle name="40 % - Markeringsfarve4 2 4 2 2 3 4" xfId="26955"/>
    <cellStyle name="40 % - Markeringsfarve4 2 4 2 2 4" xfId="6452"/>
    <cellStyle name="40 % - Markeringsfarve4 2 4 2 2 4 2" xfId="17260"/>
    <cellStyle name="40 % - Markeringsfarve4 2 4 2 2 4 3" xfId="28617"/>
    <cellStyle name="40 % - Markeringsfarve4 2 4 2 2 5" xfId="12275"/>
    <cellStyle name="40 % - Markeringsfarve4 2 4 2 2 6" xfId="23633"/>
    <cellStyle name="40 % - Markeringsfarve4 2 4 2 3" xfId="2295"/>
    <cellStyle name="40 % - Markeringsfarve4 2 4 2 3 2" xfId="7283"/>
    <cellStyle name="40 % - Markeringsfarve4 2 4 2 3 2 2" xfId="18090"/>
    <cellStyle name="40 % - Markeringsfarve4 2 4 2 3 2 3" xfId="29447"/>
    <cellStyle name="40 % - Markeringsfarve4 2 4 2 3 3" xfId="13105"/>
    <cellStyle name="40 % - Markeringsfarve4 2 4 2 3 4" xfId="24463"/>
    <cellStyle name="40 % - Markeringsfarve4 2 4 2 4" xfId="3959"/>
    <cellStyle name="40 % - Markeringsfarve4 2 4 2 4 2" xfId="8944"/>
    <cellStyle name="40 % - Markeringsfarve4 2 4 2 4 2 2" xfId="19751"/>
    <cellStyle name="40 % - Markeringsfarve4 2 4 2 4 2 3" xfId="31108"/>
    <cellStyle name="40 % - Markeringsfarve4 2 4 2 4 3" xfId="14766"/>
    <cellStyle name="40 % - Markeringsfarve4 2 4 2 4 4" xfId="26124"/>
    <cellStyle name="40 % - Markeringsfarve4 2 4 2 5" xfId="5621"/>
    <cellStyle name="40 % - Markeringsfarve4 2 4 2 5 2" xfId="16429"/>
    <cellStyle name="40 % - Markeringsfarve4 2 4 2 5 3" xfId="27786"/>
    <cellStyle name="40 % - Markeringsfarve4 2 4 2 6" xfId="10608"/>
    <cellStyle name="40 % - Markeringsfarve4 2 4 2 6 2" xfId="21415"/>
    <cellStyle name="40 % - Markeringsfarve4 2 4 2 6 3" xfId="32772"/>
    <cellStyle name="40 % - Markeringsfarve4 2 4 2 7" xfId="11442"/>
    <cellStyle name="40 % - Markeringsfarve4 2 4 2 8" xfId="22248"/>
    <cellStyle name="40 % - Markeringsfarve4 2 4 2 9" xfId="22802"/>
    <cellStyle name="40 % - Markeringsfarve4 2 4 3" xfId="903"/>
    <cellStyle name="40 % - Markeringsfarve4 2 4 3 2" xfId="1735"/>
    <cellStyle name="40 % - Markeringsfarve4 2 4 3 2 2" xfId="3400"/>
    <cellStyle name="40 % - Markeringsfarve4 2 4 3 2 2 2" xfId="8388"/>
    <cellStyle name="40 % - Markeringsfarve4 2 4 3 2 2 2 2" xfId="19195"/>
    <cellStyle name="40 % - Markeringsfarve4 2 4 3 2 2 2 3" xfId="30552"/>
    <cellStyle name="40 % - Markeringsfarve4 2 4 3 2 2 3" xfId="14210"/>
    <cellStyle name="40 % - Markeringsfarve4 2 4 3 2 2 4" xfId="25568"/>
    <cellStyle name="40 % - Markeringsfarve4 2 4 3 2 3" xfId="5064"/>
    <cellStyle name="40 % - Markeringsfarve4 2 4 3 2 3 2" xfId="10049"/>
    <cellStyle name="40 % - Markeringsfarve4 2 4 3 2 3 2 2" xfId="20856"/>
    <cellStyle name="40 % - Markeringsfarve4 2 4 3 2 3 2 3" xfId="32213"/>
    <cellStyle name="40 % - Markeringsfarve4 2 4 3 2 3 3" xfId="15871"/>
    <cellStyle name="40 % - Markeringsfarve4 2 4 3 2 3 4" xfId="27229"/>
    <cellStyle name="40 % - Markeringsfarve4 2 4 3 2 4" xfId="6726"/>
    <cellStyle name="40 % - Markeringsfarve4 2 4 3 2 4 2" xfId="17534"/>
    <cellStyle name="40 % - Markeringsfarve4 2 4 3 2 4 3" xfId="28891"/>
    <cellStyle name="40 % - Markeringsfarve4 2 4 3 2 5" xfId="12549"/>
    <cellStyle name="40 % - Markeringsfarve4 2 4 3 2 6" xfId="23907"/>
    <cellStyle name="40 % - Markeringsfarve4 2 4 3 3" xfId="2569"/>
    <cellStyle name="40 % - Markeringsfarve4 2 4 3 3 2" xfId="7557"/>
    <cellStyle name="40 % - Markeringsfarve4 2 4 3 3 2 2" xfId="18364"/>
    <cellStyle name="40 % - Markeringsfarve4 2 4 3 3 2 3" xfId="29721"/>
    <cellStyle name="40 % - Markeringsfarve4 2 4 3 3 3" xfId="13379"/>
    <cellStyle name="40 % - Markeringsfarve4 2 4 3 3 4" xfId="24737"/>
    <cellStyle name="40 % - Markeringsfarve4 2 4 3 4" xfId="4233"/>
    <cellStyle name="40 % - Markeringsfarve4 2 4 3 4 2" xfId="9218"/>
    <cellStyle name="40 % - Markeringsfarve4 2 4 3 4 2 2" xfId="20025"/>
    <cellStyle name="40 % - Markeringsfarve4 2 4 3 4 2 3" xfId="31382"/>
    <cellStyle name="40 % - Markeringsfarve4 2 4 3 4 3" xfId="15040"/>
    <cellStyle name="40 % - Markeringsfarve4 2 4 3 4 4" xfId="26398"/>
    <cellStyle name="40 % - Markeringsfarve4 2 4 3 5" xfId="5895"/>
    <cellStyle name="40 % - Markeringsfarve4 2 4 3 5 2" xfId="16703"/>
    <cellStyle name="40 % - Markeringsfarve4 2 4 3 5 3" xfId="28060"/>
    <cellStyle name="40 % - Markeringsfarve4 2 4 3 6" xfId="10882"/>
    <cellStyle name="40 % - Markeringsfarve4 2 4 3 6 2" xfId="21689"/>
    <cellStyle name="40 % - Markeringsfarve4 2 4 3 6 3" xfId="33046"/>
    <cellStyle name="40 % - Markeringsfarve4 2 4 3 7" xfId="11717"/>
    <cellStyle name="40 % - Markeringsfarve4 2 4 3 8" xfId="23076"/>
    <cellStyle name="40 % - Markeringsfarve4 2 4 4" xfId="1182"/>
    <cellStyle name="40 % - Markeringsfarve4 2 4 4 2" xfId="2847"/>
    <cellStyle name="40 % - Markeringsfarve4 2 4 4 2 2" xfId="7835"/>
    <cellStyle name="40 % - Markeringsfarve4 2 4 4 2 2 2" xfId="18642"/>
    <cellStyle name="40 % - Markeringsfarve4 2 4 4 2 2 3" xfId="29999"/>
    <cellStyle name="40 % - Markeringsfarve4 2 4 4 2 3" xfId="13657"/>
    <cellStyle name="40 % - Markeringsfarve4 2 4 4 2 4" xfId="25015"/>
    <cellStyle name="40 % - Markeringsfarve4 2 4 4 3" xfId="4511"/>
    <cellStyle name="40 % - Markeringsfarve4 2 4 4 3 2" xfId="9496"/>
    <cellStyle name="40 % - Markeringsfarve4 2 4 4 3 2 2" xfId="20303"/>
    <cellStyle name="40 % - Markeringsfarve4 2 4 4 3 2 3" xfId="31660"/>
    <cellStyle name="40 % - Markeringsfarve4 2 4 4 3 3" xfId="15318"/>
    <cellStyle name="40 % - Markeringsfarve4 2 4 4 3 4" xfId="26676"/>
    <cellStyle name="40 % - Markeringsfarve4 2 4 4 4" xfId="6173"/>
    <cellStyle name="40 % - Markeringsfarve4 2 4 4 4 2" xfId="16981"/>
    <cellStyle name="40 % - Markeringsfarve4 2 4 4 4 3" xfId="28338"/>
    <cellStyle name="40 % - Markeringsfarve4 2 4 4 5" xfId="11996"/>
    <cellStyle name="40 % - Markeringsfarve4 2 4 4 6" xfId="23354"/>
    <cellStyle name="40 % - Markeringsfarve4 2 4 5" xfId="2017"/>
    <cellStyle name="40 % - Markeringsfarve4 2 4 5 2" xfId="7005"/>
    <cellStyle name="40 % - Markeringsfarve4 2 4 5 2 2" xfId="17813"/>
    <cellStyle name="40 % - Markeringsfarve4 2 4 5 2 3" xfId="29170"/>
    <cellStyle name="40 % - Markeringsfarve4 2 4 5 3" xfId="12828"/>
    <cellStyle name="40 % - Markeringsfarve4 2 4 5 4" xfId="24186"/>
    <cellStyle name="40 % - Markeringsfarve4 2 4 6" xfId="3682"/>
    <cellStyle name="40 % - Markeringsfarve4 2 4 6 2" xfId="8667"/>
    <cellStyle name="40 % - Markeringsfarve4 2 4 6 2 2" xfId="19474"/>
    <cellStyle name="40 % - Markeringsfarve4 2 4 6 2 3" xfId="30831"/>
    <cellStyle name="40 % - Markeringsfarve4 2 4 6 3" xfId="14489"/>
    <cellStyle name="40 % - Markeringsfarve4 2 4 6 4" xfId="25847"/>
    <cellStyle name="40 % - Markeringsfarve4 2 4 7" xfId="5343"/>
    <cellStyle name="40 % - Markeringsfarve4 2 4 7 2" xfId="16152"/>
    <cellStyle name="40 % - Markeringsfarve4 2 4 7 3" xfId="27509"/>
    <cellStyle name="40 % - Markeringsfarve4 2 4 8" xfId="10328"/>
    <cellStyle name="40 % - Markeringsfarve4 2 4 8 2" xfId="21135"/>
    <cellStyle name="40 % - Markeringsfarve4 2 4 8 3" xfId="32492"/>
    <cellStyle name="40 % - Markeringsfarve4 2 4 9" xfId="11162"/>
    <cellStyle name="40 % - Markeringsfarve4 2 5" xfId="368"/>
    <cellStyle name="40 % - Markeringsfarve4 2 5 10" xfId="22025"/>
    <cellStyle name="40 % - Markeringsfarve4 2 5 11" xfId="22578"/>
    <cellStyle name="40 % - Markeringsfarve4 2 5 12" xfId="33381"/>
    <cellStyle name="40 % - Markeringsfarve4 2 5 13" xfId="33656"/>
    <cellStyle name="40 % - Markeringsfarve4 2 5 14" xfId="33927"/>
    <cellStyle name="40 % - Markeringsfarve4 2 5 2" xfId="685"/>
    <cellStyle name="40 % - Markeringsfarve4 2 5 2 2" xfId="1517"/>
    <cellStyle name="40 % - Markeringsfarve4 2 5 2 2 2" xfId="3182"/>
    <cellStyle name="40 % - Markeringsfarve4 2 5 2 2 2 2" xfId="8170"/>
    <cellStyle name="40 % - Markeringsfarve4 2 5 2 2 2 2 2" xfId="18977"/>
    <cellStyle name="40 % - Markeringsfarve4 2 5 2 2 2 2 3" xfId="30334"/>
    <cellStyle name="40 % - Markeringsfarve4 2 5 2 2 2 3" xfId="13992"/>
    <cellStyle name="40 % - Markeringsfarve4 2 5 2 2 2 4" xfId="25350"/>
    <cellStyle name="40 % - Markeringsfarve4 2 5 2 2 3" xfId="4846"/>
    <cellStyle name="40 % - Markeringsfarve4 2 5 2 2 3 2" xfId="9831"/>
    <cellStyle name="40 % - Markeringsfarve4 2 5 2 2 3 2 2" xfId="20638"/>
    <cellStyle name="40 % - Markeringsfarve4 2 5 2 2 3 2 3" xfId="31995"/>
    <cellStyle name="40 % - Markeringsfarve4 2 5 2 2 3 3" xfId="15653"/>
    <cellStyle name="40 % - Markeringsfarve4 2 5 2 2 3 4" xfId="27011"/>
    <cellStyle name="40 % - Markeringsfarve4 2 5 2 2 4" xfId="6508"/>
    <cellStyle name="40 % - Markeringsfarve4 2 5 2 2 4 2" xfId="17316"/>
    <cellStyle name="40 % - Markeringsfarve4 2 5 2 2 4 3" xfId="28673"/>
    <cellStyle name="40 % - Markeringsfarve4 2 5 2 2 5" xfId="12331"/>
    <cellStyle name="40 % - Markeringsfarve4 2 5 2 2 6" xfId="23689"/>
    <cellStyle name="40 % - Markeringsfarve4 2 5 2 3" xfId="2351"/>
    <cellStyle name="40 % - Markeringsfarve4 2 5 2 3 2" xfId="7339"/>
    <cellStyle name="40 % - Markeringsfarve4 2 5 2 3 2 2" xfId="18146"/>
    <cellStyle name="40 % - Markeringsfarve4 2 5 2 3 2 3" xfId="29503"/>
    <cellStyle name="40 % - Markeringsfarve4 2 5 2 3 3" xfId="13161"/>
    <cellStyle name="40 % - Markeringsfarve4 2 5 2 3 4" xfId="24519"/>
    <cellStyle name="40 % - Markeringsfarve4 2 5 2 4" xfId="4015"/>
    <cellStyle name="40 % - Markeringsfarve4 2 5 2 4 2" xfId="9000"/>
    <cellStyle name="40 % - Markeringsfarve4 2 5 2 4 2 2" xfId="19807"/>
    <cellStyle name="40 % - Markeringsfarve4 2 5 2 4 2 3" xfId="31164"/>
    <cellStyle name="40 % - Markeringsfarve4 2 5 2 4 3" xfId="14822"/>
    <cellStyle name="40 % - Markeringsfarve4 2 5 2 4 4" xfId="26180"/>
    <cellStyle name="40 % - Markeringsfarve4 2 5 2 5" xfId="5677"/>
    <cellStyle name="40 % - Markeringsfarve4 2 5 2 5 2" xfId="16485"/>
    <cellStyle name="40 % - Markeringsfarve4 2 5 2 5 3" xfId="27842"/>
    <cellStyle name="40 % - Markeringsfarve4 2 5 2 6" xfId="10664"/>
    <cellStyle name="40 % - Markeringsfarve4 2 5 2 6 2" xfId="21471"/>
    <cellStyle name="40 % - Markeringsfarve4 2 5 2 6 3" xfId="32828"/>
    <cellStyle name="40 % - Markeringsfarve4 2 5 2 7" xfId="11498"/>
    <cellStyle name="40 % - Markeringsfarve4 2 5 2 8" xfId="22304"/>
    <cellStyle name="40 % - Markeringsfarve4 2 5 2 9" xfId="22858"/>
    <cellStyle name="40 % - Markeringsfarve4 2 5 3" xfId="959"/>
    <cellStyle name="40 % - Markeringsfarve4 2 5 3 2" xfId="1791"/>
    <cellStyle name="40 % - Markeringsfarve4 2 5 3 2 2" xfId="3456"/>
    <cellStyle name="40 % - Markeringsfarve4 2 5 3 2 2 2" xfId="8444"/>
    <cellStyle name="40 % - Markeringsfarve4 2 5 3 2 2 2 2" xfId="19251"/>
    <cellStyle name="40 % - Markeringsfarve4 2 5 3 2 2 2 3" xfId="30608"/>
    <cellStyle name="40 % - Markeringsfarve4 2 5 3 2 2 3" xfId="14266"/>
    <cellStyle name="40 % - Markeringsfarve4 2 5 3 2 2 4" xfId="25624"/>
    <cellStyle name="40 % - Markeringsfarve4 2 5 3 2 3" xfId="5120"/>
    <cellStyle name="40 % - Markeringsfarve4 2 5 3 2 3 2" xfId="10105"/>
    <cellStyle name="40 % - Markeringsfarve4 2 5 3 2 3 2 2" xfId="20912"/>
    <cellStyle name="40 % - Markeringsfarve4 2 5 3 2 3 2 3" xfId="32269"/>
    <cellStyle name="40 % - Markeringsfarve4 2 5 3 2 3 3" xfId="15927"/>
    <cellStyle name="40 % - Markeringsfarve4 2 5 3 2 3 4" xfId="27285"/>
    <cellStyle name="40 % - Markeringsfarve4 2 5 3 2 4" xfId="6782"/>
    <cellStyle name="40 % - Markeringsfarve4 2 5 3 2 4 2" xfId="17590"/>
    <cellStyle name="40 % - Markeringsfarve4 2 5 3 2 4 3" xfId="28947"/>
    <cellStyle name="40 % - Markeringsfarve4 2 5 3 2 5" xfId="12605"/>
    <cellStyle name="40 % - Markeringsfarve4 2 5 3 2 6" xfId="23963"/>
    <cellStyle name="40 % - Markeringsfarve4 2 5 3 3" xfId="2625"/>
    <cellStyle name="40 % - Markeringsfarve4 2 5 3 3 2" xfId="7613"/>
    <cellStyle name="40 % - Markeringsfarve4 2 5 3 3 2 2" xfId="18420"/>
    <cellStyle name="40 % - Markeringsfarve4 2 5 3 3 2 3" xfId="29777"/>
    <cellStyle name="40 % - Markeringsfarve4 2 5 3 3 3" xfId="13435"/>
    <cellStyle name="40 % - Markeringsfarve4 2 5 3 3 4" xfId="24793"/>
    <cellStyle name="40 % - Markeringsfarve4 2 5 3 4" xfId="4289"/>
    <cellStyle name="40 % - Markeringsfarve4 2 5 3 4 2" xfId="9274"/>
    <cellStyle name="40 % - Markeringsfarve4 2 5 3 4 2 2" xfId="20081"/>
    <cellStyle name="40 % - Markeringsfarve4 2 5 3 4 2 3" xfId="31438"/>
    <cellStyle name="40 % - Markeringsfarve4 2 5 3 4 3" xfId="15096"/>
    <cellStyle name="40 % - Markeringsfarve4 2 5 3 4 4" xfId="26454"/>
    <cellStyle name="40 % - Markeringsfarve4 2 5 3 5" xfId="5951"/>
    <cellStyle name="40 % - Markeringsfarve4 2 5 3 5 2" xfId="16759"/>
    <cellStyle name="40 % - Markeringsfarve4 2 5 3 5 3" xfId="28116"/>
    <cellStyle name="40 % - Markeringsfarve4 2 5 3 6" xfId="10938"/>
    <cellStyle name="40 % - Markeringsfarve4 2 5 3 6 2" xfId="21745"/>
    <cellStyle name="40 % - Markeringsfarve4 2 5 3 6 3" xfId="33102"/>
    <cellStyle name="40 % - Markeringsfarve4 2 5 3 7" xfId="11773"/>
    <cellStyle name="40 % - Markeringsfarve4 2 5 3 8" xfId="23132"/>
    <cellStyle name="40 % - Markeringsfarve4 2 5 4" xfId="1238"/>
    <cellStyle name="40 % - Markeringsfarve4 2 5 4 2" xfId="2903"/>
    <cellStyle name="40 % - Markeringsfarve4 2 5 4 2 2" xfId="7891"/>
    <cellStyle name="40 % - Markeringsfarve4 2 5 4 2 2 2" xfId="18698"/>
    <cellStyle name="40 % - Markeringsfarve4 2 5 4 2 2 3" xfId="30055"/>
    <cellStyle name="40 % - Markeringsfarve4 2 5 4 2 3" xfId="13713"/>
    <cellStyle name="40 % - Markeringsfarve4 2 5 4 2 4" xfId="25071"/>
    <cellStyle name="40 % - Markeringsfarve4 2 5 4 3" xfId="4567"/>
    <cellStyle name="40 % - Markeringsfarve4 2 5 4 3 2" xfId="9552"/>
    <cellStyle name="40 % - Markeringsfarve4 2 5 4 3 2 2" xfId="20359"/>
    <cellStyle name="40 % - Markeringsfarve4 2 5 4 3 2 3" xfId="31716"/>
    <cellStyle name="40 % - Markeringsfarve4 2 5 4 3 3" xfId="15374"/>
    <cellStyle name="40 % - Markeringsfarve4 2 5 4 3 4" xfId="26732"/>
    <cellStyle name="40 % - Markeringsfarve4 2 5 4 4" xfId="6229"/>
    <cellStyle name="40 % - Markeringsfarve4 2 5 4 4 2" xfId="17037"/>
    <cellStyle name="40 % - Markeringsfarve4 2 5 4 4 3" xfId="28394"/>
    <cellStyle name="40 % - Markeringsfarve4 2 5 4 5" xfId="12052"/>
    <cellStyle name="40 % - Markeringsfarve4 2 5 4 6" xfId="23410"/>
    <cellStyle name="40 % - Markeringsfarve4 2 5 5" xfId="2073"/>
    <cellStyle name="40 % - Markeringsfarve4 2 5 5 2" xfId="7061"/>
    <cellStyle name="40 % - Markeringsfarve4 2 5 5 2 2" xfId="17869"/>
    <cellStyle name="40 % - Markeringsfarve4 2 5 5 2 3" xfId="29226"/>
    <cellStyle name="40 % - Markeringsfarve4 2 5 5 3" xfId="12884"/>
    <cellStyle name="40 % - Markeringsfarve4 2 5 5 4" xfId="24242"/>
    <cellStyle name="40 % - Markeringsfarve4 2 5 6" xfId="3738"/>
    <cellStyle name="40 % - Markeringsfarve4 2 5 6 2" xfId="8723"/>
    <cellStyle name="40 % - Markeringsfarve4 2 5 6 2 2" xfId="19530"/>
    <cellStyle name="40 % - Markeringsfarve4 2 5 6 2 3" xfId="30887"/>
    <cellStyle name="40 % - Markeringsfarve4 2 5 6 3" xfId="14545"/>
    <cellStyle name="40 % - Markeringsfarve4 2 5 6 4" xfId="25903"/>
    <cellStyle name="40 % - Markeringsfarve4 2 5 7" xfId="5399"/>
    <cellStyle name="40 % - Markeringsfarve4 2 5 7 2" xfId="16208"/>
    <cellStyle name="40 % - Markeringsfarve4 2 5 7 3" xfId="27565"/>
    <cellStyle name="40 % - Markeringsfarve4 2 5 8" xfId="10384"/>
    <cellStyle name="40 % - Markeringsfarve4 2 5 8 2" xfId="21191"/>
    <cellStyle name="40 % - Markeringsfarve4 2 5 8 3" xfId="32548"/>
    <cellStyle name="40 % - Markeringsfarve4 2 5 9" xfId="11218"/>
    <cellStyle name="40 % - Markeringsfarve4 2 6" xfId="468"/>
    <cellStyle name="40 % - Markeringsfarve4 2 6 2" xfId="1298"/>
    <cellStyle name="40 % - Markeringsfarve4 2 6 2 2" xfId="2963"/>
    <cellStyle name="40 % - Markeringsfarve4 2 6 2 2 2" xfId="7951"/>
    <cellStyle name="40 % - Markeringsfarve4 2 6 2 2 2 2" xfId="18758"/>
    <cellStyle name="40 % - Markeringsfarve4 2 6 2 2 2 3" xfId="30115"/>
    <cellStyle name="40 % - Markeringsfarve4 2 6 2 2 3" xfId="13773"/>
    <cellStyle name="40 % - Markeringsfarve4 2 6 2 2 4" xfId="25131"/>
    <cellStyle name="40 % - Markeringsfarve4 2 6 2 3" xfId="4627"/>
    <cellStyle name="40 % - Markeringsfarve4 2 6 2 3 2" xfId="9612"/>
    <cellStyle name="40 % - Markeringsfarve4 2 6 2 3 2 2" xfId="20419"/>
    <cellStyle name="40 % - Markeringsfarve4 2 6 2 3 2 3" xfId="31776"/>
    <cellStyle name="40 % - Markeringsfarve4 2 6 2 3 3" xfId="15434"/>
    <cellStyle name="40 % - Markeringsfarve4 2 6 2 3 4" xfId="26792"/>
    <cellStyle name="40 % - Markeringsfarve4 2 6 2 4" xfId="6289"/>
    <cellStyle name="40 % - Markeringsfarve4 2 6 2 4 2" xfId="17097"/>
    <cellStyle name="40 % - Markeringsfarve4 2 6 2 4 3" xfId="28454"/>
    <cellStyle name="40 % - Markeringsfarve4 2 6 2 5" xfId="12112"/>
    <cellStyle name="40 % - Markeringsfarve4 2 6 2 6" xfId="23470"/>
    <cellStyle name="40 % - Markeringsfarve4 2 6 3" xfId="2134"/>
    <cellStyle name="40 % - Markeringsfarve4 2 6 3 2" xfId="7122"/>
    <cellStyle name="40 % - Markeringsfarve4 2 6 3 2 2" xfId="17929"/>
    <cellStyle name="40 % - Markeringsfarve4 2 6 3 2 3" xfId="29286"/>
    <cellStyle name="40 % - Markeringsfarve4 2 6 3 3" xfId="12944"/>
    <cellStyle name="40 % - Markeringsfarve4 2 6 3 4" xfId="24302"/>
    <cellStyle name="40 % - Markeringsfarve4 2 6 4" xfId="3798"/>
    <cellStyle name="40 % - Markeringsfarve4 2 6 4 2" xfId="8783"/>
    <cellStyle name="40 % - Markeringsfarve4 2 6 4 2 2" xfId="19590"/>
    <cellStyle name="40 % - Markeringsfarve4 2 6 4 2 3" xfId="30947"/>
    <cellStyle name="40 % - Markeringsfarve4 2 6 4 3" xfId="14605"/>
    <cellStyle name="40 % - Markeringsfarve4 2 6 4 4" xfId="25963"/>
    <cellStyle name="40 % - Markeringsfarve4 2 6 5" xfId="5460"/>
    <cellStyle name="40 % - Markeringsfarve4 2 6 5 2" xfId="16268"/>
    <cellStyle name="40 % - Markeringsfarve4 2 6 5 3" xfId="27625"/>
    <cellStyle name="40 % - Markeringsfarve4 2 6 6" xfId="10443"/>
    <cellStyle name="40 % - Markeringsfarve4 2 6 6 2" xfId="21250"/>
    <cellStyle name="40 % - Markeringsfarve4 2 6 6 3" xfId="32607"/>
    <cellStyle name="40 % - Markeringsfarve4 2 6 7" xfId="11279"/>
    <cellStyle name="40 % - Markeringsfarve4 2 6 8" xfId="22085"/>
    <cellStyle name="40 % - Markeringsfarve4 2 6 9" xfId="22639"/>
    <cellStyle name="40 % - Markeringsfarve4 2 7" xfId="740"/>
    <cellStyle name="40 % - Markeringsfarve4 2 7 2" xfId="1572"/>
    <cellStyle name="40 % - Markeringsfarve4 2 7 2 2" xfId="3237"/>
    <cellStyle name="40 % - Markeringsfarve4 2 7 2 2 2" xfId="8225"/>
    <cellStyle name="40 % - Markeringsfarve4 2 7 2 2 2 2" xfId="19032"/>
    <cellStyle name="40 % - Markeringsfarve4 2 7 2 2 2 3" xfId="30389"/>
    <cellStyle name="40 % - Markeringsfarve4 2 7 2 2 3" xfId="14047"/>
    <cellStyle name="40 % - Markeringsfarve4 2 7 2 2 4" xfId="25405"/>
    <cellStyle name="40 % - Markeringsfarve4 2 7 2 3" xfId="4901"/>
    <cellStyle name="40 % - Markeringsfarve4 2 7 2 3 2" xfId="9886"/>
    <cellStyle name="40 % - Markeringsfarve4 2 7 2 3 2 2" xfId="20693"/>
    <cellStyle name="40 % - Markeringsfarve4 2 7 2 3 2 3" xfId="32050"/>
    <cellStyle name="40 % - Markeringsfarve4 2 7 2 3 3" xfId="15708"/>
    <cellStyle name="40 % - Markeringsfarve4 2 7 2 3 4" xfId="27066"/>
    <cellStyle name="40 % - Markeringsfarve4 2 7 2 4" xfId="6563"/>
    <cellStyle name="40 % - Markeringsfarve4 2 7 2 4 2" xfId="17371"/>
    <cellStyle name="40 % - Markeringsfarve4 2 7 2 4 3" xfId="28728"/>
    <cellStyle name="40 % - Markeringsfarve4 2 7 2 5" xfId="12386"/>
    <cellStyle name="40 % - Markeringsfarve4 2 7 2 6" xfId="23744"/>
    <cellStyle name="40 % - Markeringsfarve4 2 7 3" xfId="2406"/>
    <cellStyle name="40 % - Markeringsfarve4 2 7 3 2" xfId="7394"/>
    <cellStyle name="40 % - Markeringsfarve4 2 7 3 2 2" xfId="18201"/>
    <cellStyle name="40 % - Markeringsfarve4 2 7 3 2 3" xfId="29558"/>
    <cellStyle name="40 % - Markeringsfarve4 2 7 3 3" xfId="13216"/>
    <cellStyle name="40 % - Markeringsfarve4 2 7 3 4" xfId="24574"/>
    <cellStyle name="40 % - Markeringsfarve4 2 7 4" xfId="4070"/>
    <cellStyle name="40 % - Markeringsfarve4 2 7 4 2" xfId="9055"/>
    <cellStyle name="40 % - Markeringsfarve4 2 7 4 2 2" xfId="19862"/>
    <cellStyle name="40 % - Markeringsfarve4 2 7 4 2 3" xfId="31219"/>
    <cellStyle name="40 % - Markeringsfarve4 2 7 4 3" xfId="14877"/>
    <cellStyle name="40 % - Markeringsfarve4 2 7 4 4" xfId="26235"/>
    <cellStyle name="40 % - Markeringsfarve4 2 7 5" xfId="5732"/>
    <cellStyle name="40 % - Markeringsfarve4 2 7 5 2" xfId="16540"/>
    <cellStyle name="40 % - Markeringsfarve4 2 7 5 3" xfId="27897"/>
    <cellStyle name="40 % - Markeringsfarve4 2 7 6" xfId="10719"/>
    <cellStyle name="40 % - Markeringsfarve4 2 7 6 2" xfId="21526"/>
    <cellStyle name="40 % - Markeringsfarve4 2 7 6 3" xfId="32883"/>
    <cellStyle name="40 % - Markeringsfarve4 2 7 7" xfId="11554"/>
    <cellStyle name="40 % - Markeringsfarve4 2 7 8" xfId="22913"/>
    <cellStyle name="40 % - Markeringsfarve4 2 8" xfId="1019"/>
    <cellStyle name="40 % - Markeringsfarve4 2 8 2" xfId="2684"/>
    <cellStyle name="40 % - Markeringsfarve4 2 8 2 2" xfId="7672"/>
    <cellStyle name="40 % - Markeringsfarve4 2 8 2 2 2" xfId="18479"/>
    <cellStyle name="40 % - Markeringsfarve4 2 8 2 2 3" xfId="29836"/>
    <cellStyle name="40 % - Markeringsfarve4 2 8 2 3" xfId="13494"/>
    <cellStyle name="40 % - Markeringsfarve4 2 8 2 4" xfId="24852"/>
    <cellStyle name="40 % - Markeringsfarve4 2 8 3" xfId="4348"/>
    <cellStyle name="40 % - Markeringsfarve4 2 8 3 2" xfId="9333"/>
    <cellStyle name="40 % - Markeringsfarve4 2 8 3 2 2" xfId="20140"/>
    <cellStyle name="40 % - Markeringsfarve4 2 8 3 2 3" xfId="31497"/>
    <cellStyle name="40 % - Markeringsfarve4 2 8 3 3" xfId="15155"/>
    <cellStyle name="40 % - Markeringsfarve4 2 8 3 4" xfId="26513"/>
    <cellStyle name="40 % - Markeringsfarve4 2 8 4" xfId="6010"/>
    <cellStyle name="40 % - Markeringsfarve4 2 8 4 2" xfId="16818"/>
    <cellStyle name="40 % - Markeringsfarve4 2 8 4 3" xfId="28175"/>
    <cellStyle name="40 % - Markeringsfarve4 2 8 5" xfId="11833"/>
    <cellStyle name="40 % - Markeringsfarve4 2 8 6" xfId="23191"/>
    <cellStyle name="40 % - Markeringsfarve4 2 9" xfId="1855"/>
    <cellStyle name="40 % - Markeringsfarve4 2 9 2" xfId="6843"/>
    <cellStyle name="40 % - Markeringsfarve4 2 9 2 2" xfId="17651"/>
    <cellStyle name="40 % - Markeringsfarve4 2 9 2 3" xfId="29008"/>
    <cellStyle name="40 % - Markeringsfarve4 2 9 3" xfId="12666"/>
    <cellStyle name="40 % - Markeringsfarve4 2 9 4" xfId="24024"/>
    <cellStyle name="40 % - Markeringsfarve4 20" xfId="33690"/>
    <cellStyle name="40 % - Markeringsfarve4 3" xfId="101"/>
    <cellStyle name="40 % - Markeringsfarve4 3 10" xfId="3539"/>
    <cellStyle name="40 % - Markeringsfarve4 3 10 2" xfId="8524"/>
    <cellStyle name="40 % - Markeringsfarve4 3 10 2 2" xfId="19331"/>
    <cellStyle name="40 % - Markeringsfarve4 3 10 2 3" xfId="30688"/>
    <cellStyle name="40 % - Markeringsfarve4 3 10 3" xfId="14346"/>
    <cellStyle name="40 % - Markeringsfarve4 3 10 4" xfId="25704"/>
    <cellStyle name="40 % - Markeringsfarve4 3 11" xfId="5200"/>
    <cellStyle name="40 % - Markeringsfarve4 3 11 2" xfId="16009"/>
    <cellStyle name="40 % - Markeringsfarve4 3 11 3" xfId="27366"/>
    <cellStyle name="40 % - Markeringsfarve4 3 12" xfId="10184"/>
    <cellStyle name="40 % - Markeringsfarve4 3 12 2" xfId="20991"/>
    <cellStyle name="40 % - Markeringsfarve4 3 12 3" xfId="32348"/>
    <cellStyle name="40 % - Markeringsfarve4 3 13" xfId="11018"/>
    <cellStyle name="40 % - Markeringsfarve4 3 14" xfId="21825"/>
    <cellStyle name="40 % - Markeringsfarve4 3 15" xfId="22378"/>
    <cellStyle name="40 % - Markeringsfarve4 3 16" xfId="33181"/>
    <cellStyle name="40 % - Markeringsfarve4 3 17" xfId="33455"/>
    <cellStyle name="40 % - Markeringsfarve4 3 18" xfId="33726"/>
    <cellStyle name="40 % - Markeringsfarve4 3 2" xfId="221"/>
    <cellStyle name="40 % - Markeringsfarve4 3 2 10" xfId="21879"/>
    <cellStyle name="40 % - Markeringsfarve4 3 2 11" xfId="22432"/>
    <cellStyle name="40 % - Markeringsfarve4 3 2 12" xfId="33235"/>
    <cellStyle name="40 % - Markeringsfarve4 3 2 13" xfId="33510"/>
    <cellStyle name="40 % - Markeringsfarve4 3 2 14" xfId="33781"/>
    <cellStyle name="40 % - Markeringsfarve4 3 2 2" xfId="539"/>
    <cellStyle name="40 % - Markeringsfarve4 3 2 2 2" xfId="1371"/>
    <cellStyle name="40 % - Markeringsfarve4 3 2 2 2 2" xfId="3036"/>
    <cellStyle name="40 % - Markeringsfarve4 3 2 2 2 2 2" xfId="8024"/>
    <cellStyle name="40 % - Markeringsfarve4 3 2 2 2 2 2 2" xfId="18831"/>
    <cellStyle name="40 % - Markeringsfarve4 3 2 2 2 2 2 3" xfId="30188"/>
    <cellStyle name="40 % - Markeringsfarve4 3 2 2 2 2 3" xfId="13846"/>
    <cellStyle name="40 % - Markeringsfarve4 3 2 2 2 2 4" xfId="25204"/>
    <cellStyle name="40 % - Markeringsfarve4 3 2 2 2 3" xfId="4700"/>
    <cellStyle name="40 % - Markeringsfarve4 3 2 2 2 3 2" xfId="9685"/>
    <cellStyle name="40 % - Markeringsfarve4 3 2 2 2 3 2 2" xfId="20492"/>
    <cellStyle name="40 % - Markeringsfarve4 3 2 2 2 3 2 3" xfId="31849"/>
    <cellStyle name="40 % - Markeringsfarve4 3 2 2 2 3 3" xfId="15507"/>
    <cellStyle name="40 % - Markeringsfarve4 3 2 2 2 3 4" xfId="26865"/>
    <cellStyle name="40 % - Markeringsfarve4 3 2 2 2 4" xfId="6362"/>
    <cellStyle name="40 % - Markeringsfarve4 3 2 2 2 4 2" xfId="17170"/>
    <cellStyle name="40 % - Markeringsfarve4 3 2 2 2 4 3" xfId="28527"/>
    <cellStyle name="40 % - Markeringsfarve4 3 2 2 2 5" xfId="12185"/>
    <cellStyle name="40 % - Markeringsfarve4 3 2 2 2 6" xfId="23543"/>
    <cellStyle name="40 % - Markeringsfarve4 3 2 2 3" xfId="2205"/>
    <cellStyle name="40 % - Markeringsfarve4 3 2 2 3 2" xfId="7193"/>
    <cellStyle name="40 % - Markeringsfarve4 3 2 2 3 2 2" xfId="18000"/>
    <cellStyle name="40 % - Markeringsfarve4 3 2 2 3 2 3" xfId="29357"/>
    <cellStyle name="40 % - Markeringsfarve4 3 2 2 3 3" xfId="13015"/>
    <cellStyle name="40 % - Markeringsfarve4 3 2 2 3 4" xfId="24373"/>
    <cellStyle name="40 % - Markeringsfarve4 3 2 2 4" xfId="3869"/>
    <cellStyle name="40 % - Markeringsfarve4 3 2 2 4 2" xfId="8854"/>
    <cellStyle name="40 % - Markeringsfarve4 3 2 2 4 2 2" xfId="19661"/>
    <cellStyle name="40 % - Markeringsfarve4 3 2 2 4 2 3" xfId="31018"/>
    <cellStyle name="40 % - Markeringsfarve4 3 2 2 4 3" xfId="14676"/>
    <cellStyle name="40 % - Markeringsfarve4 3 2 2 4 4" xfId="26034"/>
    <cellStyle name="40 % - Markeringsfarve4 3 2 2 5" xfId="5531"/>
    <cellStyle name="40 % - Markeringsfarve4 3 2 2 5 2" xfId="16339"/>
    <cellStyle name="40 % - Markeringsfarve4 3 2 2 5 3" xfId="27696"/>
    <cellStyle name="40 % - Markeringsfarve4 3 2 2 6" xfId="10518"/>
    <cellStyle name="40 % - Markeringsfarve4 3 2 2 6 2" xfId="21325"/>
    <cellStyle name="40 % - Markeringsfarve4 3 2 2 6 3" xfId="32682"/>
    <cellStyle name="40 % - Markeringsfarve4 3 2 2 7" xfId="11352"/>
    <cellStyle name="40 % - Markeringsfarve4 3 2 2 8" xfId="22158"/>
    <cellStyle name="40 % - Markeringsfarve4 3 2 2 9" xfId="22712"/>
    <cellStyle name="40 % - Markeringsfarve4 3 2 3" xfId="813"/>
    <cellStyle name="40 % - Markeringsfarve4 3 2 3 2" xfId="1645"/>
    <cellStyle name="40 % - Markeringsfarve4 3 2 3 2 2" xfId="3310"/>
    <cellStyle name="40 % - Markeringsfarve4 3 2 3 2 2 2" xfId="8298"/>
    <cellStyle name="40 % - Markeringsfarve4 3 2 3 2 2 2 2" xfId="19105"/>
    <cellStyle name="40 % - Markeringsfarve4 3 2 3 2 2 2 3" xfId="30462"/>
    <cellStyle name="40 % - Markeringsfarve4 3 2 3 2 2 3" xfId="14120"/>
    <cellStyle name="40 % - Markeringsfarve4 3 2 3 2 2 4" xfId="25478"/>
    <cellStyle name="40 % - Markeringsfarve4 3 2 3 2 3" xfId="4974"/>
    <cellStyle name="40 % - Markeringsfarve4 3 2 3 2 3 2" xfId="9959"/>
    <cellStyle name="40 % - Markeringsfarve4 3 2 3 2 3 2 2" xfId="20766"/>
    <cellStyle name="40 % - Markeringsfarve4 3 2 3 2 3 2 3" xfId="32123"/>
    <cellStyle name="40 % - Markeringsfarve4 3 2 3 2 3 3" xfId="15781"/>
    <cellStyle name="40 % - Markeringsfarve4 3 2 3 2 3 4" xfId="27139"/>
    <cellStyle name="40 % - Markeringsfarve4 3 2 3 2 4" xfId="6636"/>
    <cellStyle name="40 % - Markeringsfarve4 3 2 3 2 4 2" xfId="17444"/>
    <cellStyle name="40 % - Markeringsfarve4 3 2 3 2 4 3" xfId="28801"/>
    <cellStyle name="40 % - Markeringsfarve4 3 2 3 2 5" xfId="12459"/>
    <cellStyle name="40 % - Markeringsfarve4 3 2 3 2 6" xfId="23817"/>
    <cellStyle name="40 % - Markeringsfarve4 3 2 3 3" xfId="2479"/>
    <cellStyle name="40 % - Markeringsfarve4 3 2 3 3 2" xfId="7467"/>
    <cellStyle name="40 % - Markeringsfarve4 3 2 3 3 2 2" xfId="18274"/>
    <cellStyle name="40 % - Markeringsfarve4 3 2 3 3 2 3" xfId="29631"/>
    <cellStyle name="40 % - Markeringsfarve4 3 2 3 3 3" xfId="13289"/>
    <cellStyle name="40 % - Markeringsfarve4 3 2 3 3 4" xfId="24647"/>
    <cellStyle name="40 % - Markeringsfarve4 3 2 3 4" xfId="4143"/>
    <cellStyle name="40 % - Markeringsfarve4 3 2 3 4 2" xfId="9128"/>
    <cellStyle name="40 % - Markeringsfarve4 3 2 3 4 2 2" xfId="19935"/>
    <cellStyle name="40 % - Markeringsfarve4 3 2 3 4 2 3" xfId="31292"/>
    <cellStyle name="40 % - Markeringsfarve4 3 2 3 4 3" xfId="14950"/>
    <cellStyle name="40 % - Markeringsfarve4 3 2 3 4 4" xfId="26308"/>
    <cellStyle name="40 % - Markeringsfarve4 3 2 3 5" xfId="5805"/>
    <cellStyle name="40 % - Markeringsfarve4 3 2 3 5 2" xfId="16613"/>
    <cellStyle name="40 % - Markeringsfarve4 3 2 3 5 3" xfId="27970"/>
    <cellStyle name="40 % - Markeringsfarve4 3 2 3 6" xfId="10792"/>
    <cellStyle name="40 % - Markeringsfarve4 3 2 3 6 2" xfId="21599"/>
    <cellStyle name="40 % - Markeringsfarve4 3 2 3 6 3" xfId="32956"/>
    <cellStyle name="40 % - Markeringsfarve4 3 2 3 7" xfId="11627"/>
    <cellStyle name="40 % - Markeringsfarve4 3 2 3 8" xfId="22986"/>
    <cellStyle name="40 % - Markeringsfarve4 3 2 4" xfId="1092"/>
    <cellStyle name="40 % - Markeringsfarve4 3 2 4 2" xfId="2757"/>
    <cellStyle name="40 % - Markeringsfarve4 3 2 4 2 2" xfId="7745"/>
    <cellStyle name="40 % - Markeringsfarve4 3 2 4 2 2 2" xfId="18552"/>
    <cellStyle name="40 % - Markeringsfarve4 3 2 4 2 2 3" xfId="29909"/>
    <cellStyle name="40 % - Markeringsfarve4 3 2 4 2 3" xfId="13567"/>
    <cellStyle name="40 % - Markeringsfarve4 3 2 4 2 4" xfId="24925"/>
    <cellStyle name="40 % - Markeringsfarve4 3 2 4 3" xfId="4421"/>
    <cellStyle name="40 % - Markeringsfarve4 3 2 4 3 2" xfId="9406"/>
    <cellStyle name="40 % - Markeringsfarve4 3 2 4 3 2 2" xfId="20213"/>
    <cellStyle name="40 % - Markeringsfarve4 3 2 4 3 2 3" xfId="31570"/>
    <cellStyle name="40 % - Markeringsfarve4 3 2 4 3 3" xfId="15228"/>
    <cellStyle name="40 % - Markeringsfarve4 3 2 4 3 4" xfId="26586"/>
    <cellStyle name="40 % - Markeringsfarve4 3 2 4 4" xfId="6083"/>
    <cellStyle name="40 % - Markeringsfarve4 3 2 4 4 2" xfId="16891"/>
    <cellStyle name="40 % - Markeringsfarve4 3 2 4 4 3" xfId="28248"/>
    <cellStyle name="40 % - Markeringsfarve4 3 2 4 5" xfId="11906"/>
    <cellStyle name="40 % - Markeringsfarve4 3 2 4 6" xfId="23264"/>
    <cellStyle name="40 % - Markeringsfarve4 3 2 5" xfId="1927"/>
    <cellStyle name="40 % - Markeringsfarve4 3 2 5 2" xfId="6915"/>
    <cellStyle name="40 % - Markeringsfarve4 3 2 5 2 2" xfId="17723"/>
    <cellStyle name="40 % - Markeringsfarve4 3 2 5 2 3" xfId="29080"/>
    <cellStyle name="40 % - Markeringsfarve4 3 2 5 3" xfId="12738"/>
    <cellStyle name="40 % - Markeringsfarve4 3 2 5 4" xfId="24096"/>
    <cellStyle name="40 % - Markeringsfarve4 3 2 6" xfId="3592"/>
    <cellStyle name="40 % - Markeringsfarve4 3 2 6 2" xfId="8577"/>
    <cellStyle name="40 % - Markeringsfarve4 3 2 6 2 2" xfId="19384"/>
    <cellStyle name="40 % - Markeringsfarve4 3 2 6 2 3" xfId="30741"/>
    <cellStyle name="40 % - Markeringsfarve4 3 2 6 3" xfId="14399"/>
    <cellStyle name="40 % - Markeringsfarve4 3 2 6 4" xfId="25757"/>
    <cellStyle name="40 % - Markeringsfarve4 3 2 7" xfId="5253"/>
    <cellStyle name="40 % - Markeringsfarve4 3 2 7 2" xfId="16062"/>
    <cellStyle name="40 % - Markeringsfarve4 3 2 7 3" xfId="27419"/>
    <cellStyle name="40 % - Markeringsfarve4 3 2 8" xfId="10238"/>
    <cellStyle name="40 % - Markeringsfarve4 3 2 8 2" xfId="21045"/>
    <cellStyle name="40 % - Markeringsfarve4 3 2 8 3" xfId="32402"/>
    <cellStyle name="40 % - Markeringsfarve4 3 2 9" xfId="11072"/>
    <cellStyle name="40 % - Markeringsfarve4 3 3" xfId="276"/>
    <cellStyle name="40 % - Markeringsfarve4 3 3 10" xfId="21933"/>
    <cellStyle name="40 % - Markeringsfarve4 3 3 11" xfId="22486"/>
    <cellStyle name="40 % - Markeringsfarve4 3 3 12" xfId="33289"/>
    <cellStyle name="40 % - Markeringsfarve4 3 3 13" xfId="33564"/>
    <cellStyle name="40 % - Markeringsfarve4 3 3 14" xfId="33835"/>
    <cellStyle name="40 % - Markeringsfarve4 3 3 2" xfId="593"/>
    <cellStyle name="40 % - Markeringsfarve4 3 3 2 2" xfId="1425"/>
    <cellStyle name="40 % - Markeringsfarve4 3 3 2 2 2" xfId="3090"/>
    <cellStyle name="40 % - Markeringsfarve4 3 3 2 2 2 2" xfId="8078"/>
    <cellStyle name="40 % - Markeringsfarve4 3 3 2 2 2 2 2" xfId="18885"/>
    <cellStyle name="40 % - Markeringsfarve4 3 3 2 2 2 2 3" xfId="30242"/>
    <cellStyle name="40 % - Markeringsfarve4 3 3 2 2 2 3" xfId="13900"/>
    <cellStyle name="40 % - Markeringsfarve4 3 3 2 2 2 4" xfId="25258"/>
    <cellStyle name="40 % - Markeringsfarve4 3 3 2 2 3" xfId="4754"/>
    <cellStyle name="40 % - Markeringsfarve4 3 3 2 2 3 2" xfId="9739"/>
    <cellStyle name="40 % - Markeringsfarve4 3 3 2 2 3 2 2" xfId="20546"/>
    <cellStyle name="40 % - Markeringsfarve4 3 3 2 2 3 2 3" xfId="31903"/>
    <cellStyle name="40 % - Markeringsfarve4 3 3 2 2 3 3" xfId="15561"/>
    <cellStyle name="40 % - Markeringsfarve4 3 3 2 2 3 4" xfId="26919"/>
    <cellStyle name="40 % - Markeringsfarve4 3 3 2 2 4" xfId="6416"/>
    <cellStyle name="40 % - Markeringsfarve4 3 3 2 2 4 2" xfId="17224"/>
    <cellStyle name="40 % - Markeringsfarve4 3 3 2 2 4 3" xfId="28581"/>
    <cellStyle name="40 % - Markeringsfarve4 3 3 2 2 5" xfId="12239"/>
    <cellStyle name="40 % - Markeringsfarve4 3 3 2 2 6" xfId="23597"/>
    <cellStyle name="40 % - Markeringsfarve4 3 3 2 3" xfId="2259"/>
    <cellStyle name="40 % - Markeringsfarve4 3 3 2 3 2" xfId="7247"/>
    <cellStyle name="40 % - Markeringsfarve4 3 3 2 3 2 2" xfId="18054"/>
    <cellStyle name="40 % - Markeringsfarve4 3 3 2 3 2 3" xfId="29411"/>
    <cellStyle name="40 % - Markeringsfarve4 3 3 2 3 3" xfId="13069"/>
    <cellStyle name="40 % - Markeringsfarve4 3 3 2 3 4" xfId="24427"/>
    <cellStyle name="40 % - Markeringsfarve4 3 3 2 4" xfId="3923"/>
    <cellStyle name="40 % - Markeringsfarve4 3 3 2 4 2" xfId="8908"/>
    <cellStyle name="40 % - Markeringsfarve4 3 3 2 4 2 2" xfId="19715"/>
    <cellStyle name="40 % - Markeringsfarve4 3 3 2 4 2 3" xfId="31072"/>
    <cellStyle name="40 % - Markeringsfarve4 3 3 2 4 3" xfId="14730"/>
    <cellStyle name="40 % - Markeringsfarve4 3 3 2 4 4" xfId="26088"/>
    <cellStyle name="40 % - Markeringsfarve4 3 3 2 5" xfId="5585"/>
    <cellStyle name="40 % - Markeringsfarve4 3 3 2 5 2" xfId="16393"/>
    <cellStyle name="40 % - Markeringsfarve4 3 3 2 5 3" xfId="27750"/>
    <cellStyle name="40 % - Markeringsfarve4 3 3 2 6" xfId="10572"/>
    <cellStyle name="40 % - Markeringsfarve4 3 3 2 6 2" xfId="21379"/>
    <cellStyle name="40 % - Markeringsfarve4 3 3 2 6 3" xfId="32736"/>
    <cellStyle name="40 % - Markeringsfarve4 3 3 2 7" xfId="11406"/>
    <cellStyle name="40 % - Markeringsfarve4 3 3 2 8" xfId="22212"/>
    <cellStyle name="40 % - Markeringsfarve4 3 3 2 9" xfId="22766"/>
    <cellStyle name="40 % - Markeringsfarve4 3 3 3" xfId="867"/>
    <cellStyle name="40 % - Markeringsfarve4 3 3 3 2" xfId="1699"/>
    <cellStyle name="40 % - Markeringsfarve4 3 3 3 2 2" xfId="3364"/>
    <cellStyle name="40 % - Markeringsfarve4 3 3 3 2 2 2" xfId="8352"/>
    <cellStyle name="40 % - Markeringsfarve4 3 3 3 2 2 2 2" xfId="19159"/>
    <cellStyle name="40 % - Markeringsfarve4 3 3 3 2 2 2 3" xfId="30516"/>
    <cellStyle name="40 % - Markeringsfarve4 3 3 3 2 2 3" xfId="14174"/>
    <cellStyle name="40 % - Markeringsfarve4 3 3 3 2 2 4" xfId="25532"/>
    <cellStyle name="40 % - Markeringsfarve4 3 3 3 2 3" xfId="5028"/>
    <cellStyle name="40 % - Markeringsfarve4 3 3 3 2 3 2" xfId="10013"/>
    <cellStyle name="40 % - Markeringsfarve4 3 3 3 2 3 2 2" xfId="20820"/>
    <cellStyle name="40 % - Markeringsfarve4 3 3 3 2 3 2 3" xfId="32177"/>
    <cellStyle name="40 % - Markeringsfarve4 3 3 3 2 3 3" xfId="15835"/>
    <cellStyle name="40 % - Markeringsfarve4 3 3 3 2 3 4" xfId="27193"/>
    <cellStyle name="40 % - Markeringsfarve4 3 3 3 2 4" xfId="6690"/>
    <cellStyle name="40 % - Markeringsfarve4 3 3 3 2 4 2" xfId="17498"/>
    <cellStyle name="40 % - Markeringsfarve4 3 3 3 2 4 3" xfId="28855"/>
    <cellStyle name="40 % - Markeringsfarve4 3 3 3 2 5" xfId="12513"/>
    <cellStyle name="40 % - Markeringsfarve4 3 3 3 2 6" xfId="23871"/>
    <cellStyle name="40 % - Markeringsfarve4 3 3 3 3" xfId="2533"/>
    <cellStyle name="40 % - Markeringsfarve4 3 3 3 3 2" xfId="7521"/>
    <cellStyle name="40 % - Markeringsfarve4 3 3 3 3 2 2" xfId="18328"/>
    <cellStyle name="40 % - Markeringsfarve4 3 3 3 3 2 3" xfId="29685"/>
    <cellStyle name="40 % - Markeringsfarve4 3 3 3 3 3" xfId="13343"/>
    <cellStyle name="40 % - Markeringsfarve4 3 3 3 3 4" xfId="24701"/>
    <cellStyle name="40 % - Markeringsfarve4 3 3 3 4" xfId="4197"/>
    <cellStyle name="40 % - Markeringsfarve4 3 3 3 4 2" xfId="9182"/>
    <cellStyle name="40 % - Markeringsfarve4 3 3 3 4 2 2" xfId="19989"/>
    <cellStyle name="40 % - Markeringsfarve4 3 3 3 4 2 3" xfId="31346"/>
    <cellStyle name="40 % - Markeringsfarve4 3 3 3 4 3" xfId="15004"/>
    <cellStyle name="40 % - Markeringsfarve4 3 3 3 4 4" xfId="26362"/>
    <cellStyle name="40 % - Markeringsfarve4 3 3 3 5" xfId="5859"/>
    <cellStyle name="40 % - Markeringsfarve4 3 3 3 5 2" xfId="16667"/>
    <cellStyle name="40 % - Markeringsfarve4 3 3 3 5 3" xfId="28024"/>
    <cellStyle name="40 % - Markeringsfarve4 3 3 3 6" xfId="10846"/>
    <cellStyle name="40 % - Markeringsfarve4 3 3 3 6 2" xfId="21653"/>
    <cellStyle name="40 % - Markeringsfarve4 3 3 3 6 3" xfId="33010"/>
    <cellStyle name="40 % - Markeringsfarve4 3 3 3 7" xfId="11681"/>
    <cellStyle name="40 % - Markeringsfarve4 3 3 3 8" xfId="23040"/>
    <cellStyle name="40 % - Markeringsfarve4 3 3 4" xfId="1146"/>
    <cellStyle name="40 % - Markeringsfarve4 3 3 4 2" xfId="2811"/>
    <cellStyle name="40 % - Markeringsfarve4 3 3 4 2 2" xfId="7799"/>
    <cellStyle name="40 % - Markeringsfarve4 3 3 4 2 2 2" xfId="18606"/>
    <cellStyle name="40 % - Markeringsfarve4 3 3 4 2 2 3" xfId="29963"/>
    <cellStyle name="40 % - Markeringsfarve4 3 3 4 2 3" xfId="13621"/>
    <cellStyle name="40 % - Markeringsfarve4 3 3 4 2 4" xfId="24979"/>
    <cellStyle name="40 % - Markeringsfarve4 3 3 4 3" xfId="4475"/>
    <cellStyle name="40 % - Markeringsfarve4 3 3 4 3 2" xfId="9460"/>
    <cellStyle name="40 % - Markeringsfarve4 3 3 4 3 2 2" xfId="20267"/>
    <cellStyle name="40 % - Markeringsfarve4 3 3 4 3 2 3" xfId="31624"/>
    <cellStyle name="40 % - Markeringsfarve4 3 3 4 3 3" xfId="15282"/>
    <cellStyle name="40 % - Markeringsfarve4 3 3 4 3 4" xfId="26640"/>
    <cellStyle name="40 % - Markeringsfarve4 3 3 4 4" xfId="6137"/>
    <cellStyle name="40 % - Markeringsfarve4 3 3 4 4 2" xfId="16945"/>
    <cellStyle name="40 % - Markeringsfarve4 3 3 4 4 3" xfId="28302"/>
    <cellStyle name="40 % - Markeringsfarve4 3 3 4 5" xfId="11960"/>
    <cellStyle name="40 % - Markeringsfarve4 3 3 4 6" xfId="23318"/>
    <cellStyle name="40 % - Markeringsfarve4 3 3 5" xfId="1981"/>
    <cellStyle name="40 % - Markeringsfarve4 3 3 5 2" xfId="6969"/>
    <cellStyle name="40 % - Markeringsfarve4 3 3 5 2 2" xfId="17777"/>
    <cellStyle name="40 % - Markeringsfarve4 3 3 5 2 3" xfId="29134"/>
    <cellStyle name="40 % - Markeringsfarve4 3 3 5 3" xfId="12792"/>
    <cellStyle name="40 % - Markeringsfarve4 3 3 5 4" xfId="24150"/>
    <cellStyle name="40 % - Markeringsfarve4 3 3 6" xfId="3646"/>
    <cellStyle name="40 % - Markeringsfarve4 3 3 6 2" xfId="8631"/>
    <cellStyle name="40 % - Markeringsfarve4 3 3 6 2 2" xfId="19438"/>
    <cellStyle name="40 % - Markeringsfarve4 3 3 6 2 3" xfId="30795"/>
    <cellStyle name="40 % - Markeringsfarve4 3 3 6 3" xfId="14453"/>
    <cellStyle name="40 % - Markeringsfarve4 3 3 6 4" xfId="25811"/>
    <cellStyle name="40 % - Markeringsfarve4 3 3 7" xfId="5307"/>
    <cellStyle name="40 % - Markeringsfarve4 3 3 7 2" xfId="16116"/>
    <cellStyle name="40 % - Markeringsfarve4 3 3 7 3" xfId="27473"/>
    <cellStyle name="40 % - Markeringsfarve4 3 3 8" xfId="10292"/>
    <cellStyle name="40 % - Markeringsfarve4 3 3 8 2" xfId="21099"/>
    <cellStyle name="40 % - Markeringsfarve4 3 3 8 3" xfId="32456"/>
    <cellStyle name="40 % - Markeringsfarve4 3 3 9" xfId="11126"/>
    <cellStyle name="40 % - Markeringsfarve4 3 4" xfId="331"/>
    <cellStyle name="40 % - Markeringsfarve4 3 4 10" xfId="21988"/>
    <cellStyle name="40 % - Markeringsfarve4 3 4 11" xfId="22541"/>
    <cellStyle name="40 % - Markeringsfarve4 3 4 12" xfId="33344"/>
    <cellStyle name="40 % - Markeringsfarve4 3 4 13" xfId="33619"/>
    <cellStyle name="40 % - Markeringsfarve4 3 4 14" xfId="33890"/>
    <cellStyle name="40 % - Markeringsfarve4 3 4 2" xfId="648"/>
    <cellStyle name="40 % - Markeringsfarve4 3 4 2 2" xfId="1480"/>
    <cellStyle name="40 % - Markeringsfarve4 3 4 2 2 2" xfId="3145"/>
    <cellStyle name="40 % - Markeringsfarve4 3 4 2 2 2 2" xfId="8133"/>
    <cellStyle name="40 % - Markeringsfarve4 3 4 2 2 2 2 2" xfId="18940"/>
    <cellStyle name="40 % - Markeringsfarve4 3 4 2 2 2 2 3" xfId="30297"/>
    <cellStyle name="40 % - Markeringsfarve4 3 4 2 2 2 3" xfId="13955"/>
    <cellStyle name="40 % - Markeringsfarve4 3 4 2 2 2 4" xfId="25313"/>
    <cellStyle name="40 % - Markeringsfarve4 3 4 2 2 3" xfId="4809"/>
    <cellStyle name="40 % - Markeringsfarve4 3 4 2 2 3 2" xfId="9794"/>
    <cellStyle name="40 % - Markeringsfarve4 3 4 2 2 3 2 2" xfId="20601"/>
    <cellStyle name="40 % - Markeringsfarve4 3 4 2 2 3 2 3" xfId="31958"/>
    <cellStyle name="40 % - Markeringsfarve4 3 4 2 2 3 3" xfId="15616"/>
    <cellStyle name="40 % - Markeringsfarve4 3 4 2 2 3 4" xfId="26974"/>
    <cellStyle name="40 % - Markeringsfarve4 3 4 2 2 4" xfId="6471"/>
    <cellStyle name="40 % - Markeringsfarve4 3 4 2 2 4 2" xfId="17279"/>
    <cellStyle name="40 % - Markeringsfarve4 3 4 2 2 4 3" xfId="28636"/>
    <cellStyle name="40 % - Markeringsfarve4 3 4 2 2 5" xfId="12294"/>
    <cellStyle name="40 % - Markeringsfarve4 3 4 2 2 6" xfId="23652"/>
    <cellStyle name="40 % - Markeringsfarve4 3 4 2 3" xfId="2314"/>
    <cellStyle name="40 % - Markeringsfarve4 3 4 2 3 2" xfId="7302"/>
    <cellStyle name="40 % - Markeringsfarve4 3 4 2 3 2 2" xfId="18109"/>
    <cellStyle name="40 % - Markeringsfarve4 3 4 2 3 2 3" xfId="29466"/>
    <cellStyle name="40 % - Markeringsfarve4 3 4 2 3 3" xfId="13124"/>
    <cellStyle name="40 % - Markeringsfarve4 3 4 2 3 4" xfId="24482"/>
    <cellStyle name="40 % - Markeringsfarve4 3 4 2 4" xfId="3978"/>
    <cellStyle name="40 % - Markeringsfarve4 3 4 2 4 2" xfId="8963"/>
    <cellStyle name="40 % - Markeringsfarve4 3 4 2 4 2 2" xfId="19770"/>
    <cellStyle name="40 % - Markeringsfarve4 3 4 2 4 2 3" xfId="31127"/>
    <cellStyle name="40 % - Markeringsfarve4 3 4 2 4 3" xfId="14785"/>
    <cellStyle name="40 % - Markeringsfarve4 3 4 2 4 4" xfId="26143"/>
    <cellStyle name="40 % - Markeringsfarve4 3 4 2 5" xfId="5640"/>
    <cellStyle name="40 % - Markeringsfarve4 3 4 2 5 2" xfId="16448"/>
    <cellStyle name="40 % - Markeringsfarve4 3 4 2 5 3" xfId="27805"/>
    <cellStyle name="40 % - Markeringsfarve4 3 4 2 6" xfId="10627"/>
    <cellStyle name="40 % - Markeringsfarve4 3 4 2 6 2" xfId="21434"/>
    <cellStyle name="40 % - Markeringsfarve4 3 4 2 6 3" xfId="32791"/>
    <cellStyle name="40 % - Markeringsfarve4 3 4 2 7" xfId="11461"/>
    <cellStyle name="40 % - Markeringsfarve4 3 4 2 8" xfId="22267"/>
    <cellStyle name="40 % - Markeringsfarve4 3 4 2 9" xfId="22821"/>
    <cellStyle name="40 % - Markeringsfarve4 3 4 3" xfId="922"/>
    <cellStyle name="40 % - Markeringsfarve4 3 4 3 2" xfId="1754"/>
    <cellStyle name="40 % - Markeringsfarve4 3 4 3 2 2" xfId="3419"/>
    <cellStyle name="40 % - Markeringsfarve4 3 4 3 2 2 2" xfId="8407"/>
    <cellStyle name="40 % - Markeringsfarve4 3 4 3 2 2 2 2" xfId="19214"/>
    <cellStyle name="40 % - Markeringsfarve4 3 4 3 2 2 2 3" xfId="30571"/>
    <cellStyle name="40 % - Markeringsfarve4 3 4 3 2 2 3" xfId="14229"/>
    <cellStyle name="40 % - Markeringsfarve4 3 4 3 2 2 4" xfId="25587"/>
    <cellStyle name="40 % - Markeringsfarve4 3 4 3 2 3" xfId="5083"/>
    <cellStyle name="40 % - Markeringsfarve4 3 4 3 2 3 2" xfId="10068"/>
    <cellStyle name="40 % - Markeringsfarve4 3 4 3 2 3 2 2" xfId="20875"/>
    <cellStyle name="40 % - Markeringsfarve4 3 4 3 2 3 2 3" xfId="32232"/>
    <cellStyle name="40 % - Markeringsfarve4 3 4 3 2 3 3" xfId="15890"/>
    <cellStyle name="40 % - Markeringsfarve4 3 4 3 2 3 4" xfId="27248"/>
    <cellStyle name="40 % - Markeringsfarve4 3 4 3 2 4" xfId="6745"/>
    <cellStyle name="40 % - Markeringsfarve4 3 4 3 2 4 2" xfId="17553"/>
    <cellStyle name="40 % - Markeringsfarve4 3 4 3 2 4 3" xfId="28910"/>
    <cellStyle name="40 % - Markeringsfarve4 3 4 3 2 5" xfId="12568"/>
    <cellStyle name="40 % - Markeringsfarve4 3 4 3 2 6" xfId="23926"/>
    <cellStyle name="40 % - Markeringsfarve4 3 4 3 3" xfId="2588"/>
    <cellStyle name="40 % - Markeringsfarve4 3 4 3 3 2" xfId="7576"/>
    <cellStyle name="40 % - Markeringsfarve4 3 4 3 3 2 2" xfId="18383"/>
    <cellStyle name="40 % - Markeringsfarve4 3 4 3 3 2 3" xfId="29740"/>
    <cellStyle name="40 % - Markeringsfarve4 3 4 3 3 3" xfId="13398"/>
    <cellStyle name="40 % - Markeringsfarve4 3 4 3 3 4" xfId="24756"/>
    <cellStyle name="40 % - Markeringsfarve4 3 4 3 4" xfId="4252"/>
    <cellStyle name="40 % - Markeringsfarve4 3 4 3 4 2" xfId="9237"/>
    <cellStyle name="40 % - Markeringsfarve4 3 4 3 4 2 2" xfId="20044"/>
    <cellStyle name="40 % - Markeringsfarve4 3 4 3 4 2 3" xfId="31401"/>
    <cellStyle name="40 % - Markeringsfarve4 3 4 3 4 3" xfId="15059"/>
    <cellStyle name="40 % - Markeringsfarve4 3 4 3 4 4" xfId="26417"/>
    <cellStyle name="40 % - Markeringsfarve4 3 4 3 5" xfId="5914"/>
    <cellStyle name="40 % - Markeringsfarve4 3 4 3 5 2" xfId="16722"/>
    <cellStyle name="40 % - Markeringsfarve4 3 4 3 5 3" xfId="28079"/>
    <cellStyle name="40 % - Markeringsfarve4 3 4 3 6" xfId="10901"/>
    <cellStyle name="40 % - Markeringsfarve4 3 4 3 6 2" xfId="21708"/>
    <cellStyle name="40 % - Markeringsfarve4 3 4 3 6 3" xfId="33065"/>
    <cellStyle name="40 % - Markeringsfarve4 3 4 3 7" xfId="11736"/>
    <cellStyle name="40 % - Markeringsfarve4 3 4 3 8" xfId="23095"/>
    <cellStyle name="40 % - Markeringsfarve4 3 4 4" xfId="1201"/>
    <cellStyle name="40 % - Markeringsfarve4 3 4 4 2" xfId="2866"/>
    <cellStyle name="40 % - Markeringsfarve4 3 4 4 2 2" xfId="7854"/>
    <cellStyle name="40 % - Markeringsfarve4 3 4 4 2 2 2" xfId="18661"/>
    <cellStyle name="40 % - Markeringsfarve4 3 4 4 2 2 3" xfId="30018"/>
    <cellStyle name="40 % - Markeringsfarve4 3 4 4 2 3" xfId="13676"/>
    <cellStyle name="40 % - Markeringsfarve4 3 4 4 2 4" xfId="25034"/>
    <cellStyle name="40 % - Markeringsfarve4 3 4 4 3" xfId="4530"/>
    <cellStyle name="40 % - Markeringsfarve4 3 4 4 3 2" xfId="9515"/>
    <cellStyle name="40 % - Markeringsfarve4 3 4 4 3 2 2" xfId="20322"/>
    <cellStyle name="40 % - Markeringsfarve4 3 4 4 3 2 3" xfId="31679"/>
    <cellStyle name="40 % - Markeringsfarve4 3 4 4 3 3" xfId="15337"/>
    <cellStyle name="40 % - Markeringsfarve4 3 4 4 3 4" xfId="26695"/>
    <cellStyle name="40 % - Markeringsfarve4 3 4 4 4" xfId="6192"/>
    <cellStyle name="40 % - Markeringsfarve4 3 4 4 4 2" xfId="17000"/>
    <cellStyle name="40 % - Markeringsfarve4 3 4 4 4 3" xfId="28357"/>
    <cellStyle name="40 % - Markeringsfarve4 3 4 4 5" xfId="12015"/>
    <cellStyle name="40 % - Markeringsfarve4 3 4 4 6" xfId="23373"/>
    <cellStyle name="40 % - Markeringsfarve4 3 4 5" xfId="2036"/>
    <cellStyle name="40 % - Markeringsfarve4 3 4 5 2" xfId="7024"/>
    <cellStyle name="40 % - Markeringsfarve4 3 4 5 2 2" xfId="17832"/>
    <cellStyle name="40 % - Markeringsfarve4 3 4 5 2 3" xfId="29189"/>
    <cellStyle name="40 % - Markeringsfarve4 3 4 5 3" xfId="12847"/>
    <cellStyle name="40 % - Markeringsfarve4 3 4 5 4" xfId="24205"/>
    <cellStyle name="40 % - Markeringsfarve4 3 4 6" xfId="3701"/>
    <cellStyle name="40 % - Markeringsfarve4 3 4 6 2" xfId="8686"/>
    <cellStyle name="40 % - Markeringsfarve4 3 4 6 2 2" xfId="19493"/>
    <cellStyle name="40 % - Markeringsfarve4 3 4 6 2 3" xfId="30850"/>
    <cellStyle name="40 % - Markeringsfarve4 3 4 6 3" xfId="14508"/>
    <cellStyle name="40 % - Markeringsfarve4 3 4 6 4" xfId="25866"/>
    <cellStyle name="40 % - Markeringsfarve4 3 4 7" xfId="5362"/>
    <cellStyle name="40 % - Markeringsfarve4 3 4 7 2" xfId="16171"/>
    <cellStyle name="40 % - Markeringsfarve4 3 4 7 3" xfId="27528"/>
    <cellStyle name="40 % - Markeringsfarve4 3 4 8" xfId="10347"/>
    <cellStyle name="40 % - Markeringsfarve4 3 4 8 2" xfId="21154"/>
    <cellStyle name="40 % - Markeringsfarve4 3 4 8 3" xfId="32511"/>
    <cellStyle name="40 % - Markeringsfarve4 3 4 9" xfId="11181"/>
    <cellStyle name="40 % - Markeringsfarve4 3 5" xfId="387"/>
    <cellStyle name="40 % - Markeringsfarve4 3 5 10" xfId="22044"/>
    <cellStyle name="40 % - Markeringsfarve4 3 5 11" xfId="22597"/>
    <cellStyle name="40 % - Markeringsfarve4 3 5 12" xfId="33400"/>
    <cellStyle name="40 % - Markeringsfarve4 3 5 13" xfId="33675"/>
    <cellStyle name="40 % - Markeringsfarve4 3 5 14" xfId="33946"/>
    <cellStyle name="40 % - Markeringsfarve4 3 5 2" xfId="704"/>
    <cellStyle name="40 % - Markeringsfarve4 3 5 2 2" xfId="1536"/>
    <cellStyle name="40 % - Markeringsfarve4 3 5 2 2 2" xfId="3201"/>
    <cellStyle name="40 % - Markeringsfarve4 3 5 2 2 2 2" xfId="8189"/>
    <cellStyle name="40 % - Markeringsfarve4 3 5 2 2 2 2 2" xfId="18996"/>
    <cellStyle name="40 % - Markeringsfarve4 3 5 2 2 2 2 3" xfId="30353"/>
    <cellStyle name="40 % - Markeringsfarve4 3 5 2 2 2 3" xfId="14011"/>
    <cellStyle name="40 % - Markeringsfarve4 3 5 2 2 2 4" xfId="25369"/>
    <cellStyle name="40 % - Markeringsfarve4 3 5 2 2 3" xfId="4865"/>
    <cellStyle name="40 % - Markeringsfarve4 3 5 2 2 3 2" xfId="9850"/>
    <cellStyle name="40 % - Markeringsfarve4 3 5 2 2 3 2 2" xfId="20657"/>
    <cellStyle name="40 % - Markeringsfarve4 3 5 2 2 3 2 3" xfId="32014"/>
    <cellStyle name="40 % - Markeringsfarve4 3 5 2 2 3 3" xfId="15672"/>
    <cellStyle name="40 % - Markeringsfarve4 3 5 2 2 3 4" xfId="27030"/>
    <cellStyle name="40 % - Markeringsfarve4 3 5 2 2 4" xfId="6527"/>
    <cellStyle name="40 % - Markeringsfarve4 3 5 2 2 4 2" xfId="17335"/>
    <cellStyle name="40 % - Markeringsfarve4 3 5 2 2 4 3" xfId="28692"/>
    <cellStyle name="40 % - Markeringsfarve4 3 5 2 2 5" xfId="12350"/>
    <cellStyle name="40 % - Markeringsfarve4 3 5 2 2 6" xfId="23708"/>
    <cellStyle name="40 % - Markeringsfarve4 3 5 2 3" xfId="2370"/>
    <cellStyle name="40 % - Markeringsfarve4 3 5 2 3 2" xfId="7358"/>
    <cellStyle name="40 % - Markeringsfarve4 3 5 2 3 2 2" xfId="18165"/>
    <cellStyle name="40 % - Markeringsfarve4 3 5 2 3 2 3" xfId="29522"/>
    <cellStyle name="40 % - Markeringsfarve4 3 5 2 3 3" xfId="13180"/>
    <cellStyle name="40 % - Markeringsfarve4 3 5 2 3 4" xfId="24538"/>
    <cellStyle name="40 % - Markeringsfarve4 3 5 2 4" xfId="4034"/>
    <cellStyle name="40 % - Markeringsfarve4 3 5 2 4 2" xfId="9019"/>
    <cellStyle name="40 % - Markeringsfarve4 3 5 2 4 2 2" xfId="19826"/>
    <cellStyle name="40 % - Markeringsfarve4 3 5 2 4 2 3" xfId="31183"/>
    <cellStyle name="40 % - Markeringsfarve4 3 5 2 4 3" xfId="14841"/>
    <cellStyle name="40 % - Markeringsfarve4 3 5 2 4 4" xfId="26199"/>
    <cellStyle name="40 % - Markeringsfarve4 3 5 2 5" xfId="5696"/>
    <cellStyle name="40 % - Markeringsfarve4 3 5 2 5 2" xfId="16504"/>
    <cellStyle name="40 % - Markeringsfarve4 3 5 2 5 3" xfId="27861"/>
    <cellStyle name="40 % - Markeringsfarve4 3 5 2 6" xfId="10683"/>
    <cellStyle name="40 % - Markeringsfarve4 3 5 2 6 2" xfId="21490"/>
    <cellStyle name="40 % - Markeringsfarve4 3 5 2 6 3" xfId="32847"/>
    <cellStyle name="40 % - Markeringsfarve4 3 5 2 7" xfId="11517"/>
    <cellStyle name="40 % - Markeringsfarve4 3 5 2 8" xfId="22323"/>
    <cellStyle name="40 % - Markeringsfarve4 3 5 2 9" xfId="22877"/>
    <cellStyle name="40 % - Markeringsfarve4 3 5 3" xfId="978"/>
    <cellStyle name="40 % - Markeringsfarve4 3 5 3 2" xfId="1810"/>
    <cellStyle name="40 % - Markeringsfarve4 3 5 3 2 2" xfId="3475"/>
    <cellStyle name="40 % - Markeringsfarve4 3 5 3 2 2 2" xfId="8463"/>
    <cellStyle name="40 % - Markeringsfarve4 3 5 3 2 2 2 2" xfId="19270"/>
    <cellStyle name="40 % - Markeringsfarve4 3 5 3 2 2 2 3" xfId="30627"/>
    <cellStyle name="40 % - Markeringsfarve4 3 5 3 2 2 3" xfId="14285"/>
    <cellStyle name="40 % - Markeringsfarve4 3 5 3 2 2 4" xfId="25643"/>
    <cellStyle name="40 % - Markeringsfarve4 3 5 3 2 3" xfId="5139"/>
    <cellStyle name="40 % - Markeringsfarve4 3 5 3 2 3 2" xfId="10124"/>
    <cellStyle name="40 % - Markeringsfarve4 3 5 3 2 3 2 2" xfId="20931"/>
    <cellStyle name="40 % - Markeringsfarve4 3 5 3 2 3 2 3" xfId="32288"/>
    <cellStyle name="40 % - Markeringsfarve4 3 5 3 2 3 3" xfId="15946"/>
    <cellStyle name="40 % - Markeringsfarve4 3 5 3 2 3 4" xfId="27304"/>
    <cellStyle name="40 % - Markeringsfarve4 3 5 3 2 4" xfId="6801"/>
    <cellStyle name="40 % - Markeringsfarve4 3 5 3 2 4 2" xfId="17609"/>
    <cellStyle name="40 % - Markeringsfarve4 3 5 3 2 4 3" xfId="28966"/>
    <cellStyle name="40 % - Markeringsfarve4 3 5 3 2 5" xfId="12624"/>
    <cellStyle name="40 % - Markeringsfarve4 3 5 3 2 6" xfId="23982"/>
    <cellStyle name="40 % - Markeringsfarve4 3 5 3 3" xfId="2644"/>
    <cellStyle name="40 % - Markeringsfarve4 3 5 3 3 2" xfId="7632"/>
    <cellStyle name="40 % - Markeringsfarve4 3 5 3 3 2 2" xfId="18439"/>
    <cellStyle name="40 % - Markeringsfarve4 3 5 3 3 2 3" xfId="29796"/>
    <cellStyle name="40 % - Markeringsfarve4 3 5 3 3 3" xfId="13454"/>
    <cellStyle name="40 % - Markeringsfarve4 3 5 3 3 4" xfId="24812"/>
    <cellStyle name="40 % - Markeringsfarve4 3 5 3 4" xfId="4308"/>
    <cellStyle name="40 % - Markeringsfarve4 3 5 3 4 2" xfId="9293"/>
    <cellStyle name="40 % - Markeringsfarve4 3 5 3 4 2 2" xfId="20100"/>
    <cellStyle name="40 % - Markeringsfarve4 3 5 3 4 2 3" xfId="31457"/>
    <cellStyle name="40 % - Markeringsfarve4 3 5 3 4 3" xfId="15115"/>
    <cellStyle name="40 % - Markeringsfarve4 3 5 3 4 4" xfId="26473"/>
    <cellStyle name="40 % - Markeringsfarve4 3 5 3 5" xfId="5970"/>
    <cellStyle name="40 % - Markeringsfarve4 3 5 3 5 2" xfId="16778"/>
    <cellStyle name="40 % - Markeringsfarve4 3 5 3 5 3" xfId="28135"/>
    <cellStyle name="40 % - Markeringsfarve4 3 5 3 6" xfId="10957"/>
    <cellStyle name="40 % - Markeringsfarve4 3 5 3 6 2" xfId="21764"/>
    <cellStyle name="40 % - Markeringsfarve4 3 5 3 6 3" xfId="33121"/>
    <cellStyle name="40 % - Markeringsfarve4 3 5 3 7" xfId="11792"/>
    <cellStyle name="40 % - Markeringsfarve4 3 5 3 8" xfId="23151"/>
    <cellStyle name="40 % - Markeringsfarve4 3 5 4" xfId="1257"/>
    <cellStyle name="40 % - Markeringsfarve4 3 5 4 2" xfId="2922"/>
    <cellStyle name="40 % - Markeringsfarve4 3 5 4 2 2" xfId="7910"/>
    <cellStyle name="40 % - Markeringsfarve4 3 5 4 2 2 2" xfId="18717"/>
    <cellStyle name="40 % - Markeringsfarve4 3 5 4 2 2 3" xfId="30074"/>
    <cellStyle name="40 % - Markeringsfarve4 3 5 4 2 3" xfId="13732"/>
    <cellStyle name="40 % - Markeringsfarve4 3 5 4 2 4" xfId="25090"/>
    <cellStyle name="40 % - Markeringsfarve4 3 5 4 3" xfId="4586"/>
    <cellStyle name="40 % - Markeringsfarve4 3 5 4 3 2" xfId="9571"/>
    <cellStyle name="40 % - Markeringsfarve4 3 5 4 3 2 2" xfId="20378"/>
    <cellStyle name="40 % - Markeringsfarve4 3 5 4 3 2 3" xfId="31735"/>
    <cellStyle name="40 % - Markeringsfarve4 3 5 4 3 3" xfId="15393"/>
    <cellStyle name="40 % - Markeringsfarve4 3 5 4 3 4" xfId="26751"/>
    <cellStyle name="40 % - Markeringsfarve4 3 5 4 4" xfId="6248"/>
    <cellStyle name="40 % - Markeringsfarve4 3 5 4 4 2" xfId="17056"/>
    <cellStyle name="40 % - Markeringsfarve4 3 5 4 4 3" xfId="28413"/>
    <cellStyle name="40 % - Markeringsfarve4 3 5 4 5" xfId="12071"/>
    <cellStyle name="40 % - Markeringsfarve4 3 5 4 6" xfId="23429"/>
    <cellStyle name="40 % - Markeringsfarve4 3 5 5" xfId="2092"/>
    <cellStyle name="40 % - Markeringsfarve4 3 5 5 2" xfId="7080"/>
    <cellStyle name="40 % - Markeringsfarve4 3 5 5 2 2" xfId="17888"/>
    <cellStyle name="40 % - Markeringsfarve4 3 5 5 2 3" xfId="29245"/>
    <cellStyle name="40 % - Markeringsfarve4 3 5 5 3" xfId="12903"/>
    <cellStyle name="40 % - Markeringsfarve4 3 5 5 4" xfId="24261"/>
    <cellStyle name="40 % - Markeringsfarve4 3 5 6" xfId="3757"/>
    <cellStyle name="40 % - Markeringsfarve4 3 5 6 2" xfId="8742"/>
    <cellStyle name="40 % - Markeringsfarve4 3 5 6 2 2" xfId="19549"/>
    <cellStyle name="40 % - Markeringsfarve4 3 5 6 2 3" xfId="30906"/>
    <cellStyle name="40 % - Markeringsfarve4 3 5 6 3" xfId="14564"/>
    <cellStyle name="40 % - Markeringsfarve4 3 5 6 4" xfId="25922"/>
    <cellStyle name="40 % - Markeringsfarve4 3 5 7" xfId="5418"/>
    <cellStyle name="40 % - Markeringsfarve4 3 5 7 2" xfId="16227"/>
    <cellStyle name="40 % - Markeringsfarve4 3 5 7 3" xfId="27584"/>
    <cellStyle name="40 % - Markeringsfarve4 3 5 8" xfId="10403"/>
    <cellStyle name="40 % - Markeringsfarve4 3 5 8 2" xfId="21210"/>
    <cellStyle name="40 % - Markeringsfarve4 3 5 8 3" xfId="32567"/>
    <cellStyle name="40 % - Markeringsfarve4 3 5 9" xfId="11237"/>
    <cellStyle name="40 % - Markeringsfarve4 3 6" xfId="487"/>
    <cellStyle name="40 % - Markeringsfarve4 3 6 2" xfId="1317"/>
    <cellStyle name="40 % - Markeringsfarve4 3 6 2 2" xfId="2982"/>
    <cellStyle name="40 % - Markeringsfarve4 3 6 2 2 2" xfId="7970"/>
    <cellStyle name="40 % - Markeringsfarve4 3 6 2 2 2 2" xfId="18777"/>
    <cellStyle name="40 % - Markeringsfarve4 3 6 2 2 2 3" xfId="30134"/>
    <cellStyle name="40 % - Markeringsfarve4 3 6 2 2 3" xfId="13792"/>
    <cellStyle name="40 % - Markeringsfarve4 3 6 2 2 4" xfId="25150"/>
    <cellStyle name="40 % - Markeringsfarve4 3 6 2 3" xfId="4646"/>
    <cellStyle name="40 % - Markeringsfarve4 3 6 2 3 2" xfId="9631"/>
    <cellStyle name="40 % - Markeringsfarve4 3 6 2 3 2 2" xfId="20438"/>
    <cellStyle name="40 % - Markeringsfarve4 3 6 2 3 2 3" xfId="31795"/>
    <cellStyle name="40 % - Markeringsfarve4 3 6 2 3 3" xfId="15453"/>
    <cellStyle name="40 % - Markeringsfarve4 3 6 2 3 4" xfId="26811"/>
    <cellStyle name="40 % - Markeringsfarve4 3 6 2 4" xfId="6308"/>
    <cellStyle name="40 % - Markeringsfarve4 3 6 2 4 2" xfId="17116"/>
    <cellStyle name="40 % - Markeringsfarve4 3 6 2 4 3" xfId="28473"/>
    <cellStyle name="40 % - Markeringsfarve4 3 6 2 5" xfId="12131"/>
    <cellStyle name="40 % - Markeringsfarve4 3 6 2 6" xfId="23489"/>
    <cellStyle name="40 % - Markeringsfarve4 3 6 3" xfId="2153"/>
    <cellStyle name="40 % - Markeringsfarve4 3 6 3 2" xfId="7141"/>
    <cellStyle name="40 % - Markeringsfarve4 3 6 3 2 2" xfId="17948"/>
    <cellStyle name="40 % - Markeringsfarve4 3 6 3 2 3" xfId="29305"/>
    <cellStyle name="40 % - Markeringsfarve4 3 6 3 3" xfId="12963"/>
    <cellStyle name="40 % - Markeringsfarve4 3 6 3 4" xfId="24321"/>
    <cellStyle name="40 % - Markeringsfarve4 3 6 4" xfId="3817"/>
    <cellStyle name="40 % - Markeringsfarve4 3 6 4 2" xfId="8802"/>
    <cellStyle name="40 % - Markeringsfarve4 3 6 4 2 2" xfId="19609"/>
    <cellStyle name="40 % - Markeringsfarve4 3 6 4 2 3" xfId="30966"/>
    <cellStyle name="40 % - Markeringsfarve4 3 6 4 3" xfId="14624"/>
    <cellStyle name="40 % - Markeringsfarve4 3 6 4 4" xfId="25982"/>
    <cellStyle name="40 % - Markeringsfarve4 3 6 5" xfId="5479"/>
    <cellStyle name="40 % - Markeringsfarve4 3 6 5 2" xfId="16287"/>
    <cellStyle name="40 % - Markeringsfarve4 3 6 5 3" xfId="27644"/>
    <cellStyle name="40 % - Markeringsfarve4 3 6 6" xfId="10464"/>
    <cellStyle name="40 % - Markeringsfarve4 3 6 6 2" xfId="21271"/>
    <cellStyle name="40 % - Markeringsfarve4 3 6 6 3" xfId="32628"/>
    <cellStyle name="40 % - Markeringsfarve4 3 6 7" xfId="11298"/>
    <cellStyle name="40 % - Markeringsfarve4 3 6 8" xfId="22104"/>
    <cellStyle name="40 % - Markeringsfarve4 3 6 9" xfId="22658"/>
    <cellStyle name="40 % - Markeringsfarve4 3 7" xfId="759"/>
    <cellStyle name="40 % - Markeringsfarve4 3 7 2" xfId="1591"/>
    <cellStyle name="40 % - Markeringsfarve4 3 7 2 2" xfId="3256"/>
    <cellStyle name="40 % - Markeringsfarve4 3 7 2 2 2" xfId="8244"/>
    <cellStyle name="40 % - Markeringsfarve4 3 7 2 2 2 2" xfId="19051"/>
    <cellStyle name="40 % - Markeringsfarve4 3 7 2 2 2 3" xfId="30408"/>
    <cellStyle name="40 % - Markeringsfarve4 3 7 2 2 3" xfId="14066"/>
    <cellStyle name="40 % - Markeringsfarve4 3 7 2 2 4" xfId="25424"/>
    <cellStyle name="40 % - Markeringsfarve4 3 7 2 3" xfId="4920"/>
    <cellStyle name="40 % - Markeringsfarve4 3 7 2 3 2" xfId="9905"/>
    <cellStyle name="40 % - Markeringsfarve4 3 7 2 3 2 2" xfId="20712"/>
    <cellStyle name="40 % - Markeringsfarve4 3 7 2 3 2 3" xfId="32069"/>
    <cellStyle name="40 % - Markeringsfarve4 3 7 2 3 3" xfId="15727"/>
    <cellStyle name="40 % - Markeringsfarve4 3 7 2 3 4" xfId="27085"/>
    <cellStyle name="40 % - Markeringsfarve4 3 7 2 4" xfId="6582"/>
    <cellStyle name="40 % - Markeringsfarve4 3 7 2 4 2" xfId="17390"/>
    <cellStyle name="40 % - Markeringsfarve4 3 7 2 4 3" xfId="28747"/>
    <cellStyle name="40 % - Markeringsfarve4 3 7 2 5" xfId="12405"/>
    <cellStyle name="40 % - Markeringsfarve4 3 7 2 6" xfId="23763"/>
    <cellStyle name="40 % - Markeringsfarve4 3 7 3" xfId="2425"/>
    <cellStyle name="40 % - Markeringsfarve4 3 7 3 2" xfId="7413"/>
    <cellStyle name="40 % - Markeringsfarve4 3 7 3 2 2" xfId="18220"/>
    <cellStyle name="40 % - Markeringsfarve4 3 7 3 2 3" xfId="29577"/>
    <cellStyle name="40 % - Markeringsfarve4 3 7 3 3" xfId="13235"/>
    <cellStyle name="40 % - Markeringsfarve4 3 7 3 4" xfId="24593"/>
    <cellStyle name="40 % - Markeringsfarve4 3 7 4" xfId="4089"/>
    <cellStyle name="40 % - Markeringsfarve4 3 7 4 2" xfId="9074"/>
    <cellStyle name="40 % - Markeringsfarve4 3 7 4 2 2" xfId="19881"/>
    <cellStyle name="40 % - Markeringsfarve4 3 7 4 2 3" xfId="31238"/>
    <cellStyle name="40 % - Markeringsfarve4 3 7 4 3" xfId="14896"/>
    <cellStyle name="40 % - Markeringsfarve4 3 7 4 4" xfId="26254"/>
    <cellStyle name="40 % - Markeringsfarve4 3 7 5" xfId="5751"/>
    <cellStyle name="40 % - Markeringsfarve4 3 7 5 2" xfId="16559"/>
    <cellStyle name="40 % - Markeringsfarve4 3 7 5 3" xfId="27916"/>
    <cellStyle name="40 % - Markeringsfarve4 3 7 6" xfId="10738"/>
    <cellStyle name="40 % - Markeringsfarve4 3 7 6 2" xfId="21545"/>
    <cellStyle name="40 % - Markeringsfarve4 3 7 6 3" xfId="32902"/>
    <cellStyle name="40 % - Markeringsfarve4 3 7 7" xfId="11573"/>
    <cellStyle name="40 % - Markeringsfarve4 3 7 8" xfId="22932"/>
    <cellStyle name="40 % - Markeringsfarve4 3 8" xfId="1038"/>
    <cellStyle name="40 % - Markeringsfarve4 3 8 2" xfId="2703"/>
    <cellStyle name="40 % - Markeringsfarve4 3 8 2 2" xfId="7691"/>
    <cellStyle name="40 % - Markeringsfarve4 3 8 2 2 2" xfId="18498"/>
    <cellStyle name="40 % - Markeringsfarve4 3 8 2 2 3" xfId="29855"/>
    <cellStyle name="40 % - Markeringsfarve4 3 8 2 3" xfId="13513"/>
    <cellStyle name="40 % - Markeringsfarve4 3 8 2 4" xfId="24871"/>
    <cellStyle name="40 % - Markeringsfarve4 3 8 3" xfId="4367"/>
    <cellStyle name="40 % - Markeringsfarve4 3 8 3 2" xfId="9352"/>
    <cellStyle name="40 % - Markeringsfarve4 3 8 3 2 2" xfId="20159"/>
    <cellStyle name="40 % - Markeringsfarve4 3 8 3 2 3" xfId="31516"/>
    <cellStyle name="40 % - Markeringsfarve4 3 8 3 3" xfId="15174"/>
    <cellStyle name="40 % - Markeringsfarve4 3 8 3 4" xfId="26532"/>
    <cellStyle name="40 % - Markeringsfarve4 3 8 4" xfId="6029"/>
    <cellStyle name="40 % - Markeringsfarve4 3 8 4 2" xfId="16837"/>
    <cellStyle name="40 % - Markeringsfarve4 3 8 4 3" xfId="28194"/>
    <cellStyle name="40 % - Markeringsfarve4 3 8 5" xfId="11852"/>
    <cellStyle name="40 % - Markeringsfarve4 3 8 6" xfId="23210"/>
    <cellStyle name="40 % - Markeringsfarve4 3 9" xfId="1874"/>
    <cellStyle name="40 % - Markeringsfarve4 3 9 2" xfId="6862"/>
    <cellStyle name="40 % - Markeringsfarve4 3 9 2 2" xfId="17670"/>
    <cellStyle name="40 % - Markeringsfarve4 3 9 2 3" xfId="29027"/>
    <cellStyle name="40 % - Markeringsfarve4 3 9 3" xfId="12685"/>
    <cellStyle name="40 % - Markeringsfarve4 3 9 4" xfId="24043"/>
    <cellStyle name="40 % - Markeringsfarve4 4" xfId="184"/>
    <cellStyle name="40 % - Markeringsfarve4 4 10" xfId="21842"/>
    <cellStyle name="40 % - Markeringsfarve4 4 11" xfId="22395"/>
    <cellStyle name="40 % - Markeringsfarve4 4 12" xfId="33198"/>
    <cellStyle name="40 % - Markeringsfarve4 4 13" xfId="33471"/>
    <cellStyle name="40 % - Markeringsfarve4 4 14" xfId="33742"/>
    <cellStyle name="40 % - Markeringsfarve4 4 2" xfId="504"/>
    <cellStyle name="40 % - Markeringsfarve4 4 2 2" xfId="1334"/>
    <cellStyle name="40 % - Markeringsfarve4 4 2 2 2" xfId="2999"/>
    <cellStyle name="40 % - Markeringsfarve4 4 2 2 2 2" xfId="7987"/>
    <cellStyle name="40 % - Markeringsfarve4 4 2 2 2 2 2" xfId="18794"/>
    <cellStyle name="40 % - Markeringsfarve4 4 2 2 2 2 3" xfId="30151"/>
    <cellStyle name="40 % - Markeringsfarve4 4 2 2 2 3" xfId="13809"/>
    <cellStyle name="40 % - Markeringsfarve4 4 2 2 2 4" xfId="25167"/>
    <cellStyle name="40 % - Markeringsfarve4 4 2 2 3" xfId="4663"/>
    <cellStyle name="40 % - Markeringsfarve4 4 2 2 3 2" xfId="9648"/>
    <cellStyle name="40 % - Markeringsfarve4 4 2 2 3 2 2" xfId="20455"/>
    <cellStyle name="40 % - Markeringsfarve4 4 2 2 3 2 3" xfId="31812"/>
    <cellStyle name="40 % - Markeringsfarve4 4 2 2 3 3" xfId="15470"/>
    <cellStyle name="40 % - Markeringsfarve4 4 2 2 3 4" xfId="26828"/>
    <cellStyle name="40 % - Markeringsfarve4 4 2 2 4" xfId="6325"/>
    <cellStyle name="40 % - Markeringsfarve4 4 2 2 4 2" xfId="17133"/>
    <cellStyle name="40 % - Markeringsfarve4 4 2 2 4 3" xfId="28490"/>
    <cellStyle name="40 % - Markeringsfarve4 4 2 2 5" xfId="12148"/>
    <cellStyle name="40 % - Markeringsfarve4 4 2 2 6" xfId="23506"/>
    <cellStyle name="40 % - Markeringsfarve4 4 2 3" xfId="2170"/>
    <cellStyle name="40 % - Markeringsfarve4 4 2 3 2" xfId="7158"/>
    <cellStyle name="40 % - Markeringsfarve4 4 2 3 2 2" xfId="17965"/>
    <cellStyle name="40 % - Markeringsfarve4 4 2 3 2 3" xfId="29322"/>
    <cellStyle name="40 % - Markeringsfarve4 4 2 3 3" xfId="12980"/>
    <cellStyle name="40 % - Markeringsfarve4 4 2 3 4" xfId="24338"/>
    <cellStyle name="40 % - Markeringsfarve4 4 2 4" xfId="3834"/>
    <cellStyle name="40 % - Markeringsfarve4 4 2 4 2" xfId="8819"/>
    <cellStyle name="40 % - Markeringsfarve4 4 2 4 2 2" xfId="19626"/>
    <cellStyle name="40 % - Markeringsfarve4 4 2 4 2 3" xfId="30983"/>
    <cellStyle name="40 % - Markeringsfarve4 4 2 4 3" xfId="14641"/>
    <cellStyle name="40 % - Markeringsfarve4 4 2 4 4" xfId="25999"/>
    <cellStyle name="40 % - Markeringsfarve4 4 2 5" xfId="5496"/>
    <cellStyle name="40 % - Markeringsfarve4 4 2 5 2" xfId="16304"/>
    <cellStyle name="40 % - Markeringsfarve4 4 2 5 3" xfId="27661"/>
    <cellStyle name="40 % - Markeringsfarve4 4 2 6" xfId="10481"/>
    <cellStyle name="40 % - Markeringsfarve4 4 2 6 2" xfId="21288"/>
    <cellStyle name="40 % - Markeringsfarve4 4 2 6 3" xfId="32645"/>
    <cellStyle name="40 % - Markeringsfarve4 4 2 7" xfId="11315"/>
    <cellStyle name="40 % - Markeringsfarve4 4 2 8" xfId="22121"/>
    <cellStyle name="40 % - Markeringsfarve4 4 2 9" xfId="22675"/>
    <cellStyle name="40 % - Markeringsfarve4 4 3" xfId="776"/>
    <cellStyle name="40 % - Markeringsfarve4 4 3 2" xfId="1608"/>
    <cellStyle name="40 % - Markeringsfarve4 4 3 2 2" xfId="3273"/>
    <cellStyle name="40 % - Markeringsfarve4 4 3 2 2 2" xfId="8261"/>
    <cellStyle name="40 % - Markeringsfarve4 4 3 2 2 2 2" xfId="19068"/>
    <cellStyle name="40 % - Markeringsfarve4 4 3 2 2 2 3" xfId="30425"/>
    <cellStyle name="40 % - Markeringsfarve4 4 3 2 2 3" xfId="14083"/>
    <cellStyle name="40 % - Markeringsfarve4 4 3 2 2 4" xfId="25441"/>
    <cellStyle name="40 % - Markeringsfarve4 4 3 2 3" xfId="4937"/>
    <cellStyle name="40 % - Markeringsfarve4 4 3 2 3 2" xfId="9922"/>
    <cellStyle name="40 % - Markeringsfarve4 4 3 2 3 2 2" xfId="20729"/>
    <cellStyle name="40 % - Markeringsfarve4 4 3 2 3 2 3" xfId="32086"/>
    <cellStyle name="40 % - Markeringsfarve4 4 3 2 3 3" xfId="15744"/>
    <cellStyle name="40 % - Markeringsfarve4 4 3 2 3 4" xfId="27102"/>
    <cellStyle name="40 % - Markeringsfarve4 4 3 2 4" xfId="6599"/>
    <cellStyle name="40 % - Markeringsfarve4 4 3 2 4 2" xfId="17407"/>
    <cellStyle name="40 % - Markeringsfarve4 4 3 2 4 3" xfId="28764"/>
    <cellStyle name="40 % - Markeringsfarve4 4 3 2 5" xfId="12422"/>
    <cellStyle name="40 % - Markeringsfarve4 4 3 2 6" xfId="23780"/>
    <cellStyle name="40 % - Markeringsfarve4 4 3 3" xfId="2442"/>
    <cellStyle name="40 % - Markeringsfarve4 4 3 3 2" xfId="7430"/>
    <cellStyle name="40 % - Markeringsfarve4 4 3 3 2 2" xfId="18237"/>
    <cellStyle name="40 % - Markeringsfarve4 4 3 3 2 3" xfId="29594"/>
    <cellStyle name="40 % - Markeringsfarve4 4 3 3 3" xfId="13252"/>
    <cellStyle name="40 % - Markeringsfarve4 4 3 3 4" xfId="24610"/>
    <cellStyle name="40 % - Markeringsfarve4 4 3 4" xfId="4106"/>
    <cellStyle name="40 % - Markeringsfarve4 4 3 4 2" xfId="9091"/>
    <cellStyle name="40 % - Markeringsfarve4 4 3 4 2 2" xfId="19898"/>
    <cellStyle name="40 % - Markeringsfarve4 4 3 4 2 3" xfId="31255"/>
    <cellStyle name="40 % - Markeringsfarve4 4 3 4 3" xfId="14913"/>
    <cellStyle name="40 % - Markeringsfarve4 4 3 4 4" xfId="26271"/>
    <cellStyle name="40 % - Markeringsfarve4 4 3 5" xfId="5768"/>
    <cellStyle name="40 % - Markeringsfarve4 4 3 5 2" xfId="16576"/>
    <cellStyle name="40 % - Markeringsfarve4 4 3 5 3" xfId="27933"/>
    <cellStyle name="40 % - Markeringsfarve4 4 3 6" xfId="10755"/>
    <cellStyle name="40 % - Markeringsfarve4 4 3 6 2" xfId="21562"/>
    <cellStyle name="40 % - Markeringsfarve4 4 3 6 3" xfId="32919"/>
    <cellStyle name="40 % - Markeringsfarve4 4 3 7" xfId="11590"/>
    <cellStyle name="40 % - Markeringsfarve4 4 3 8" xfId="22949"/>
    <cellStyle name="40 % - Markeringsfarve4 4 4" xfId="1055"/>
    <cellStyle name="40 % - Markeringsfarve4 4 4 2" xfId="2720"/>
    <cellStyle name="40 % - Markeringsfarve4 4 4 2 2" xfId="7708"/>
    <cellStyle name="40 % - Markeringsfarve4 4 4 2 2 2" xfId="18515"/>
    <cellStyle name="40 % - Markeringsfarve4 4 4 2 2 3" xfId="29872"/>
    <cellStyle name="40 % - Markeringsfarve4 4 4 2 3" xfId="13530"/>
    <cellStyle name="40 % - Markeringsfarve4 4 4 2 4" xfId="24888"/>
    <cellStyle name="40 % - Markeringsfarve4 4 4 3" xfId="4384"/>
    <cellStyle name="40 % - Markeringsfarve4 4 4 3 2" xfId="9369"/>
    <cellStyle name="40 % - Markeringsfarve4 4 4 3 2 2" xfId="20176"/>
    <cellStyle name="40 % - Markeringsfarve4 4 4 3 2 3" xfId="31533"/>
    <cellStyle name="40 % - Markeringsfarve4 4 4 3 3" xfId="15191"/>
    <cellStyle name="40 % - Markeringsfarve4 4 4 3 4" xfId="26549"/>
    <cellStyle name="40 % - Markeringsfarve4 4 4 4" xfId="6046"/>
    <cellStyle name="40 % - Markeringsfarve4 4 4 4 2" xfId="16854"/>
    <cellStyle name="40 % - Markeringsfarve4 4 4 4 3" xfId="28211"/>
    <cellStyle name="40 % - Markeringsfarve4 4 4 5" xfId="11869"/>
    <cellStyle name="40 % - Markeringsfarve4 4 4 6" xfId="23227"/>
    <cellStyle name="40 % - Markeringsfarve4 4 5" xfId="1890"/>
    <cellStyle name="40 % - Markeringsfarve4 4 5 2" xfId="6878"/>
    <cellStyle name="40 % - Markeringsfarve4 4 5 2 2" xfId="17686"/>
    <cellStyle name="40 % - Markeringsfarve4 4 5 2 3" xfId="29043"/>
    <cellStyle name="40 % - Markeringsfarve4 4 5 3" xfId="12701"/>
    <cellStyle name="40 % - Markeringsfarve4 4 5 4" xfId="24059"/>
    <cellStyle name="40 % - Markeringsfarve4 4 6" xfId="3555"/>
    <cellStyle name="40 % - Markeringsfarve4 4 6 2" xfId="8540"/>
    <cellStyle name="40 % - Markeringsfarve4 4 6 2 2" xfId="19347"/>
    <cellStyle name="40 % - Markeringsfarve4 4 6 2 3" xfId="30704"/>
    <cellStyle name="40 % - Markeringsfarve4 4 6 3" xfId="14362"/>
    <cellStyle name="40 % - Markeringsfarve4 4 6 4" xfId="25720"/>
    <cellStyle name="40 % - Markeringsfarve4 4 7" xfId="5216"/>
    <cellStyle name="40 % - Markeringsfarve4 4 7 2" xfId="16025"/>
    <cellStyle name="40 % - Markeringsfarve4 4 7 3" xfId="27382"/>
    <cellStyle name="40 % - Markeringsfarve4 4 8" xfId="10201"/>
    <cellStyle name="40 % - Markeringsfarve4 4 8 2" xfId="21008"/>
    <cellStyle name="40 % - Markeringsfarve4 4 8 3" xfId="32365"/>
    <cellStyle name="40 % - Markeringsfarve4 4 9" xfId="11035"/>
    <cellStyle name="40 % - Markeringsfarve4 5" xfId="237"/>
    <cellStyle name="40 % - Markeringsfarve4 5 10" xfId="21895"/>
    <cellStyle name="40 % - Markeringsfarve4 5 11" xfId="22448"/>
    <cellStyle name="40 % - Markeringsfarve4 5 12" xfId="33251"/>
    <cellStyle name="40 % - Markeringsfarve4 5 13" xfId="33526"/>
    <cellStyle name="40 % - Markeringsfarve4 5 14" xfId="33797"/>
    <cellStyle name="40 % - Markeringsfarve4 5 2" xfId="555"/>
    <cellStyle name="40 % - Markeringsfarve4 5 2 2" xfId="1387"/>
    <cellStyle name="40 % - Markeringsfarve4 5 2 2 2" xfId="3052"/>
    <cellStyle name="40 % - Markeringsfarve4 5 2 2 2 2" xfId="8040"/>
    <cellStyle name="40 % - Markeringsfarve4 5 2 2 2 2 2" xfId="18847"/>
    <cellStyle name="40 % - Markeringsfarve4 5 2 2 2 2 3" xfId="30204"/>
    <cellStyle name="40 % - Markeringsfarve4 5 2 2 2 3" xfId="13862"/>
    <cellStyle name="40 % - Markeringsfarve4 5 2 2 2 4" xfId="25220"/>
    <cellStyle name="40 % - Markeringsfarve4 5 2 2 3" xfId="4716"/>
    <cellStyle name="40 % - Markeringsfarve4 5 2 2 3 2" xfId="9701"/>
    <cellStyle name="40 % - Markeringsfarve4 5 2 2 3 2 2" xfId="20508"/>
    <cellStyle name="40 % - Markeringsfarve4 5 2 2 3 2 3" xfId="31865"/>
    <cellStyle name="40 % - Markeringsfarve4 5 2 2 3 3" xfId="15523"/>
    <cellStyle name="40 % - Markeringsfarve4 5 2 2 3 4" xfId="26881"/>
    <cellStyle name="40 % - Markeringsfarve4 5 2 2 4" xfId="6378"/>
    <cellStyle name="40 % - Markeringsfarve4 5 2 2 4 2" xfId="17186"/>
    <cellStyle name="40 % - Markeringsfarve4 5 2 2 4 3" xfId="28543"/>
    <cellStyle name="40 % - Markeringsfarve4 5 2 2 5" xfId="12201"/>
    <cellStyle name="40 % - Markeringsfarve4 5 2 2 6" xfId="23559"/>
    <cellStyle name="40 % - Markeringsfarve4 5 2 3" xfId="2221"/>
    <cellStyle name="40 % - Markeringsfarve4 5 2 3 2" xfId="7209"/>
    <cellStyle name="40 % - Markeringsfarve4 5 2 3 2 2" xfId="18016"/>
    <cellStyle name="40 % - Markeringsfarve4 5 2 3 2 3" xfId="29373"/>
    <cellStyle name="40 % - Markeringsfarve4 5 2 3 3" xfId="13031"/>
    <cellStyle name="40 % - Markeringsfarve4 5 2 3 4" xfId="24389"/>
    <cellStyle name="40 % - Markeringsfarve4 5 2 4" xfId="3885"/>
    <cellStyle name="40 % - Markeringsfarve4 5 2 4 2" xfId="8870"/>
    <cellStyle name="40 % - Markeringsfarve4 5 2 4 2 2" xfId="19677"/>
    <cellStyle name="40 % - Markeringsfarve4 5 2 4 2 3" xfId="31034"/>
    <cellStyle name="40 % - Markeringsfarve4 5 2 4 3" xfId="14692"/>
    <cellStyle name="40 % - Markeringsfarve4 5 2 4 4" xfId="26050"/>
    <cellStyle name="40 % - Markeringsfarve4 5 2 5" xfId="5547"/>
    <cellStyle name="40 % - Markeringsfarve4 5 2 5 2" xfId="16355"/>
    <cellStyle name="40 % - Markeringsfarve4 5 2 5 3" xfId="27712"/>
    <cellStyle name="40 % - Markeringsfarve4 5 2 6" xfId="10534"/>
    <cellStyle name="40 % - Markeringsfarve4 5 2 6 2" xfId="21341"/>
    <cellStyle name="40 % - Markeringsfarve4 5 2 6 3" xfId="32698"/>
    <cellStyle name="40 % - Markeringsfarve4 5 2 7" xfId="11368"/>
    <cellStyle name="40 % - Markeringsfarve4 5 2 8" xfId="22174"/>
    <cellStyle name="40 % - Markeringsfarve4 5 2 9" xfId="22728"/>
    <cellStyle name="40 % - Markeringsfarve4 5 3" xfId="829"/>
    <cellStyle name="40 % - Markeringsfarve4 5 3 2" xfId="1661"/>
    <cellStyle name="40 % - Markeringsfarve4 5 3 2 2" xfId="3326"/>
    <cellStyle name="40 % - Markeringsfarve4 5 3 2 2 2" xfId="8314"/>
    <cellStyle name="40 % - Markeringsfarve4 5 3 2 2 2 2" xfId="19121"/>
    <cellStyle name="40 % - Markeringsfarve4 5 3 2 2 2 3" xfId="30478"/>
    <cellStyle name="40 % - Markeringsfarve4 5 3 2 2 3" xfId="14136"/>
    <cellStyle name="40 % - Markeringsfarve4 5 3 2 2 4" xfId="25494"/>
    <cellStyle name="40 % - Markeringsfarve4 5 3 2 3" xfId="4990"/>
    <cellStyle name="40 % - Markeringsfarve4 5 3 2 3 2" xfId="9975"/>
    <cellStyle name="40 % - Markeringsfarve4 5 3 2 3 2 2" xfId="20782"/>
    <cellStyle name="40 % - Markeringsfarve4 5 3 2 3 2 3" xfId="32139"/>
    <cellStyle name="40 % - Markeringsfarve4 5 3 2 3 3" xfId="15797"/>
    <cellStyle name="40 % - Markeringsfarve4 5 3 2 3 4" xfId="27155"/>
    <cellStyle name="40 % - Markeringsfarve4 5 3 2 4" xfId="6652"/>
    <cellStyle name="40 % - Markeringsfarve4 5 3 2 4 2" xfId="17460"/>
    <cellStyle name="40 % - Markeringsfarve4 5 3 2 4 3" xfId="28817"/>
    <cellStyle name="40 % - Markeringsfarve4 5 3 2 5" xfId="12475"/>
    <cellStyle name="40 % - Markeringsfarve4 5 3 2 6" xfId="23833"/>
    <cellStyle name="40 % - Markeringsfarve4 5 3 3" xfId="2495"/>
    <cellStyle name="40 % - Markeringsfarve4 5 3 3 2" xfId="7483"/>
    <cellStyle name="40 % - Markeringsfarve4 5 3 3 2 2" xfId="18290"/>
    <cellStyle name="40 % - Markeringsfarve4 5 3 3 2 3" xfId="29647"/>
    <cellStyle name="40 % - Markeringsfarve4 5 3 3 3" xfId="13305"/>
    <cellStyle name="40 % - Markeringsfarve4 5 3 3 4" xfId="24663"/>
    <cellStyle name="40 % - Markeringsfarve4 5 3 4" xfId="4159"/>
    <cellStyle name="40 % - Markeringsfarve4 5 3 4 2" xfId="9144"/>
    <cellStyle name="40 % - Markeringsfarve4 5 3 4 2 2" xfId="19951"/>
    <cellStyle name="40 % - Markeringsfarve4 5 3 4 2 3" xfId="31308"/>
    <cellStyle name="40 % - Markeringsfarve4 5 3 4 3" xfId="14966"/>
    <cellStyle name="40 % - Markeringsfarve4 5 3 4 4" xfId="26324"/>
    <cellStyle name="40 % - Markeringsfarve4 5 3 5" xfId="5821"/>
    <cellStyle name="40 % - Markeringsfarve4 5 3 5 2" xfId="16629"/>
    <cellStyle name="40 % - Markeringsfarve4 5 3 5 3" xfId="27986"/>
    <cellStyle name="40 % - Markeringsfarve4 5 3 6" xfId="10808"/>
    <cellStyle name="40 % - Markeringsfarve4 5 3 6 2" xfId="21615"/>
    <cellStyle name="40 % - Markeringsfarve4 5 3 6 3" xfId="32972"/>
    <cellStyle name="40 % - Markeringsfarve4 5 3 7" xfId="11643"/>
    <cellStyle name="40 % - Markeringsfarve4 5 3 8" xfId="23002"/>
    <cellStyle name="40 % - Markeringsfarve4 5 4" xfId="1108"/>
    <cellStyle name="40 % - Markeringsfarve4 5 4 2" xfId="2773"/>
    <cellStyle name="40 % - Markeringsfarve4 5 4 2 2" xfId="7761"/>
    <cellStyle name="40 % - Markeringsfarve4 5 4 2 2 2" xfId="18568"/>
    <cellStyle name="40 % - Markeringsfarve4 5 4 2 2 3" xfId="29925"/>
    <cellStyle name="40 % - Markeringsfarve4 5 4 2 3" xfId="13583"/>
    <cellStyle name="40 % - Markeringsfarve4 5 4 2 4" xfId="24941"/>
    <cellStyle name="40 % - Markeringsfarve4 5 4 3" xfId="4437"/>
    <cellStyle name="40 % - Markeringsfarve4 5 4 3 2" xfId="9422"/>
    <cellStyle name="40 % - Markeringsfarve4 5 4 3 2 2" xfId="20229"/>
    <cellStyle name="40 % - Markeringsfarve4 5 4 3 2 3" xfId="31586"/>
    <cellStyle name="40 % - Markeringsfarve4 5 4 3 3" xfId="15244"/>
    <cellStyle name="40 % - Markeringsfarve4 5 4 3 4" xfId="26602"/>
    <cellStyle name="40 % - Markeringsfarve4 5 4 4" xfId="6099"/>
    <cellStyle name="40 % - Markeringsfarve4 5 4 4 2" xfId="16907"/>
    <cellStyle name="40 % - Markeringsfarve4 5 4 4 3" xfId="28264"/>
    <cellStyle name="40 % - Markeringsfarve4 5 4 5" xfId="11922"/>
    <cellStyle name="40 % - Markeringsfarve4 5 4 6" xfId="23280"/>
    <cellStyle name="40 % - Markeringsfarve4 5 5" xfId="1943"/>
    <cellStyle name="40 % - Markeringsfarve4 5 5 2" xfId="6931"/>
    <cellStyle name="40 % - Markeringsfarve4 5 5 2 2" xfId="17739"/>
    <cellStyle name="40 % - Markeringsfarve4 5 5 2 3" xfId="29096"/>
    <cellStyle name="40 % - Markeringsfarve4 5 5 3" xfId="12754"/>
    <cellStyle name="40 % - Markeringsfarve4 5 5 4" xfId="24112"/>
    <cellStyle name="40 % - Markeringsfarve4 5 6" xfId="3608"/>
    <cellStyle name="40 % - Markeringsfarve4 5 6 2" xfId="8593"/>
    <cellStyle name="40 % - Markeringsfarve4 5 6 2 2" xfId="19400"/>
    <cellStyle name="40 % - Markeringsfarve4 5 6 2 3" xfId="30757"/>
    <cellStyle name="40 % - Markeringsfarve4 5 6 3" xfId="14415"/>
    <cellStyle name="40 % - Markeringsfarve4 5 6 4" xfId="25773"/>
    <cellStyle name="40 % - Markeringsfarve4 5 7" xfId="5269"/>
    <cellStyle name="40 % - Markeringsfarve4 5 7 2" xfId="16078"/>
    <cellStyle name="40 % - Markeringsfarve4 5 7 3" xfId="27435"/>
    <cellStyle name="40 % - Markeringsfarve4 5 8" xfId="10254"/>
    <cellStyle name="40 % - Markeringsfarve4 5 8 2" xfId="21061"/>
    <cellStyle name="40 % - Markeringsfarve4 5 8 3" xfId="32418"/>
    <cellStyle name="40 % - Markeringsfarve4 5 9" xfId="11088"/>
    <cellStyle name="40 % - Markeringsfarve4 6" xfId="293"/>
    <cellStyle name="40 % - Markeringsfarve4 6 10" xfId="21950"/>
    <cellStyle name="40 % - Markeringsfarve4 6 11" xfId="22503"/>
    <cellStyle name="40 % - Markeringsfarve4 6 12" xfId="33306"/>
    <cellStyle name="40 % - Markeringsfarve4 6 13" xfId="33581"/>
    <cellStyle name="40 % - Markeringsfarve4 6 14" xfId="33852"/>
    <cellStyle name="40 % - Markeringsfarve4 6 2" xfId="610"/>
    <cellStyle name="40 % - Markeringsfarve4 6 2 2" xfId="1442"/>
    <cellStyle name="40 % - Markeringsfarve4 6 2 2 2" xfId="3107"/>
    <cellStyle name="40 % - Markeringsfarve4 6 2 2 2 2" xfId="8095"/>
    <cellStyle name="40 % - Markeringsfarve4 6 2 2 2 2 2" xfId="18902"/>
    <cellStyle name="40 % - Markeringsfarve4 6 2 2 2 2 3" xfId="30259"/>
    <cellStyle name="40 % - Markeringsfarve4 6 2 2 2 3" xfId="13917"/>
    <cellStyle name="40 % - Markeringsfarve4 6 2 2 2 4" xfId="25275"/>
    <cellStyle name="40 % - Markeringsfarve4 6 2 2 3" xfId="4771"/>
    <cellStyle name="40 % - Markeringsfarve4 6 2 2 3 2" xfId="9756"/>
    <cellStyle name="40 % - Markeringsfarve4 6 2 2 3 2 2" xfId="20563"/>
    <cellStyle name="40 % - Markeringsfarve4 6 2 2 3 2 3" xfId="31920"/>
    <cellStyle name="40 % - Markeringsfarve4 6 2 2 3 3" xfId="15578"/>
    <cellStyle name="40 % - Markeringsfarve4 6 2 2 3 4" xfId="26936"/>
    <cellStyle name="40 % - Markeringsfarve4 6 2 2 4" xfId="6433"/>
    <cellStyle name="40 % - Markeringsfarve4 6 2 2 4 2" xfId="17241"/>
    <cellStyle name="40 % - Markeringsfarve4 6 2 2 4 3" xfId="28598"/>
    <cellStyle name="40 % - Markeringsfarve4 6 2 2 5" xfId="12256"/>
    <cellStyle name="40 % - Markeringsfarve4 6 2 2 6" xfId="23614"/>
    <cellStyle name="40 % - Markeringsfarve4 6 2 3" xfId="2276"/>
    <cellStyle name="40 % - Markeringsfarve4 6 2 3 2" xfId="7264"/>
    <cellStyle name="40 % - Markeringsfarve4 6 2 3 2 2" xfId="18071"/>
    <cellStyle name="40 % - Markeringsfarve4 6 2 3 2 3" xfId="29428"/>
    <cellStyle name="40 % - Markeringsfarve4 6 2 3 3" xfId="13086"/>
    <cellStyle name="40 % - Markeringsfarve4 6 2 3 4" xfId="24444"/>
    <cellStyle name="40 % - Markeringsfarve4 6 2 4" xfId="3940"/>
    <cellStyle name="40 % - Markeringsfarve4 6 2 4 2" xfId="8925"/>
    <cellStyle name="40 % - Markeringsfarve4 6 2 4 2 2" xfId="19732"/>
    <cellStyle name="40 % - Markeringsfarve4 6 2 4 2 3" xfId="31089"/>
    <cellStyle name="40 % - Markeringsfarve4 6 2 4 3" xfId="14747"/>
    <cellStyle name="40 % - Markeringsfarve4 6 2 4 4" xfId="26105"/>
    <cellStyle name="40 % - Markeringsfarve4 6 2 5" xfId="5602"/>
    <cellStyle name="40 % - Markeringsfarve4 6 2 5 2" xfId="16410"/>
    <cellStyle name="40 % - Markeringsfarve4 6 2 5 3" xfId="27767"/>
    <cellStyle name="40 % - Markeringsfarve4 6 2 6" xfId="10589"/>
    <cellStyle name="40 % - Markeringsfarve4 6 2 6 2" xfId="21396"/>
    <cellStyle name="40 % - Markeringsfarve4 6 2 6 3" xfId="32753"/>
    <cellStyle name="40 % - Markeringsfarve4 6 2 7" xfId="11423"/>
    <cellStyle name="40 % - Markeringsfarve4 6 2 8" xfId="22229"/>
    <cellStyle name="40 % - Markeringsfarve4 6 2 9" xfId="22783"/>
    <cellStyle name="40 % - Markeringsfarve4 6 3" xfId="884"/>
    <cellStyle name="40 % - Markeringsfarve4 6 3 2" xfId="1716"/>
    <cellStyle name="40 % - Markeringsfarve4 6 3 2 2" xfId="3381"/>
    <cellStyle name="40 % - Markeringsfarve4 6 3 2 2 2" xfId="8369"/>
    <cellStyle name="40 % - Markeringsfarve4 6 3 2 2 2 2" xfId="19176"/>
    <cellStyle name="40 % - Markeringsfarve4 6 3 2 2 2 3" xfId="30533"/>
    <cellStyle name="40 % - Markeringsfarve4 6 3 2 2 3" xfId="14191"/>
    <cellStyle name="40 % - Markeringsfarve4 6 3 2 2 4" xfId="25549"/>
    <cellStyle name="40 % - Markeringsfarve4 6 3 2 3" xfId="5045"/>
    <cellStyle name="40 % - Markeringsfarve4 6 3 2 3 2" xfId="10030"/>
    <cellStyle name="40 % - Markeringsfarve4 6 3 2 3 2 2" xfId="20837"/>
    <cellStyle name="40 % - Markeringsfarve4 6 3 2 3 2 3" xfId="32194"/>
    <cellStyle name="40 % - Markeringsfarve4 6 3 2 3 3" xfId="15852"/>
    <cellStyle name="40 % - Markeringsfarve4 6 3 2 3 4" xfId="27210"/>
    <cellStyle name="40 % - Markeringsfarve4 6 3 2 4" xfId="6707"/>
    <cellStyle name="40 % - Markeringsfarve4 6 3 2 4 2" xfId="17515"/>
    <cellStyle name="40 % - Markeringsfarve4 6 3 2 4 3" xfId="28872"/>
    <cellStyle name="40 % - Markeringsfarve4 6 3 2 5" xfId="12530"/>
    <cellStyle name="40 % - Markeringsfarve4 6 3 2 6" xfId="23888"/>
    <cellStyle name="40 % - Markeringsfarve4 6 3 3" xfId="2550"/>
    <cellStyle name="40 % - Markeringsfarve4 6 3 3 2" xfId="7538"/>
    <cellStyle name="40 % - Markeringsfarve4 6 3 3 2 2" xfId="18345"/>
    <cellStyle name="40 % - Markeringsfarve4 6 3 3 2 3" xfId="29702"/>
    <cellStyle name="40 % - Markeringsfarve4 6 3 3 3" xfId="13360"/>
    <cellStyle name="40 % - Markeringsfarve4 6 3 3 4" xfId="24718"/>
    <cellStyle name="40 % - Markeringsfarve4 6 3 4" xfId="4214"/>
    <cellStyle name="40 % - Markeringsfarve4 6 3 4 2" xfId="9199"/>
    <cellStyle name="40 % - Markeringsfarve4 6 3 4 2 2" xfId="20006"/>
    <cellStyle name="40 % - Markeringsfarve4 6 3 4 2 3" xfId="31363"/>
    <cellStyle name="40 % - Markeringsfarve4 6 3 4 3" xfId="15021"/>
    <cellStyle name="40 % - Markeringsfarve4 6 3 4 4" xfId="26379"/>
    <cellStyle name="40 % - Markeringsfarve4 6 3 5" xfId="5876"/>
    <cellStyle name="40 % - Markeringsfarve4 6 3 5 2" xfId="16684"/>
    <cellStyle name="40 % - Markeringsfarve4 6 3 5 3" xfId="28041"/>
    <cellStyle name="40 % - Markeringsfarve4 6 3 6" xfId="10863"/>
    <cellStyle name="40 % - Markeringsfarve4 6 3 6 2" xfId="21670"/>
    <cellStyle name="40 % - Markeringsfarve4 6 3 6 3" xfId="33027"/>
    <cellStyle name="40 % - Markeringsfarve4 6 3 7" xfId="11698"/>
    <cellStyle name="40 % - Markeringsfarve4 6 3 8" xfId="23057"/>
    <cellStyle name="40 % - Markeringsfarve4 6 4" xfId="1163"/>
    <cellStyle name="40 % - Markeringsfarve4 6 4 2" xfId="2828"/>
    <cellStyle name="40 % - Markeringsfarve4 6 4 2 2" xfId="7816"/>
    <cellStyle name="40 % - Markeringsfarve4 6 4 2 2 2" xfId="18623"/>
    <cellStyle name="40 % - Markeringsfarve4 6 4 2 2 3" xfId="29980"/>
    <cellStyle name="40 % - Markeringsfarve4 6 4 2 3" xfId="13638"/>
    <cellStyle name="40 % - Markeringsfarve4 6 4 2 4" xfId="24996"/>
    <cellStyle name="40 % - Markeringsfarve4 6 4 3" xfId="4492"/>
    <cellStyle name="40 % - Markeringsfarve4 6 4 3 2" xfId="9477"/>
    <cellStyle name="40 % - Markeringsfarve4 6 4 3 2 2" xfId="20284"/>
    <cellStyle name="40 % - Markeringsfarve4 6 4 3 2 3" xfId="31641"/>
    <cellStyle name="40 % - Markeringsfarve4 6 4 3 3" xfId="15299"/>
    <cellStyle name="40 % - Markeringsfarve4 6 4 3 4" xfId="26657"/>
    <cellStyle name="40 % - Markeringsfarve4 6 4 4" xfId="6154"/>
    <cellStyle name="40 % - Markeringsfarve4 6 4 4 2" xfId="16962"/>
    <cellStyle name="40 % - Markeringsfarve4 6 4 4 3" xfId="28319"/>
    <cellStyle name="40 % - Markeringsfarve4 6 4 5" xfId="11977"/>
    <cellStyle name="40 % - Markeringsfarve4 6 4 6" xfId="23335"/>
    <cellStyle name="40 % - Markeringsfarve4 6 5" xfId="1998"/>
    <cellStyle name="40 % - Markeringsfarve4 6 5 2" xfId="6986"/>
    <cellStyle name="40 % - Markeringsfarve4 6 5 2 2" xfId="17794"/>
    <cellStyle name="40 % - Markeringsfarve4 6 5 2 3" xfId="29151"/>
    <cellStyle name="40 % - Markeringsfarve4 6 5 3" xfId="12809"/>
    <cellStyle name="40 % - Markeringsfarve4 6 5 4" xfId="24167"/>
    <cellStyle name="40 % - Markeringsfarve4 6 6" xfId="3663"/>
    <cellStyle name="40 % - Markeringsfarve4 6 6 2" xfId="8648"/>
    <cellStyle name="40 % - Markeringsfarve4 6 6 2 2" xfId="19455"/>
    <cellStyle name="40 % - Markeringsfarve4 6 6 2 3" xfId="30812"/>
    <cellStyle name="40 % - Markeringsfarve4 6 6 3" xfId="14470"/>
    <cellStyle name="40 % - Markeringsfarve4 6 6 4" xfId="25828"/>
    <cellStyle name="40 % - Markeringsfarve4 6 7" xfId="5324"/>
    <cellStyle name="40 % - Markeringsfarve4 6 7 2" xfId="16133"/>
    <cellStyle name="40 % - Markeringsfarve4 6 7 3" xfId="27490"/>
    <cellStyle name="40 % - Markeringsfarve4 6 8" xfId="10309"/>
    <cellStyle name="40 % - Markeringsfarve4 6 8 2" xfId="21116"/>
    <cellStyle name="40 % - Markeringsfarve4 6 8 3" xfId="32473"/>
    <cellStyle name="40 % - Markeringsfarve4 6 9" xfId="11143"/>
    <cellStyle name="40 % - Markeringsfarve4 7" xfId="348"/>
    <cellStyle name="40 % - Markeringsfarve4 7 10" xfId="22005"/>
    <cellStyle name="40 % - Markeringsfarve4 7 11" xfId="22558"/>
    <cellStyle name="40 % - Markeringsfarve4 7 12" xfId="33361"/>
    <cellStyle name="40 % - Markeringsfarve4 7 13" xfId="33636"/>
    <cellStyle name="40 % - Markeringsfarve4 7 14" xfId="33907"/>
    <cellStyle name="40 % - Markeringsfarve4 7 2" xfId="665"/>
    <cellStyle name="40 % - Markeringsfarve4 7 2 2" xfId="1497"/>
    <cellStyle name="40 % - Markeringsfarve4 7 2 2 2" xfId="3162"/>
    <cellStyle name="40 % - Markeringsfarve4 7 2 2 2 2" xfId="8150"/>
    <cellStyle name="40 % - Markeringsfarve4 7 2 2 2 2 2" xfId="18957"/>
    <cellStyle name="40 % - Markeringsfarve4 7 2 2 2 2 3" xfId="30314"/>
    <cellStyle name="40 % - Markeringsfarve4 7 2 2 2 3" xfId="13972"/>
    <cellStyle name="40 % - Markeringsfarve4 7 2 2 2 4" xfId="25330"/>
    <cellStyle name="40 % - Markeringsfarve4 7 2 2 3" xfId="4826"/>
    <cellStyle name="40 % - Markeringsfarve4 7 2 2 3 2" xfId="9811"/>
    <cellStyle name="40 % - Markeringsfarve4 7 2 2 3 2 2" xfId="20618"/>
    <cellStyle name="40 % - Markeringsfarve4 7 2 2 3 2 3" xfId="31975"/>
    <cellStyle name="40 % - Markeringsfarve4 7 2 2 3 3" xfId="15633"/>
    <cellStyle name="40 % - Markeringsfarve4 7 2 2 3 4" xfId="26991"/>
    <cellStyle name="40 % - Markeringsfarve4 7 2 2 4" xfId="6488"/>
    <cellStyle name="40 % - Markeringsfarve4 7 2 2 4 2" xfId="17296"/>
    <cellStyle name="40 % - Markeringsfarve4 7 2 2 4 3" xfId="28653"/>
    <cellStyle name="40 % - Markeringsfarve4 7 2 2 5" xfId="12311"/>
    <cellStyle name="40 % - Markeringsfarve4 7 2 2 6" xfId="23669"/>
    <cellStyle name="40 % - Markeringsfarve4 7 2 3" xfId="2331"/>
    <cellStyle name="40 % - Markeringsfarve4 7 2 3 2" xfId="7319"/>
    <cellStyle name="40 % - Markeringsfarve4 7 2 3 2 2" xfId="18126"/>
    <cellStyle name="40 % - Markeringsfarve4 7 2 3 2 3" xfId="29483"/>
    <cellStyle name="40 % - Markeringsfarve4 7 2 3 3" xfId="13141"/>
    <cellStyle name="40 % - Markeringsfarve4 7 2 3 4" xfId="24499"/>
    <cellStyle name="40 % - Markeringsfarve4 7 2 4" xfId="3995"/>
    <cellStyle name="40 % - Markeringsfarve4 7 2 4 2" xfId="8980"/>
    <cellStyle name="40 % - Markeringsfarve4 7 2 4 2 2" xfId="19787"/>
    <cellStyle name="40 % - Markeringsfarve4 7 2 4 2 3" xfId="31144"/>
    <cellStyle name="40 % - Markeringsfarve4 7 2 4 3" xfId="14802"/>
    <cellStyle name="40 % - Markeringsfarve4 7 2 4 4" xfId="26160"/>
    <cellStyle name="40 % - Markeringsfarve4 7 2 5" xfId="5657"/>
    <cellStyle name="40 % - Markeringsfarve4 7 2 5 2" xfId="16465"/>
    <cellStyle name="40 % - Markeringsfarve4 7 2 5 3" xfId="27822"/>
    <cellStyle name="40 % - Markeringsfarve4 7 2 6" xfId="10644"/>
    <cellStyle name="40 % - Markeringsfarve4 7 2 6 2" xfId="21451"/>
    <cellStyle name="40 % - Markeringsfarve4 7 2 6 3" xfId="32808"/>
    <cellStyle name="40 % - Markeringsfarve4 7 2 7" xfId="11478"/>
    <cellStyle name="40 % - Markeringsfarve4 7 2 8" xfId="22284"/>
    <cellStyle name="40 % - Markeringsfarve4 7 2 9" xfId="22838"/>
    <cellStyle name="40 % - Markeringsfarve4 7 3" xfId="939"/>
    <cellStyle name="40 % - Markeringsfarve4 7 3 2" xfId="1771"/>
    <cellStyle name="40 % - Markeringsfarve4 7 3 2 2" xfId="3436"/>
    <cellStyle name="40 % - Markeringsfarve4 7 3 2 2 2" xfId="8424"/>
    <cellStyle name="40 % - Markeringsfarve4 7 3 2 2 2 2" xfId="19231"/>
    <cellStyle name="40 % - Markeringsfarve4 7 3 2 2 2 3" xfId="30588"/>
    <cellStyle name="40 % - Markeringsfarve4 7 3 2 2 3" xfId="14246"/>
    <cellStyle name="40 % - Markeringsfarve4 7 3 2 2 4" xfId="25604"/>
    <cellStyle name="40 % - Markeringsfarve4 7 3 2 3" xfId="5100"/>
    <cellStyle name="40 % - Markeringsfarve4 7 3 2 3 2" xfId="10085"/>
    <cellStyle name="40 % - Markeringsfarve4 7 3 2 3 2 2" xfId="20892"/>
    <cellStyle name="40 % - Markeringsfarve4 7 3 2 3 2 3" xfId="32249"/>
    <cellStyle name="40 % - Markeringsfarve4 7 3 2 3 3" xfId="15907"/>
    <cellStyle name="40 % - Markeringsfarve4 7 3 2 3 4" xfId="27265"/>
    <cellStyle name="40 % - Markeringsfarve4 7 3 2 4" xfId="6762"/>
    <cellStyle name="40 % - Markeringsfarve4 7 3 2 4 2" xfId="17570"/>
    <cellStyle name="40 % - Markeringsfarve4 7 3 2 4 3" xfId="28927"/>
    <cellStyle name="40 % - Markeringsfarve4 7 3 2 5" xfId="12585"/>
    <cellStyle name="40 % - Markeringsfarve4 7 3 2 6" xfId="23943"/>
    <cellStyle name="40 % - Markeringsfarve4 7 3 3" xfId="2605"/>
    <cellStyle name="40 % - Markeringsfarve4 7 3 3 2" xfId="7593"/>
    <cellStyle name="40 % - Markeringsfarve4 7 3 3 2 2" xfId="18400"/>
    <cellStyle name="40 % - Markeringsfarve4 7 3 3 2 3" xfId="29757"/>
    <cellStyle name="40 % - Markeringsfarve4 7 3 3 3" xfId="13415"/>
    <cellStyle name="40 % - Markeringsfarve4 7 3 3 4" xfId="24773"/>
    <cellStyle name="40 % - Markeringsfarve4 7 3 4" xfId="4269"/>
    <cellStyle name="40 % - Markeringsfarve4 7 3 4 2" xfId="9254"/>
    <cellStyle name="40 % - Markeringsfarve4 7 3 4 2 2" xfId="20061"/>
    <cellStyle name="40 % - Markeringsfarve4 7 3 4 2 3" xfId="31418"/>
    <cellStyle name="40 % - Markeringsfarve4 7 3 4 3" xfId="15076"/>
    <cellStyle name="40 % - Markeringsfarve4 7 3 4 4" xfId="26434"/>
    <cellStyle name="40 % - Markeringsfarve4 7 3 5" xfId="5931"/>
    <cellStyle name="40 % - Markeringsfarve4 7 3 5 2" xfId="16739"/>
    <cellStyle name="40 % - Markeringsfarve4 7 3 5 3" xfId="28096"/>
    <cellStyle name="40 % - Markeringsfarve4 7 3 6" xfId="10918"/>
    <cellStyle name="40 % - Markeringsfarve4 7 3 6 2" xfId="21725"/>
    <cellStyle name="40 % - Markeringsfarve4 7 3 6 3" xfId="33082"/>
    <cellStyle name="40 % - Markeringsfarve4 7 3 7" xfId="11753"/>
    <cellStyle name="40 % - Markeringsfarve4 7 3 8" xfId="23112"/>
    <cellStyle name="40 % - Markeringsfarve4 7 4" xfId="1218"/>
    <cellStyle name="40 % - Markeringsfarve4 7 4 2" xfId="2883"/>
    <cellStyle name="40 % - Markeringsfarve4 7 4 2 2" xfId="7871"/>
    <cellStyle name="40 % - Markeringsfarve4 7 4 2 2 2" xfId="18678"/>
    <cellStyle name="40 % - Markeringsfarve4 7 4 2 2 3" xfId="30035"/>
    <cellStyle name="40 % - Markeringsfarve4 7 4 2 3" xfId="13693"/>
    <cellStyle name="40 % - Markeringsfarve4 7 4 2 4" xfId="25051"/>
    <cellStyle name="40 % - Markeringsfarve4 7 4 3" xfId="4547"/>
    <cellStyle name="40 % - Markeringsfarve4 7 4 3 2" xfId="9532"/>
    <cellStyle name="40 % - Markeringsfarve4 7 4 3 2 2" xfId="20339"/>
    <cellStyle name="40 % - Markeringsfarve4 7 4 3 2 3" xfId="31696"/>
    <cellStyle name="40 % - Markeringsfarve4 7 4 3 3" xfId="15354"/>
    <cellStyle name="40 % - Markeringsfarve4 7 4 3 4" xfId="26712"/>
    <cellStyle name="40 % - Markeringsfarve4 7 4 4" xfId="6209"/>
    <cellStyle name="40 % - Markeringsfarve4 7 4 4 2" xfId="17017"/>
    <cellStyle name="40 % - Markeringsfarve4 7 4 4 3" xfId="28374"/>
    <cellStyle name="40 % - Markeringsfarve4 7 4 5" xfId="12032"/>
    <cellStyle name="40 % - Markeringsfarve4 7 4 6" xfId="23390"/>
    <cellStyle name="40 % - Markeringsfarve4 7 5" xfId="2053"/>
    <cellStyle name="40 % - Markeringsfarve4 7 5 2" xfId="7041"/>
    <cellStyle name="40 % - Markeringsfarve4 7 5 2 2" xfId="17849"/>
    <cellStyle name="40 % - Markeringsfarve4 7 5 2 3" xfId="29206"/>
    <cellStyle name="40 % - Markeringsfarve4 7 5 3" xfId="12864"/>
    <cellStyle name="40 % - Markeringsfarve4 7 5 4" xfId="24222"/>
    <cellStyle name="40 % - Markeringsfarve4 7 6" xfId="3718"/>
    <cellStyle name="40 % - Markeringsfarve4 7 6 2" xfId="8703"/>
    <cellStyle name="40 % - Markeringsfarve4 7 6 2 2" xfId="19510"/>
    <cellStyle name="40 % - Markeringsfarve4 7 6 2 3" xfId="30867"/>
    <cellStyle name="40 % - Markeringsfarve4 7 6 3" xfId="14525"/>
    <cellStyle name="40 % - Markeringsfarve4 7 6 4" xfId="25883"/>
    <cellStyle name="40 % - Markeringsfarve4 7 7" xfId="5379"/>
    <cellStyle name="40 % - Markeringsfarve4 7 7 2" xfId="16188"/>
    <cellStyle name="40 % - Markeringsfarve4 7 7 3" xfId="27545"/>
    <cellStyle name="40 % - Markeringsfarve4 7 8" xfId="10364"/>
    <cellStyle name="40 % - Markeringsfarve4 7 8 2" xfId="21171"/>
    <cellStyle name="40 % - Markeringsfarve4 7 8 3" xfId="32528"/>
    <cellStyle name="40 % - Markeringsfarve4 7 9" xfId="11198"/>
    <cellStyle name="40 % - Markeringsfarve4 8" xfId="449"/>
    <cellStyle name="40 % - Markeringsfarve4 8 2" xfId="1279"/>
    <cellStyle name="40 % - Markeringsfarve4 8 2 2" xfId="2944"/>
    <cellStyle name="40 % - Markeringsfarve4 8 2 2 2" xfId="7932"/>
    <cellStyle name="40 % - Markeringsfarve4 8 2 2 2 2" xfId="18739"/>
    <cellStyle name="40 % - Markeringsfarve4 8 2 2 2 3" xfId="30096"/>
    <cellStyle name="40 % - Markeringsfarve4 8 2 2 3" xfId="13754"/>
    <cellStyle name="40 % - Markeringsfarve4 8 2 2 4" xfId="25112"/>
    <cellStyle name="40 % - Markeringsfarve4 8 2 3" xfId="4608"/>
    <cellStyle name="40 % - Markeringsfarve4 8 2 3 2" xfId="9593"/>
    <cellStyle name="40 % - Markeringsfarve4 8 2 3 2 2" xfId="20400"/>
    <cellStyle name="40 % - Markeringsfarve4 8 2 3 2 3" xfId="31757"/>
    <cellStyle name="40 % - Markeringsfarve4 8 2 3 3" xfId="15415"/>
    <cellStyle name="40 % - Markeringsfarve4 8 2 3 4" xfId="26773"/>
    <cellStyle name="40 % - Markeringsfarve4 8 2 4" xfId="6270"/>
    <cellStyle name="40 % - Markeringsfarve4 8 2 4 2" xfId="17078"/>
    <cellStyle name="40 % - Markeringsfarve4 8 2 4 3" xfId="28435"/>
    <cellStyle name="40 % - Markeringsfarve4 8 2 5" xfId="12093"/>
    <cellStyle name="40 % - Markeringsfarve4 8 2 6" xfId="23451"/>
    <cellStyle name="40 % - Markeringsfarve4 8 3" xfId="2115"/>
    <cellStyle name="40 % - Markeringsfarve4 8 3 2" xfId="7103"/>
    <cellStyle name="40 % - Markeringsfarve4 8 3 2 2" xfId="17910"/>
    <cellStyle name="40 % - Markeringsfarve4 8 3 2 3" xfId="29267"/>
    <cellStyle name="40 % - Markeringsfarve4 8 3 3" xfId="12925"/>
    <cellStyle name="40 % - Markeringsfarve4 8 3 4" xfId="24283"/>
    <cellStyle name="40 % - Markeringsfarve4 8 4" xfId="3779"/>
    <cellStyle name="40 % - Markeringsfarve4 8 4 2" xfId="8764"/>
    <cellStyle name="40 % - Markeringsfarve4 8 4 2 2" xfId="19571"/>
    <cellStyle name="40 % - Markeringsfarve4 8 4 2 3" xfId="30928"/>
    <cellStyle name="40 % - Markeringsfarve4 8 4 3" xfId="14586"/>
    <cellStyle name="40 % - Markeringsfarve4 8 4 4" xfId="25944"/>
    <cellStyle name="40 % - Markeringsfarve4 8 5" xfId="5441"/>
    <cellStyle name="40 % - Markeringsfarve4 8 5 2" xfId="16249"/>
    <cellStyle name="40 % - Markeringsfarve4 8 5 3" xfId="27606"/>
    <cellStyle name="40 % - Markeringsfarve4 8 6" xfId="10424"/>
    <cellStyle name="40 % - Markeringsfarve4 8 6 2" xfId="21231"/>
    <cellStyle name="40 % - Markeringsfarve4 8 6 3" xfId="32588"/>
    <cellStyle name="40 % - Markeringsfarve4 8 7" xfId="11260"/>
    <cellStyle name="40 % - Markeringsfarve4 8 8" xfId="22066"/>
    <cellStyle name="40 % - Markeringsfarve4 8 9" xfId="22620"/>
    <cellStyle name="40 % - Markeringsfarve4 9" xfId="721"/>
    <cellStyle name="40 % - Markeringsfarve4 9 2" xfId="1553"/>
    <cellStyle name="40 % - Markeringsfarve4 9 2 2" xfId="3218"/>
    <cellStyle name="40 % - Markeringsfarve4 9 2 2 2" xfId="8206"/>
    <cellStyle name="40 % - Markeringsfarve4 9 2 2 2 2" xfId="19013"/>
    <cellStyle name="40 % - Markeringsfarve4 9 2 2 2 3" xfId="30370"/>
    <cellStyle name="40 % - Markeringsfarve4 9 2 2 3" xfId="14028"/>
    <cellStyle name="40 % - Markeringsfarve4 9 2 2 4" xfId="25386"/>
    <cellStyle name="40 % - Markeringsfarve4 9 2 3" xfId="4882"/>
    <cellStyle name="40 % - Markeringsfarve4 9 2 3 2" xfId="9867"/>
    <cellStyle name="40 % - Markeringsfarve4 9 2 3 2 2" xfId="20674"/>
    <cellStyle name="40 % - Markeringsfarve4 9 2 3 2 3" xfId="32031"/>
    <cellStyle name="40 % - Markeringsfarve4 9 2 3 3" xfId="15689"/>
    <cellStyle name="40 % - Markeringsfarve4 9 2 3 4" xfId="27047"/>
    <cellStyle name="40 % - Markeringsfarve4 9 2 4" xfId="6544"/>
    <cellStyle name="40 % - Markeringsfarve4 9 2 4 2" xfId="17352"/>
    <cellStyle name="40 % - Markeringsfarve4 9 2 4 3" xfId="28709"/>
    <cellStyle name="40 % - Markeringsfarve4 9 2 5" xfId="12367"/>
    <cellStyle name="40 % - Markeringsfarve4 9 2 6" xfId="23725"/>
    <cellStyle name="40 % - Markeringsfarve4 9 3" xfId="2387"/>
    <cellStyle name="40 % - Markeringsfarve4 9 3 2" xfId="7375"/>
    <cellStyle name="40 % - Markeringsfarve4 9 3 2 2" xfId="18182"/>
    <cellStyle name="40 % - Markeringsfarve4 9 3 2 3" xfId="29539"/>
    <cellStyle name="40 % - Markeringsfarve4 9 3 3" xfId="13197"/>
    <cellStyle name="40 % - Markeringsfarve4 9 3 4" xfId="24555"/>
    <cellStyle name="40 % - Markeringsfarve4 9 4" xfId="4051"/>
    <cellStyle name="40 % - Markeringsfarve4 9 4 2" xfId="9036"/>
    <cellStyle name="40 % - Markeringsfarve4 9 4 2 2" xfId="19843"/>
    <cellStyle name="40 % - Markeringsfarve4 9 4 2 3" xfId="31200"/>
    <cellStyle name="40 % - Markeringsfarve4 9 4 3" xfId="14858"/>
    <cellStyle name="40 % - Markeringsfarve4 9 4 4" xfId="26216"/>
    <cellStyle name="40 % - Markeringsfarve4 9 5" xfId="5713"/>
    <cellStyle name="40 % - Markeringsfarve4 9 5 2" xfId="16521"/>
    <cellStyle name="40 % - Markeringsfarve4 9 5 3" xfId="27878"/>
    <cellStyle name="40 % - Markeringsfarve4 9 6" xfId="10700"/>
    <cellStyle name="40 % - Markeringsfarve4 9 6 2" xfId="21507"/>
    <cellStyle name="40 % - Markeringsfarve4 9 6 3" xfId="32864"/>
    <cellStyle name="40 % - Markeringsfarve4 9 7" xfId="11535"/>
    <cellStyle name="40 % - Markeringsfarve4 9 8" xfId="22894"/>
    <cellStyle name="40 % - Markeringsfarve5" xfId="38" builtinId="47" customBuiltin="1"/>
    <cellStyle name="40 % - Markeringsfarve5 10" xfId="1002"/>
    <cellStyle name="40 % - Markeringsfarve5 10 2" xfId="2667"/>
    <cellStyle name="40 % - Markeringsfarve5 10 2 2" xfId="7655"/>
    <cellStyle name="40 % - Markeringsfarve5 10 2 2 2" xfId="18462"/>
    <cellStyle name="40 % - Markeringsfarve5 10 2 2 3" xfId="29819"/>
    <cellStyle name="40 % - Markeringsfarve5 10 2 3" xfId="13477"/>
    <cellStyle name="40 % - Markeringsfarve5 10 2 4" xfId="24835"/>
    <cellStyle name="40 % - Markeringsfarve5 10 3" xfId="4331"/>
    <cellStyle name="40 % - Markeringsfarve5 10 3 2" xfId="9316"/>
    <cellStyle name="40 % - Markeringsfarve5 10 3 2 2" xfId="20123"/>
    <cellStyle name="40 % - Markeringsfarve5 10 3 2 3" xfId="31480"/>
    <cellStyle name="40 % - Markeringsfarve5 10 3 3" xfId="15138"/>
    <cellStyle name="40 % - Markeringsfarve5 10 3 4" xfId="26496"/>
    <cellStyle name="40 % - Markeringsfarve5 10 4" xfId="5993"/>
    <cellStyle name="40 % - Markeringsfarve5 10 4 2" xfId="16801"/>
    <cellStyle name="40 % - Markeringsfarve5 10 4 3" xfId="28158"/>
    <cellStyle name="40 % - Markeringsfarve5 10 5" xfId="11816"/>
    <cellStyle name="40 % - Markeringsfarve5 10 6" xfId="23174"/>
    <cellStyle name="40 % - Markeringsfarve5 11" xfId="1837"/>
    <cellStyle name="40 % - Markeringsfarve5 11 2" xfId="6825"/>
    <cellStyle name="40 % - Markeringsfarve5 11 2 2" xfId="17633"/>
    <cellStyle name="40 % - Markeringsfarve5 11 2 3" xfId="28990"/>
    <cellStyle name="40 % - Markeringsfarve5 11 3" xfId="12648"/>
    <cellStyle name="40 % - Markeringsfarve5 11 4" xfId="24006"/>
    <cellStyle name="40 % - Markeringsfarve5 12" xfId="3502"/>
    <cellStyle name="40 % - Markeringsfarve5 12 2" xfId="8487"/>
    <cellStyle name="40 % - Markeringsfarve5 12 2 2" xfId="19294"/>
    <cellStyle name="40 % - Markeringsfarve5 12 2 3" xfId="30651"/>
    <cellStyle name="40 % - Markeringsfarve5 12 3" xfId="14309"/>
    <cellStyle name="40 % - Markeringsfarve5 12 4" xfId="25667"/>
    <cellStyle name="40 % - Markeringsfarve5 13" xfId="5163"/>
    <cellStyle name="40 % - Markeringsfarve5 13 2" xfId="15972"/>
    <cellStyle name="40 % - Markeringsfarve5 13 3" xfId="27329"/>
    <cellStyle name="40 % - Markeringsfarve5 14" xfId="10148"/>
    <cellStyle name="40 % - Markeringsfarve5 14 2" xfId="20955"/>
    <cellStyle name="40 % - Markeringsfarve5 14 3" xfId="32312"/>
    <cellStyle name="40 % - Markeringsfarve5 15" xfId="10982"/>
    <cellStyle name="40 % - Markeringsfarve5 16" xfId="21789"/>
    <cellStyle name="40 % - Markeringsfarve5 17" xfId="22342"/>
    <cellStyle name="40 % - Markeringsfarve5 18" xfId="33145"/>
    <cellStyle name="40 % - Markeringsfarve5 19" xfId="33420"/>
    <cellStyle name="40 % - Markeringsfarve5 2" xfId="75"/>
    <cellStyle name="40 % - Markeringsfarve5 2 10" xfId="3522"/>
    <cellStyle name="40 % - Markeringsfarve5 2 10 2" xfId="8507"/>
    <cellStyle name="40 % - Markeringsfarve5 2 10 2 2" xfId="19314"/>
    <cellStyle name="40 % - Markeringsfarve5 2 10 2 3" xfId="30671"/>
    <cellStyle name="40 % - Markeringsfarve5 2 10 3" xfId="14329"/>
    <cellStyle name="40 % - Markeringsfarve5 2 10 4" xfId="25687"/>
    <cellStyle name="40 % - Markeringsfarve5 2 11" xfId="5183"/>
    <cellStyle name="40 % - Markeringsfarve5 2 11 2" xfId="15992"/>
    <cellStyle name="40 % - Markeringsfarve5 2 11 3" xfId="27349"/>
    <cellStyle name="40 % - Markeringsfarve5 2 12" xfId="10167"/>
    <cellStyle name="40 % - Markeringsfarve5 2 12 2" xfId="20974"/>
    <cellStyle name="40 % - Markeringsfarve5 2 12 3" xfId="32331"/>
    <cellStyle name="40 % - Markeringsfarve5 2 13" xfId="11001"/>
    <cellStyle name="40 % - Markeringsfarve5 2 14" xfId="21808"/>
    <cellStyle name="40 % - Markeringsfarve5 2 15" xfId="22361"/>
    <cellStyle name="40 % - Markeringsfarve5 2 16" xfId="33164"/>
    <cellStyle name="40 % - Markeringsfarve5 2 17" xfId="33433"/>
    <cellStyle name="40 % - Markeringsfarve5 2 18" xfId="33704"/>
    <cellStyle name="40 % - Markeringsfarve5 2 2" xfId="204"/>
    <cellStyle name="40 % - Markeringsfarve5 2 2 10" xfId="21862"/>
    <cellStyle name="40 % - Markeringsfarve5 2 2 11" xfId="22415"/>
    <cellStyle name="40 % - Markeringsfarve5 2 2 12" xfId="33218"/>
    <cellStyle name="40 % - Markeringsfarve5 2 2 13" xfId="33493"/>
    <cellStyle name="40 % - Markeringsfarve5 2 2 14" xfId="33764"/>
    <cellStyle name="40 % - Markeringsfarve5 2 2 2" xfId="522"/>
    <cellStyle name="40 % - Markeringsfarve5 2 2 2 2" xfId="1354"/>
    <cellStyle name="40 % - Markeringsfarve5 2 2 2 2 2" xfId="3019"/>
    <cellStyle name="40 % - Markeringsfarve5 2 2 2 2 2 2" xfId="8007"/>
    <cellStyle name="40 % - Markeringsfarve5 2 2 2 2 2 2 2" xfId="18814"/>
    <cellStyle name="40 % - Markeringsfarve5 2 2 2 2 2 2 3" xfId="30171"/>
    <cellStyle name="40 % - Markeringsfarve5 2 2 2 2 2 3" xfId="13829"/>
    <cellStyle name="40 % - Markeringsfarve5 2 2 2 2 2 4" xfId="25187"/>
    <cellStyle name="40 % - Markeringsfarve5 2 2 2 2 3" xfId="4683"/>
    <cellStyle name="40 % - Markeringsfarve5 2 2 2 2 3 2" xfId="9668"/>
    <cellStyle name="40 % - Markeringsfarve5 2 2 2 2 3 2 2" xfId="20475"/>
    <cellStyle name="40 % - Markeringsfarve5 2 2 2 2 3 2 3" xfId="31832"/>
    <cellStyle name="40 % - Markeringsfarve5 2 2 2 2 3 3" xfId="15490"/>
    <cellStyle name="40 % - Markeringsfarve5 2 2 2 2 3 4" xfId="26848"/>
    <cellStyle name="40 % - Markeringsfarve5 2 2 2 2 4" xfId="6345"/>
    <cellStyle name="40 % - Markeringsfarve5 2 2 2 2 4 2" xfId="17153"/>
    <cellStyle name="40 % - Markeringsfarve5 2 2 2 2 4 3" xfId="28510"/>
    <cellStyle name="40 % - Markeringsfarve5 2 2 2 2 5" xfId="12168"/>
    <cellStyle name="40 % - Markeringsfarve5 2 2 2 2 6" xfId="23526"/>
    <cellStyle name="40 % - Markeringsfarve5 2 2 2 3" xfId="2188"/>
    <cellStyle name="40 % - Markeringsfarve5 2 2 2 3 2" xfId="7176"/>
    <cellStyle name="40 % - Markeringsfarve5 2 2 2 3 2 2" xfId="17983"/>
    <cellStyle name="40 % - Markeringsfarve5 2 2 2 3 2 3" xfId="29340"/>
    <cellStyle name="40 % - Markeringsfarve5 2 2 2 3 3" xfId="12998"/>
    <cellStyle name="40 % - Markeringsfarve5 2 2 2 3 4" xfId="24356"/>
    <cellStyle name="40 % - Markeringsfarve5 2 2 2 4" xfId="3852"/>
    <cellStyle name="40 % - Markeringsfarve5 2 2 2 4 2" xfId="8837"/>
    <cellStyle name="40 % - Markeringsfarve5 2 2 2 4 2 2" xfId="19644"/>
    <cellStyle name="40 % - Markeringsfarve5 2 2 2 4 2 3" xfId="31001"/>
    <cellStyle name="40 % - Markeringsfarve5 2 2 2 4 3" xfId="14659"/>
    <cellStyle name="40 % - Markeringsfarve5 2 2 2 4 4" xfId="26017"/>
    <cellStyle name="40 % - Markeringsfarve5 2 2 2 5" xfId="5514"/>
    <cellStyle name="40 % - Markeringsfarve5 2 2 2 5 2" xfId="16322"/>
    <cellStyle name="40 % - Markeringsfarve5 2 2 2 5 3" xfId="27679"/>
    <cellStyle name="40 % - Markeringsfarve5 2 2 2 6" xfId="10501"/>
    <cellStyle name="40 % - Markeringsfarve5 2 2 2 6 2" xfId="21308"/>
    <cellStyle name="40 % - Markeringsfarve5 2 2 2 6 3" xfId="32665"/>
    <cellStyle name="40 % - Markeringsfarve5 2 2 2 7" xfId="11335"/>
    <cellStyle name="40 % - Markeringsfarve5 2 2 2 8" xfId="22141"/>
    <cellStyle name="40 % - Markeringsfarve5 2 2 2 9" xfId="22695"/>
    <cellStyle name="40 % - Markeringsfarve5 2 2 3" xfId="796"/>
    <cellStyle name="40 % - Markeringsfarve5 2 2 3 2" xfId="1628"/>
    <cellStyle name="40 % - Markeringsfarve5 2 2 3 2 2" xfId="3293"/>
    <cellStyle name="40 % - Markeringsfarve5 2 2 3 2 2 2" xfId="8281"/>
    <cellStyle name="40 % - Markeringsfarve5 2 2 3 2 2 2 2" xfId="19088"/>
    <cellStyle name="40 % - Markeringsfarve5 2 2 3 2 2 2 3" xfId="30445"/>
    <cellStyle name="40 % - Markeringsfarve5 2 2 3 2 2 3" xfId="14103"/>
    <cellStyle name="40 % - Markeringsfarve5 2 2 3 2 2 4" xfId="25461"/>
    <cellStyle name="40 % - Markeringsfarve5 2 2 3 2 3" xfId="4957"/>
    <cellStyle name="40 % - Markeringsfarve5 2 2 3 2 3 2" xfId="9942"/>
    <cellStyle name="40 % - Markeringsfarve5 2 2 3 2 3 2 2" xfId="20749"/>
    <cellStyle name="40 % - Markeringsfarve5 2 2 3 2 3 2 3" xfId="32106"/>
    <cellStyle name="40 % - Markeringsfarve5 2 2 3 2 3 3" xfId="15764"/>
    <cellStyle name="40 % - Markeringsfarve5 2 2 3 2 3 4" xfId="27122"/>
    <cellStyle name="40 % - Markeringsfarve5 2 2 3 2 4" xfId="6619"/>
    <cellStyle name="40 % - Markeringsfarve5 2 2 3 2 4 2" xfId="17427"/>
    <cellStyle name="40 % - Markeringsfarve5 2 2 3 2 4 3" xfId="28784"/>
    <cellStyle name="40 % - Markeringsfarve5 2 2 3 2 5" xfId="12442"/>
    <cellStyle name="40 % - Markeringsfarve5 2 2 3 2 6" xfId="23800"/>
    <cellStyle name="40 % - Markeringsfarve5 2 2 3 3" xfId="2462"/>
    <cellStyle name="40 % - Markeringsfarve5 2 2 3 3 2" xfId="7450"/>
    <cellStyle name="40 % - Markeringsfarve5 2 2 3 3 2 2" xfId="18257"/>
    <cellStyle name="40 % - Markeringsfarve5 2 2 3 3 2 3" xfId="29614"/>
    <cellStyle name="40 % - Markeringsfarve5 2 2 3 3 3" xfId="13272"/>
    <cellStyle name="40 % - Markeringsfarve5 2 2 3 3 4" xfId="24630"/>
    <cellStyle name="40 % - Markeringsfarve5 2 2 3 4" xfId="4126"/>
    <cellStyle name="40 % - Markeringsfarve5 2 2 3 4 2" xfId="9111"/>
    <cellStyle name="40 % - Markeringsfarve5 2 2 3 4 2 2" xfId="19918"/>
    <cellStyle name="40 % - Markeringsfarve5 2 2 3 4 2 3" xfId="31275"/>
    <cellStyle name="40 % - Markeringsfarve5 2 2 3 4 3" xfId="14933"/>
    <cellStyle name="40 % - Markeringsfarve5 2 2 3 4 4" xfId="26291"/>
    <cellStyle name="40 % - Markeringsfarve5 2 2 3 5" xfId="5788"/>
    <cellStyle name="40 % - Markeringsfarve5 2 2 3 5 2" xfId="16596"/>
    <cellStyle name="40 % - Markeringsfarve5 2 2 3 5 3" xfId="27953"/>
    <cellStyle name="40 % - Markeringsfarve5 2 2 3 6" xfId="10775"/>
    <cellStyle name="40 % - Markeringsfarve5 2 2 3 6 2" xfId="21582"/>
    <cellStyle name="40 % - Markeringsfarve5 2 2 3 6 3" xfId="32939"/>
    <cellStyle name="40 % - Markeringsfarve5 2 2 3 7" xfId="11610"/>
    <cellStyle name="40 % - Markeringsfarve5 2 2 3 8" xfId="22969"/>
    <cellStyle name="40 % - Markeringsfarve5 2 2 4" xfId="1075"/>
    <cellStyle name="40 % - Markeringsfarve5 2 2 4 2" xfId="2740"/>
    <cellStyle name="40 % - Markeringsfarve5 2 2 4 2 2" xfId="7728"/>
    <cellStyle name="40 % - Markeringsfarve5 2 2 4 2 2 2" xfId="18535"/>
    <cellStyle name="40 % - Markeringsfarve5 2 2 4 2 2 3" xfId="29892"/>
    <cellStyle name="40 % - Markeringsfarve5 2 2 4 2 3" xfId="13550"/>
    <cellStyle name="40 % - Markeringsfarve5 2 2 4 2 4" xfId="24908"/>
    <cellStyle name="40 % - Markeringsfarve5 2 2 4 3" xfId="4404"/>
    <cellStyle name="40 % - Markeringsfarve5 2 2 4 3 2" xfId="9389"/>
    <cellStyle name="40 % - Markeringsfarve5 2 2 4 3 2 2" xfId="20196"/>
    <cellStyle name="40 % - Markeringsfarve5 2 2 4 3 2 3" xfId="31553"/>
    <cellStyle name="40 % - Markeringsfarve5 2 2 4 3 3" xfId="15211"/>
    <cellStyle name="40 % - Markeringsfarve5 2 2 4 3 4" xfId="26569"/>
    <cellStyle name="40 % - Markeringsfarve5 2 2 4 4" xfId="6066"/>
    <cellStyle name="40 % - Markeringsfarve5 2 2 4 4 2" xfId="16874"/>
    <cellStyle name="40 % - Markeringsfarve5 2 2 4 4 3" xfId="28231"/>
    <cellStyle name="40 % - Markeringsfarve5 2 2 4 5" xfId="11889"/>
    <cellStyle name="40 % - Markeringsfarve5 2 2 4 6" xfId="23247"/>
    <cellStyle name="40 % - Markeringsfarve5 2 2 5" xfId="1910"/>
    <cellStyle name="40 % - Markeringsfarve5 2 2 5 2" xfId="6898"/>
    <cellStyle name="40 % - Markeringsfarve5 2 2 5 2 2" xfId="17706"/>
    <cellStyle name="40 % - Markeringsfarve5 2 2 5 2 3" xfId="29063"/>
    <cellStyle name="40 % - Markeringsfarve5 2 2 5 3" xfId="12721"/>
    <cellStyle name="40 % - Markeringsfarve5 2 2 5 4" xfId="24079"/>
    <cellStyle name="40 % - Markeringsfarve5 2 2 6" xfId="3575"/>
    <cellStyle name="40 % - Markeringsfarve5 2 2 6 2" xfId="8560"/>
    <cellStyle name="40 % - Markeringsfarve5 2 2 6 2 2" xfId="19367"/>
    <cellStyle name="40 % - Markeringsfarve5 2 2 6 2 3" xfId="30724"/>
    <cellStyle name="40 % - Markeringsfarve5 2 2 6 3" xfId="14382"/>
    <cellStyle name="40 % - Markeringsfarve5 2 2 6 4" xfId="25740"/>
    <cellStyle name="40 % - Markeringsfarve5 2 2 7" xfId="5236"/>
    <cellStyle name="40 % - Markeringsfarve5 2 2 7 2" xfId="16045"/>
    <cellStyle name="40 % - Markeringsfarve5 2 2 7 3" xfId="27402"/>
    <cellStyle name="40 % - Markeringsfarve5 2 2 8" xfId="10221"/>
    <cellStyle name="40 % - Markeringsfarve5 2 2 8 2" xfId="21028"/>
    <cellStyle name="40 % - Markeringsfarve5 2 2 8 3" xfId="32385"/>
    <cellStyle name="40 % - Markeringsfarve5 2 2 9" xfId="11055"/>
    <cellStyle name="40 % - Markeringsfarve5 2 3" xfId="259"/>
    <cellStyle name="40 % - Markeringsfarve5 2 3 10" xfId="21916"/>
    <cellStyle name="40 % - Markeringsfarve5 2 3 11" xfId="22469"/>
    <cellStyle name="40 % - Markeringsfarve5 2 3 12" xfId="33272"/>
    <cellStyle name="40 % - Markeringsfarve5 2 3 13" xfId="33547"/>
    <cellStyle name="40 % - Markeringsfarve5 2 3 14" xfId="33818"/>
    <cellStyle name="40 % - Markeringsfarve5 2 3 2" xfId="576"/>
    <cellStyle name="40 % - Markeringsfarve5 2 3 2 2" xfId="1408"/>
    <cellStyle name="40 % - Markeringsfarve5 2 3 2 2 2" xfId="3073"/>
    <cellStyle name="40 % - Markeringsfarve5 2 3 2 2 2 2" xfId="8061"/>
    <cellStyle name="40 % - Markeringsfarve5 2 3 2 2 2 2 2" xfId="18868"/>
    <cellStyle name="40 % - Markeringsfarve5 2 3 2 2 2 2 3" xfId="30225"/>
    <cellStyle name="40 % - Markeringsfarve5 2 3 2 2 2 3" xfId="13883"/>
    <cellStyle name="40 % - Markeringsfarve5 2 3 2 2 2 4" xfId="25241"/>
    <cellStyle name="40 % - Markeringsfarve5 2 3 2 2 3" xfId="4737"/>
    <cellStyle name="40 % - Markeringsfarve5 2 3 2 2 3 2" xfId="9722"/>
    <cellStyle name="40 % - Markeringsfarve5 2 3 2 2 3 2 2" xfId="20529"/>
    <cellStyle name="40 % - Markeringsfarve5 2 3 2 2 3 2 3" xfId="31886"/>
    <cellStyle name="40 % - Markeringsfarve5 2 3 2 2 3 3" xfId="15544"/>
    <cellStyle name="40 % - Markeringsfarve5 2 3 2 2 3 4" xfId="26902"/>
    <cellStyle name="40 % - Markeringsfarve5 2 3 2 2 4" xfId="6399"/>
    <cellStyle name="40 % - Markeringsfarve5 2 3 2 2 4 2" xfId="17207"/>
    <cellStyle name="40 % - Markeringsfarve5 2 3 2 2 4 3" xfId="28564"/>
    <cellStyle name="40 % - Markeringsfarve5 2 3 2 2 5" xfId="12222"/>
    <cellStyle name="40 % - Markeringsfarve5 2 3 2 2 6" xfId="23580"/>
    <cellStyle name="40 % - Markeringsfarve5 2 3 2 3" xfId="2242"/>
    <cellStyle name="40 % - Markeringsfarve5 2 3 2 3 2" xfId="7230"/>
    <cellStyle name="40 % - Markeringsfarve5 2 3 2 3 2 2" xfId="18037"/>
    <cellStyle name="40 % - Markeringsfarve5 2 3 2 3 2 3" xfId="29394"/>
    <cellStyle name="40 % - Markeringsfarve5 2 3 2 3 3" xfId="13052"/>
    <cellStyle name="40 % - Markeringsfarve5 2 3 2 3 4" xfId="24410"/>
    <cellStyle name="40 % - Markeringsfarve5 2 3 2 4" xfId="3906"/>
    <cellStyle name="40 % - Markeringsfarve5 2 3 2 4 2" xfId="8891"/>
    <cellStyle name="40 % - Markeringsfarve5 2 3 2 4 2 2" xfId="19698"/>
    <cellStyle name="40 % - Markeringsfarve5 2 3 2 4 2 3" xfId="31055"/>
    <cellStyle name="40 % - Markeringsfarve5 2 3 2 4 3" xfId="14713"/>
    <cellStyle name="40 % - Markeringsfarve5 2 3 2 4 4" xfId="26071"/>
    <cellStyle name="40 % - Markeringsfarve5 2 3 2 5" xfId="5568"/>
    <cellStyle name="40 % - Markeringsfarve5 2 3 2 5 2" xfId="16376"/>
    <cellStyle name="40 % - Markeringsfarve5 2 3 2 5 3" xfId="27733"/>
    <cellStyle name="40 % - Markeringsfarve5 2 3 2 6" xfId="10555"/>
    <cellStyle name="40 % - Markeringsfarve5 2 3 2 6 2" xfId="21362"/>
    <cellStyle name="40 % - Markeringsfarve5 2 3 2 6 3" xfId="32719"/>
    <cellStyle name="40 % - Markeringsfarve5 2 3 2 7" xfId="11389"/>
    <cellStyle name="40 % - Markeringsfarve5 2 3 2 8" xfId="22195"/>
    <cellStyle name="40 % - Markeringsfarve5 2 3 2 9" xfId="22749"/>
    <cellStyle name="40 % - Markeringsfarve5 2 3 3" xfId="850"/>
    <cellStyle name="40 % - Markeringsfarve5 2 3 3 2" xfId="1682"/>
    <cellStyle name="40 % - Markeringsfarve5 2 3 3 2 2" xfId="3347"/>
    <cellStyle name="40 % - Markeringsfarve5 2 3 3 2 2 2" xfId="8335"/>
    <cellStyle name="40 % - Markeringsfarve5 2 3 3 2 2 2 2" xfId="19142"/>
    <cellStyle name="40 % - Markeringsfarve5 2 3 3 2 2 2 3" xfId="30499"/>
    <cellStyle name="40 % - Markeringsfarve5 2 3 3 2 2 3" xfId="14157"/>
    <cellStyle name="40 % - Markeringsfarve5 2 3 3 2 2 4" xfId="25515"/>
    <cellStyle name="40 % - Markeringsfarve5 2 3 3 2 3" xfId="5011"/>
    <cellStyle name="40 % - Markeringsfarve5 2 3 3 2 3 2" xfId="9996"/>
    <cellStyle name="40 % - Markeringsfarve5 2 3 3 2 3 2 2" xfId="20803"/>
    <cellStyle name="40 % - Markeringsfarve5 2 3 3 2 3 2 3" xfId="32160"/>
    <cellStyle name="40 % - Markeringsfarve5 2 3 3 2 3 3" xfId="15818"/>
    <cellStyle name="40 % - Markeringsfarve5 2 3 3 2 3 4" xfId="27176"/>
    <cellStyle name="40 % - Markeringsfarve5 2 3 3 2 4" xfId="6673"/>
    <cellStyle name="40 % - Markeringsfarve5 2 3 3 2 4 2" xfId="17481"/>
    <cellStyle name="40 % - Markeringsfarve5 2 3 3 2 4 3" xfId="28838"/>
    <cellStyle name="40 % - Markeringsfarve5 2 3 3 2 5" xfId="12496"/>
    <cellStyle name="40 % - Markeringsfarve5 2 3 3 2 6" xfId="23854"/>
    <cellStyle name="40 % - Markeringsfarve5 2 3 3 3" xfId="2516"/>
    <cellStyle name="40 % - Markeringsfarve5 2 3 3 3 2" xfId="7504"/>
    <cellStyle name="40 % - Markeringsfarve5 2 3 3 3 2 2" xfId="18311"/>
    <cellStyle name="40 % - Markeringsfarve5 2 3 3 3 2 3" xfId="29668"/>
    <cellStyle name="40 % - Markeringsfarve5 2 3 3 3 3" xfId="13326"/>
    <cellStyle name="40 % - Markeringsfarve5 2 3 3 3 4" xfId="24684"/>
    <cellStyle name="40 % - Markeringsfarve5 2 3 3 4" xfId="4180"/>
    <cellStyle name="40 % - Markeringsfarve5 2 3 3 4 2" xfId="9165"/>
    <cellStyle name="40 % - Markeringsfarve5 2 3 3 4 2 2" xfId="19972"/>
    <cellStyle name="40 % - Markeringsfarve5 2 3 3 4 2 3" xfId="31329"/>
    <cellStyle name="40 % - Markeringsfarve5 2 3 3 4 3" xfId="14987"/>
    <cellStyle name="40 % - Markeringsfarve5 2 3 3 4 4" xfId="26345"/>
    <cellStyle name="40 % - Markeringsfarve5 2 3 3 5" xfId="5842"/>
    <cellStyle name="40 % - Markeringsfarve5 2 3 3 5 2" xfId="16650"/>
    <cellStyle name="40 % - Markeringsfarve5 2 3 3 5 3" xfId="28007"/>
    <cellStyle name="40 % - Markeringsfarve5 2 3 3 6" xfId="10829"/>
    <cellStyle name="40 % - Markeringsfarve5 2 3 3 6 2" xfId="21636"/>
    <cellStyle name="40 % - Markeringsfarve5 2 3 3 6 3" xfId="32993"/>
    <cellStyle name="40 % - Markeringsfarve5 2 3 3 7" xfId="11664"/>
    <cellStyle name="40 % - Markeringsfarve5 2 3 3 8" xfId="23023"/>
    <cellStyle name="40 % - Markeringsfarve5 2 3 4" xfId="1129"/>
    <cellStyle name="40 % - Markeringsfarve5 2 3 4 2" xfId="2794"/>
    <cellStyle name="40 % - Markeringsfarve5 2 3 4 2 2" xfId="7782"/>
    <cellStyle name="40 % - Markeringsfarve5 2 3 4 2 2 2" xfId="18589"/>
    <cellStyle name="40 % - Markeringsfarve5 2 3 4 2 2 3" xfId="29946"/>
    <cellStyle name="40 % - Markeringsfarve5 2 3 4 2 3" xfId="13604"/>
    <cellStyle name="40 % - Markeringsfarve5 2 3 4 2 4" xfId="24962"/>
    <cellStyle name="40 % - Markeringsfarve5 2 3 4 3" xfId="4458"/>
    <cellStyle name="40 % - Markeringsfarve5 2 3 4 3 2" xfId="9443"/>
    <cellStyle name="40 % - Markeringsfarve5 2 3 4 3 2 2" xfId="20250"/>
    <cellStyle name="40 % - Markeringsfarve5 2 3 4 3 2 3" xfId="31607"/>
    <cellStyle name="40 % - Markeringsfarve5 2 3 4 3 3" xfId="15265"/>
    <cellStyle name="40 % - Markeringsfarve5 2 3 4 3 4" xfId="26623"/>
    <cellStyle name="40 % - Markeringsfarve5 2 3 4 4" xfId="6120"/>
    <cellStyle name="40 % - Markeringsfarve5 2 3 4 4 2" xfId="16928"/>
    <cellStyle name="40 % - Markeringsfarve5 2 3 4 4 3" xfId="28285"/>
    <cellStyle name="40 % - Markeringsfarve5 2 3 4 5" xfId="11943"/>
    <cellStyle name="40 % - Markeringsfarve5 2 3 4 6" xfId="23301"/>
    <cellStyle name="40 % - Markeringsfarve5 2 3 5" xfId="1964"/>
    <cellStyle name="40 % - Markeringsfarve5 2 3 5 2" xfId="6952"/>
    <cellStyle name="40 % - Markeringsfarve5 2 3 5 2 2" xfId="17760"/>
    <cellStyle name="40 % - Markeringsfarve5 2 3 5 2 3" xfId="29117"/>
    <cellStyle name="40 % - Markeringsfarve5 2 3 5 3" xfId="12775"/>
    <cellStyle name="40 % - Markeringsfarve5 2 3 5 4" xfId="24133"/>
    <cellStyle name="40 % - Markeringsfarve5 2 3 6" xfId="3629"/>
    <cellStyle name="40 % - Markeringsfarve5 2 3 6 2" xfId="8614"/>
    <cellStyle name="40 % - Markeringsfarve5 2 3 6 2 2" xfId="19421"/>
    <cellStyle name="40 % - Markeringsfarve5 2 3 6 2 3" xfId="30778"/>
    <cellStyle name="40 % - Markeringsfarve5 2 3 6 3" xfId="14436"/>
    <cellStyle name="40 % - Markeringsfarve5 2 3 6 4" xfId="25794"/>
    <cellStyle name="40 % - Markeringsfarve5 2 3 7" xfId="5290"/>
    <cellStyle name="40 % - Markeringsfarve5 2 3 7 2" xfId="16099"/>
    <cellStyle name="40 % - Markeringsfarve5 2 3 7 3" xfId="27456"/>
    <cellStyle name="40 % - Markeringsfarve5 2 3 8" xfId="10275"/>
    <cellStyle name="40 % - Markeringsfarve5 2 3 8 2" xfId="21082"/>
    <cellStyle name="40 % - Markeringsfarve5 2 3 8 3" xfId="32439"/>
    <cellStyle name="40 % - Markeringsfarve5 2 3 9" xfId="11109"/>
    <cellStyle name="40 % - Markeringsfarve5 2 4" xfId="314"/>
    <cellStyle name="40 % - Markeringsfarve5 2 4 10" xfId="21971"/>
    <cellStyle name="40 % - Markeringsfarve5 2 4 11" xfId="22524"/>
    <cellStyle name="40 % - Markeringsfarve5 2 4 12" xfId="33327"/>
    <cellStyle name="40 % - Markeringsfarve5 2 4 13" xfId="33602"/>
    <cellStyle name="40 % - Markeringsfarve5 2 4 14" xfId="33873"/>
    <cellStyle name="40 % - Markeringsfarve5 2 4 2" xfId="631"/>
    <cellStyle name="40 % - Markeringsfarve5 2 4 2 2" xfId="1463"/>
    <cellStyle name="40 % - Markeringsfarve5 2 4 2 2 2" xfId="3128"/>
    <cellStyle name="40 % - Markeringsfarve5 2 4 2 2 2 2" xfId="8116"/>
    <cellStyle name="40 % - Markeringsfarve5 2 4 2 2 2 2 2" xfId="18923"/>
    <cellStyle name="40 % - Markeringsfarve5 2 4 2 2 2 2 3" xfId="30280"/>
    <cellStyle name="40 % - Markeringsfarve5 2 4 2 2 2 3" xfId="13938"/>
    <cellStyle name="40 % - Markeringsfarve5 2 4 2 2 2 4" xfId="25296"/>
    <cellStyle name="40 % - Markeringsfarve5 2 4 2 2 3" xfId="4792"/>
    <cellStyle name="40 % - Markeringsfarve5 2 4 2 2 3 2" xfId="9777"/>
    <cellStyle name="40 % - Markeringsfarve5 2 4 2 2 3 2 2" xfId="20584"/>
    <cellStyle name="40 % - Markeringsfarve5 2 4 2 2 3 2 3" xfId="31941"/>
    <cellStyle name="40 % - Markeringsfarve5 2 4 2 2 3 3" xfId="15599"/>
    <cellStyle name="40 % - Markeringsfarve5 2 4 2 2 3 4" xfId="26957"/>
    <cellStyle name="40 % - Markeringsfarve5 2 4 2 2 4" xfId="6454"/>
    <cellStyle name="40 % - Markeringsfarve5 2 4 2 2 4 2" xfId="17262"/>
    <cellStyle name="40 % - Markeringsfarve5 2 4 2 2 4 3" xfId="28619"/>
    <cellStyle name="40 % - Markeringsfarve5 2 4 2 2 5" xfId="12277"/>
    <cellStyle name="40 % - Markeringsfarve5 2 4 2 2 6" xfId="23635"/>
    <cellStyle name="40 % - Markeringsfarve5 2 4 2 3" xfId="2297"/>
    <cellStyle name="40 % - Markeringsfarve5 2 4 2 3 2" xfId="7285"/>
    <cellStyle name="40 % - Markeringsfarve5 2 4 2 3 2 2" xfId="18092"/>
    <cellStyle name="40 % - Markeringsfarve5 2 4 2 3 2 3" xfId="29449"/>
    <cellStyle name="40 % - Markeringsfarve5 2 4 2 3 3" xfId="13107"/>
    <cellStyle name="40 % - Markeringsfarve5 2 4 2 3 4" xfId="24465"/>
    <cellStyle name="40 % - Markeringsfarve5 2 4 2 4" xfId="3961"/>
    <cellStyle name="40 % - Markeringsfarve5 2 4 2 4 2" xfId="8946"/>
    <cellStyle name="40 % - Markeringsfarve5 2 4 2 4 2 2" xfId="19753"/>
    <cellStyle name="40 % - Markeringsfarve5 2 4 2 4 2 3" xfId="31110"/>
    <cellStyle name="40 % - Markeringsfarve5 2 4 2 4 3" xfId="14768"/>
    <cellStyle name="40 % - Markeringsfarve5 2 4 2 4 4" xfId="26126"/>
    <cellStyle name="40 % - Markeringsfarve5 2 4 2 5" xfId="5623"/>
    <cellStyle name="40 % - Markeringsfarve5 2 4 2 5 2" xfId="16431"/>
    <cellStyle name="40 % - Markeringsfarve5 2 4 2 5 3" xfId="27788"/>
    <cellStyle name="40 % - Markeringsfarve5 2 4 2 6" xfId="10610"/>
    <cellStyle name="40 % - Markeringsfarve5 2 4 2 6 2" xfId="21417"/>
    <cellStyle name="40 % - Markeringsfarve5 2 4 2 6 3" xfId="32774"/>
    <cellStyle name="40 % - Markeringsfarve5 2 4 2 7" xfId="11444"/>
    <cellStyle name="40 % - Markeringsfarve5 2 4 2 8" xfId="22250"/>
    <cellStyle name="40 % - Markeringsfarve5 2 4 2 9" xfId="22804"/>
    <cellStyle name="40 % - Markeringsfarve5 2 4 3" xfId="905"/>
    <cellStyle name="40 % - Markeringsfarve5 2 4 3 2" xfId="1737"/>
    <cellStyle name="40 % - Markeringsfarve5 2 4 3 2 2" xfId="3402"/>
    <cellStyle name="40 % - Markeringsfarve5 2 4 3 2 2 2" xfId="8390"/>
    <cellStyle name="40 % - Markeringsfarve5 2 4 3 2 2 2 2" xfId="19197"/>
    <cellStyle name="40 % - Markeringsfarve5 2 4 3 2 2 2 3" xfId="30554"/>
    <cellStyle name="40 % - Markeringsfarve5 2 4 3 2 2 3" xfId="14212"/>
    <cellStyle name="40 % - Markeringsfarve5 2 4 3 2 2 4" xfId="25570"/>
    <cellStyle name="40 % - Markeringsfarve5 2 4 3 2 3" xfId="5066"/>
    <cellStyle name="40 % - Markeringsfarve5 2 4 3 2 3 2" xfId="10051"/>
    <cellStyle name="40 % - Markeringsfarve5 2 4 3 2 3 2 2" xfId="20858"/>
    <cellStyle name="40 % - Markeringsfarve5 2 4 3 2 3 2 3" xfId="32215"/>
    <cellStyle name="40 % - Markeringsfarve5 2 4 3 2 3 3" xfId="15873"/>
    <cellStyle name="40 % - Markeringsfarve5 2 4 3 2 3 4" xfId="27231"/>
    <cellStyle name="40 % - Markeringsfarve5 2 4 3 2 4" xfId="6728"/>
    <cellStyle name="40 % - Markeringsfarve5 2 4 3 2 4 2" xfId="17536"/>
    <cellStyle name="40 % - Markeringsfarve5 2 4 3 2 4 3" xfId="28893"/>
    <cellStyle name="40 % - Markeringsfarve5 2 4 3 2 5" xfId="12551"/>
    <cellStyle name="40 % - Markeringsfarve5 2 4 3 2 6" xfId="23909"/>
    <cellStyle name="40 % - Markeringsfarve5 2 4 3 3" xfId="2571"/>
    <cellStyle name="40 % - Markeringsfarve5 2 4 3 3 2" xfId="7559"/>
    <cellStyle name="40 % - Markeringsfarve5 2 4 3 3 2 2" xfId="18366"/>
    <cellStyle name="40 % - Markeringsfarve5 2 4 3 3 2 3" xfId="29723"/>
    <cellStyle name="40 % - Markeringsfarve5 2 4 3 3 3" xfId="13381"/>
    <cellStyle name="40 % - Markeringsfarve5 2 4 3 3 4" xfId="24739"/>
    <cellStyle name="40 % - Markeringsfarve5 2 4 3 4" xfId="4235"/>
    <cellStyle name="40 % - Markeringsfarve5 2 4 3 4 2" xfId="9220"/>
    <cellStyle name="40 % - Markeringsfarve5 2 4 3 4 2 2" xfId="20027"/>
    <cellStyle name="40 % - Markeringsfarve5 2 4 3 4 2 3" xfId="31384"/>
    <cellStyle name="40 % - Markeringsfarve5 2 4 3 4 3" xfId="15042"/>
    <cellStyle name="40 % - Markeringsfarve5 2 4 3 4 4" xfId="26400"/>
    <cellStyle name="40 % - Markeringsfarve5 2 4 3 5" xfId="5897"/>
    <cellStyle name="40 % - Markeringsfarve5 2 4 3 5 2" xfId="16705"/>
    <cellStyle name="40 % - Markeringsfarve5 2 4 3 5 3" xfId="28062"/>
    <cellStyle name="40 % - Markeringsfarve5 2 4 3 6" xfId="10884"/>
    <cellStyle name="40 % - Markeringsfarve5 2 4 3 6 2" xfId="21691"/>
    <cellStyle name="40 % - Markeringsfarve5 2 4 3 6 3" xfId="33048"/>
    <cellStyle name="40 % - Markeringsfarve5 2 4 3 7" xfId="11719"/>
    <cellStyle name="40 % - Markeringsfarve5 2 4 3 8" xfId="23078"/>
    <cellStyle name="40 % - Markeringsfarve5 2 4 4" xfId="1184"/>
    <cellStyle name="40 % - Markeringsfarve5 2 4 4 2" xfId="2849"/>
    <cellStyle name="40 % - Markeringsfarve5 2 4 4 2 2" xfId="7837"/>
    <cellStyle name="40 % - Markeringsfarve5 2 4 4 2 2 2" xfId="18644"/>
    <cellStyle name="40 % - Markeringsfarve5 2 4 4 2 2 3" xfId="30001"/>
    <cellStyle name="40 % - Markeringsfarve5 2 4 4 2 3" xfId="13659"/>
    <cellStyle name="40 % - Markeringsfarve5 2 4 4 2 4" xfId="25017"/>
    <cellStyle name="40 % - Markeringsfarve5 2 4 4 3" xfId="4513"/>
    <cellStyle name="40 % - Markeringsfarve5 2 4 4 3 2" xfId="9498"/>
    <cellStyle name="40 % - Markeringsfarve5 2 4 4 3 2 2" xfId="20305"/>
    <cellStyle name="40 % - Markeringsfarve5 2 4 4 3 2 3" xfId="31662"/>
    <cellStyle name="40 % - Markeringsfarve5 2 4 4 3 3" xfId="15320"/>
    <cellStyle name="40 % - Markeringsfarve5 2 4 4 3 4" xfId="26678"/>
    <cellStyle name="40 % - Markeringsfarve5 2 4 4 4" xfId="6175"/>
    <cellStyle name="40 % - Markeringsfarve5 2 4 4 4 2" xfId="16983"/>
    <cellStyle name="40 % - Markeringsfarve5 2 4 4 4 3" xfId="28340"/>
    <cellStyle name="40 % - Markeringsfarve5 2 4 4 5" xfId="11998"/>
    <cellStyle name="40 % - Markeringsfarve5 2 4 4 6" xfId="23356"/>
    <cellStyle name="40 % - Markeringsfarve5 2 4 5" xfId="2019"/>
    <cellStyle name="40 % - Markeringsfarve5 2 4 5 2" xfId="7007"/>
    <cellStyle name="40 % - Markeringsfarve5 2 4 5 2 2" xfId="17815"/>
    <cellStyle name="40 % - Markeringsfarve5 2 4 5 2 3" xfId="29172"/>
    <cellStyle name="40 % - Markeringsfarve5 2 4 5 3" xfId="12830"/>
    <cellStyle name="40 % - Markeringsfarve5 2 4 5 4" xfId="24188"/>
    <cellStyle name="40 % - Markeringsfarve5 2 4 6" xfId="3684"/>
    <cellStyle name="40 % - Markeringsfarve5 2 4 6 2" xfId="8669"/>
    <cellStyle name="40 % - Markeringsfarve5 2 4 6 2 2" xfId="19476"/>
    <cellStyle name="40 % - Markeringsfarve5 2 4 6 2 3" xfId="30833"/>
    <cellStyle name="40 % - Markeringsfarve5 2 4 6 3" xfId="14491"/>
    <cellStyle name="40 % - Markeringsfarve5 2 4 6 4" xfId="25849"/>
    <cellStyle name="40 % - Markeringsfarve5 2 4 7" xfId="5345"/>
    <cellStyle name="40 % - Markeringsfarve5 2 4 7 2" xfId="16154"/>
    <cellStyle name="40 % - Markeringsfarve5 2 4 7 3" xfId="27511"/>
    <cellStyle name="40 % - Markeringsfarve5 2 4 8" xfId="10330"/>
    <cellStyle name="40 % - Markeringsfarve5 2 4 8 2" xfId="21137"/>
    <cellStyle name="40 % - Markeringsfarve5 2 4 8 3" xfId="32494"/>
    <cellStyle name="40 % - Markeringsfarve5 2 4 9" xfId="11164"/>
    <cellStyle name="40 % - Markeringsfarve5 2 5" xfId="370"/>
    <cellStyle name="40 % - Markeringsfarve5 2 5 10" xfId="22027"/>
    <cellStyle name="40 % - Markeringsfarve5 2 5 11" xfId="22580"/>
    <cellStyle name="40 % - Markeringsfarve5 2 5 12" xfId="33383"/>
    <cellStyle name="40 % - Markeringsfarve5 2 5 13" xfId="33658"/>
    <cellStyle name="40 % - Markeringsfarve5 2 5 14" xfId="33929"/>
    <cellStyle name="40 % - Markeringsfarve5 2 5 2" xfId="687"/>
    <cellStyle name="40 % - Markeringsfarve5 2 5 2 2" xfId="1519"/>
    <cellStyle name="40 % - Markeringsfarve5 2 5 2 2 2" xfId="3184"/>
    <cellStyle name="40 % - Markeringsfarve5 2 5 2 2 2 2" xfId="8172"/>
    <cellStyle name="40 % - Markeringsfarve5 2 5 2 2 2 2 2" xfId="18979"/>
    <cellStyle name="40 % - Markeringsfarve5 2 5 2 2 2 2 3" xfId="30336"/>
    <cellStyle name="40 % - Markeringsfarve5 2 5 2 2 2 3" xfId="13994"/>
    <cellStyle name="40 % - Markeringsfarve5 2 5 2 2 2 4" xfId="25352"/>
    <cellStyle name="40 % - Markeringsfarve5 2 5 2 2 3" xfId="4848"/>
    <cellStyle name="40 % - Markeringsfarve5 2 5 2 2 3 2" xfId="9833"/>
    <cellStyle name="40 % - Markeringsfarve5 2 5 2 2 3 2 2" xfId="20640"/>
    <cellStyle name="40 % - Markeringsfarve5 2 5 2 2 3 2 3" xfId="31997"/>
    <cellStyle name="40 % - Markeringsfarve5 2 5 2 2 3 3" xfId="15655"/>
    <cellStyle name="40 % - Markeringsfarve5 2 5 2 2 3 4" xfId="27013"/>
    <cellStyle name="40 % - Markeringsfarve5 2 5 2 2 4" xfId="6510"/>
    <cellStyle name="40 % - Markeringsfarve5 2 5 2 2 4 2" xfId="17318"/>
    <cellStyle name="40 % - Markeringsfarve5 2 5 2 2 4 3" xfId="28675"/>
    <cellStyle name="40 % - Markeringsfarve5 2 5 2 2 5" xfId="12333"/>
    <cellStyle name="40 % - Markeringsfarve5 2 5 2 2 6" xfId="23691"/>
    <cellStyle name="40 % - Markeringsfarve5 2 5 2 3" xfId="2353"/>
    <cellStyle name="40 % - Markeringsfarve5 2 5 2 3 2" xfId="7341"/>
    <cellStyle name="40 % - Markeringsfarve5 2 5 2 3 2 2" xfId="18148"/>
    <cellStyle name="40 % - Markeringsfarve5 2 5 2 3 2 3" xfId="29505"/>
    <cellStyle name="40 % - Markeringsfarve5 2 5 2 3 3" xfId="13163"/>
    <cellStyle name="40 % - Markeringsfarve5 2 5 2 3 4" xfId="24521"/>
    <cellStyle name="40 % - Markeringsfarve5 2 5 2 4" xfId="4017"/>
    <cellStyle name="40 % - Markeringsfarve5 2 5 2 4 2" xfId="9002"/>
    <cellStyle name="40 % - Markeringsfarve5 2 5 2 4 2 2" xfId="19809"/>
    <cellStyle name="40 % - Markeringsfarve5 2 5 2 4 2 3" xfId="31166"/>
    <cellStyle name="40 % - Markeringsfarve5 2 5 2 4 3" xfId="14824"/>
    <cellStyle name="40 % - Markeringsfarve5 2 5 2 4 4" xfId="26182"/>
    <cellStyle name="40 % - Markeringsfarve5 2 5 2 5" xfId="5679"/>
    <cellStyle name="40 % - Markeringsfarve5 2 5 2 5 2" xfId="16487"/>
    <cellStyle name="40 % - Markeringsfarve5 2 5 2 5 3" xfId="27844"/>
    <cellStyle name="40 % - Markeringsfarve5 2 5 2 6" xfId="10666"/>
    <cellStyle name="40 % - Markeringsfarve5 2 5 2 6 2" xfId="21473"/>
    <cellStyle name="40 % - Markeringsfarve5 2 5 2 6 3" xfId="32830"/>
    <cellStyle name="40 % - Markeringsfarve5 2 5 2 7" xfId="11500"/>
    <cellStyle name="40 % - Markeringsfarve5 2 5 2 8" xfId="22306"/>
    <cellStyle name="40 % - Markeringsfarve5 2 5 2 9" xfId="22860"/>
    <cellStyle name="40 % - Markeringsfarve5 2 5 3" xfId="961"/>
    <cellStyle name="40 % - Markeringsfarve5 2 5 3 2" xfId="1793"/>
    <cellStyle name="40 % - Markeringsfarve5 2 5 3 2 2" xfId="3458"/>
    <cellStyle name="40 % - Markeringsfarve5 2 5 3 2 2 2" xfId="8446"/>
    <cellStyle name="40 % - Markeringsfarve5 2 5 3 2 2 2 2" xfId="19253"/>
    <cellStyle name="40 % - Markeringsfarve5 2 5 3 2 2 2 3" xfId="30610"/>
    <cellStyle name="40 % - Markeringsfarve5 2 5 3 2 2 3" xfId="14268"/>
    <cellStyle name="40 % - Markeringsfarve5 2 5 3 2 2 4" xfId="25626"/>
    <cellStyle name="40 % - Markeringsfarve5 2 5 3 2 3" xfId="5122"/>
    <cellStyle name="40 % - Markeringsfarve5 2 5 3 2 3 2" xfId="10107"/>
    <cellStyle name="40 % - Markeringsfarve5 2 5 3 2 3 2 2" xfId="20914"/>
    <cellStyle name="40 % - Markeringsfarve5 2 5 3 2 3 2 3" xfId="32271"/>
    <cellStyle name="40 % - Markeringsfarve5 2 5 3 2 3 3" xfId="15929"/>
    <cellStyle name="40 % - Markeringsfarve5 2 5 3 2 3 4" xfId="27287"/>
    <cellStyle name="40 % - Markeringsfarve5 2 5 3 2 4" xfId="6784"/>
    <cellStyle name="40 % - Markeringsfarve5 2 5 3 2 4 2" xfId="17592"/>
    <cellStyle name="40 % - Markeringsfarve5 2 5 3 2 4 3" xfId="28949"/>
    <cellStyle name="40 % - Markeringsfarve5 2 5 3 2 5" xfId="12607"/>
    <cellStyle name="40 % - Markeringsfarve5 2 5 3 2 6" xfId="23965"/>
    <cellStyle name="40 % - Markeringsfarve5 2 5 3 3" xfId="2627"/>
    <cellStyle name="40 % - Markeringsfarve5 2 5 3 3 2" xfId="7615"/>
    <cellStyle name="40 % - Markeringsfarve5 2 5 3 3 2 2" xfId="18422"/>
    <cellStyle name="40 % - Markeringsfarve5 2 5 3 3 2 3" xfId="29779"/>
    <cellStyle name="40 % - Markeringsfarve5 2 5 3 3 3" xfId="13437"/>
    <cellStyle name="40 % - Markeringsfarve5 2 5 3 3 4" xfId="24795"/>
    <cellStyle name="40 % - Markeringsfarve5 2 5 3 4" xfId="4291"/>
    <cellStyle name="40 % - Markeringsfarve5 2 5 3 4 2" xfId="9276"/>
    <cellStyle name="40 % - Markeringsfarve5 2 5 3 4 2 2" xfId="20083"/>
    <cellStyle name="40 % - Markeringsfarve5 2 5 3 4 2 3" xfId="31440"/>
    <cellStyle name="40 % - Markeringsfarve5 2 5 3 4 3" xfId="15098"/>
    <cellStyle name="40 % - Markeringsfarve5 2 5 3 4 4" xfId="26456"/>
    <cellStyle name="40 % - Markeringsfarve5 2 5 3 5" xfId="5953"/>
    <cellStyle name="40 % - Markeringsfarve5 2 5 3 5 2" xfId="16761"/>
    <cellStyle name="40 % - Markeringsfarve5 2 5 3 5 3" xfId="28118"/>
    <cellStyle name="40 % - Markeringsfarve5 2 5 3 6" xfId="10940"/>
    <cellStyle name="40 % - Markeringsfarve5 2 5 3 6 2" xfId="21747"/>
    <cellStyle name="40 % - Markeringsfarve5 2 5 3 6 3" xfId="33104"/>
    <cellStyle name="40 % - Markeringsfarve5 2 5 3 7" xfId="11775"/>
    <cellStyle name="40 % - Markeringsfarve5 2 5 3 8" xfId="23134"/>
    <cellStyle name="40 % - Markeringsfarve5 2 5 4" xfId="1240"/>
    <cellStyle name="40 % - Markeringsfarve5 2 5 4 2" xfId="2905"/>
    <cellStyle name="40 % - Markeringsfarve5 2 5 4 2 2" xfId="7893"/>
    <cellStyle name="40 % - Markeringsfarve5 2 5 4 2 2 2" xfId="18700"/>
    <cellStyle name="40 % - Markeringsfarve5 2 5 4 2 2 3" xfId="30057"/>
    <cellStyle name="40 % - Markeringsfarve5 2 5 4 2 3" xfId="13715"/>
    <cellStyle name="40 % - Markeringsfarve5 2 5 4 2 4" xfId="25073"/>
    <cellStyle name="40 % - Markeringsfarve5 2 5 4 3" xfId="4569"/>
    <cellStyle name="40 % - Markeringsfarve5 2 5 4 3 2" xfId="9554"/>
    <cellStyle name="40 % - Markeringsfarve5 2 5 4 3 2 2" xfId="20361"/>
    <cellStyle name="40 % - Markeringsfarve5 2 5 4 3 2 3" xfId="31718"/>
    <cellStyle name="40 % - Markeringsfarve5 2 5 4 3 3" xfId="15376"/>
    <cellStyle name="40 % - Markeringsfarve5 2 5 4 3 4" xfId="26734"/>
    <cellStyle name="40 % - Markeringsfarve5 2 5 4 4" xfId="6231"/>
    <cellStyle name="40 % - Markeringsfarve5 2 5 4 4 2" xfId="17039"/>
    <cellStyle name="40 % - Markeringsfarve5 2 5 4 4 3" xfId="28396"/>
    <cellStyle name="40 % - Markeringsfarve5 2 5 4 5" xfId="12054"/>
    <cellStyle name="40 % - Markeringsfarve5 2 5 4 6" xfId="23412"/>
    <cellStyle name="40 % - Markeringsfarve5 2 5 5" xfId="2075"/>
    <cellStyle name="40 % - Markeringsfarve5 2 5 5 2" xfId="7063"/>
    <cellStyle name="40 % - Markeringsfarve5 2 5 5 2 2" xfId="17871"/>
    <cellStyle name="40 % - Markeringsfarve5 2 5 5 2 3" xfId="29228"/>
    <cellStyle name="40 % - Markeringsfarve5 2 5 5 3" xfId="12886"/>
    <cellStyle name="40 % - Markeringsfarve5 2 5 5 4" xfId="24244"/>
    <cellStyle name="40 % - Markeringsfarve5 2 5 6" xfId="3740"/>
    <cellStyle name="40 % - Markeringsfarve5 2 5 6 2" xfId="8725"/>
    <cellStyle name="40 % - Markeringsfarve5 2 5 6 2 2" xfId="19532"/>
    <cellStyle name="40 % - Markeringsfarve5 2 5 6 2 3" xfId="30889"/>
    <cellStyle name="40 % - Markeringsfarve5 2 5 6 3" xfId="14547"/>
    <cellStyle name="40 % - Markeringsfarve5 2 5 6 4" xfId="25905"/>
    <cellStyle name="40 % - Markeringsfarve5 2 5 7" xfId="5401"/>
    <cellStyle name="40 % - Markeringsfarve5 2 5 7 2" xfId="16210"/>
    <cellStyle name="40 % - Markeringsfarve5 2 5 7 3" xfId="27567"/>
    <cellStyle name="40 % - Markeringsfarve5 2 5 8" xfId="10386"/>
    <cellStyle name="40 % - Markeringsfarve5 2 5 8 2" xfId="21193"/>
    <cellStyle name="40 % - Markeringsfarve5 2 5 8 3" xfId="32550"/>
    <cellStyle name="40 % - Markeringsfarve5 2 5 9" xfId="11220"/>
    <cellStyle name="40 % - Markeringsfarve5 2 6" xfId="470"/>
    <cellStyle name="40 % - Markeringsfarve5 2 6 2" xfId="1300"/>
    <cellStyle name="40 % - Markeringsfarve5 2 6 2 2" xfId="2965"/>
    <cellStyle name="40 % - Markeringsfarve5 2 6 2 2 2" xfId="7953"/>
    <cellStyle name="40 % - Markeringsfarve5 2 6 2 2 2 2" xfId="18760"/>
    <cellStyle name="40 % - Markeringsfarve5 2 6 2 2 2 3" xfId="30117"/>
    <cellStyle name="40 % - Markeringsfarve5 2 6 2 2 3" xfId="13775"/>
    <cellStyle name="40 % - Markeringsfarve5 2 6 2 2 4" xfId="25133"/>
    <cellStyle name="40 % - Markeringsfarve5 2 6 2 3" xfId="4629"/>
    <cellStyle name="40 % - Markeringsfarve5 2 6 2 3 2" xfId="9614"/>
    <cellStyle name="40 % - Markeringsfarve5 2 6 2 3 2 2" xfId="20421"/>
    <cellStyle name="40 % - Markeringsfarve5 2 6 2 3 2 3" xfId="31778"/>
    <cellStyle name="40 % - Markeringsfarve5 2 6 2 3 3" xfId="15436"/>
    <cellStyle name="40 % - Markeringsfarve5 2 6 2 3 4" xfId="26794"/>
    <cellStyle name="40 % - Markeringsfarve5 2 6 2 4" xfId="6291"/>
    <cellStyle name="40 % - Markeringsfarve5 2 6 2 4 2" xfId="17099"/>
    <cellStyle name="40 % - Markeringsfarve5 2 6 2 4 3" xfId="28456"/>
    <cellStyle name="40 % - Markeringsfarve5 2 6 2 5" xfId="12114"/>
    <cellStyle name="40 % - Markeringsfarve5 2 6 2 6" xfId="23472"/>
    <cellStyle name="40 % - Markeringsfarve5 2 6 3" xfId="2136"/>
    <cellStyle name="40 % - Markeringsfarve5 2 6 3 2" xfId="7124"/>
    <cellStyle name="40 % - Markeringsfarve5 2 6 3 2 2" xfId="17931"/>
    <cellStyle name="40 % - Markeringsfarve5 2 6 3 2 3" xfId="29288"/>
    <cellStyle name="40 % - Markeringsfarve5 2 6 3 3" xfId="12946"/>
    <cellStyle name="40 % - Markeringsfarve5 2 6 3 4" xfId="24304"/>
    <cellStyle name="40 % - Markeringsfarve5 2 6 4" xfId="3800"/>
    <cellStyle name="40 % - Markeringsfarve5 2 6 4 2" xfId="8785"/>
    <cellStyle name="40 % - Markeringsfarve5 2 6 4 2 2" xfId="19592"/>
    <cellStyle name="40 % - Markeringsfarve5 2 6 4 2 3" xfId="30949"/>
    <cellStyle name="40 % - Markeringsfarve5 2 6 4 3" xfId="14607"/>
    <cellStyle name="40 % - Markeringsfarve5 2 6 4 4" xfId="25965"/>
    <cellStyle name="40 % - Markeringsfarve5 2 6 5" xfId="5462"/>
    <cellStyle name="40 % - Markeringsfarve5 2 6 5 2" xfId="16270"/>
    <cellStyle name="40 % - Markeringsfarve5 2 6 5 3" xfId="27627"/>
    <cellStyle name="40 % - Markeringsfarve5 2 6 6" xfId="10425"/>
    <cellStyle name="40 % - Markeringsfarve5 2 6 6 2" xfId="21232"/>
    <cellStyle name="40 % - Markeringsfarve5 2 6 6 3" xfId="32589"/>
    <cellStyle name="40 % - Markeringsfarve5 2 6 7" xfId="11281"/>
    <cellStyle name="40 % - Markeringsfarve5 2 6 8" xfId="22087"/>
    <cellStyle name="40 % - Markeringsfarve5 2 6 9" xfId="22641"/>
    <cellStyle name="40 % - Markeringsfarve5 2 7" xfId="742"/>
    <cellStyle name="40 % - Markeringsfarve5 2 7 2" xfId="1574"/>
    <cellStyle name="40 % - Markeringsfarve5 2 7 2 2" xfId="3239"/>
    <cellStyle name="40 % - Markeringsfarve5 2 7 2 2 2" xfId="8227"/>
    <cellStyle name="40 % - Markeringsfarve5 2 7 2 2 2 2" xfId="19034"/>
    <cellStyle name="40 % - Markeringsfarve5 2 7 2 2 2 3" xfId="30391"/>
    <cellStyle name="40 % - Markeringsfarve5 2 7 2 2 3" xfId="14049"/>
    <cellStyle name="40 % - Markeringsfarve5 2 7 2 2 4" xfId="25407"/>
    <cellStyle name="40 % - Markeringsfarve5 2 7 2 3" xfId="4903"/>
    <cellStyle name="40 % - Markeringsfarve5 2 7 2 3 2" xfId="9888"/>
    <cellStyle name="40 % - Markeringsfarve5 2 7 2 3 2 2" xfId="20695"/>
    <cellStyle name="40 % - Markeringsfarve5 2 7 2 3 2 3" xfId="32052"/>
    <cellStyle name="40 % - Markeringsfarve5 2 7 2 3 3" xfId="15710"/>
    <cellStyle name="40 % - Markeringsfarve5 2 7 2 3 4" xfId="27068"/>
    <cellStyle name="40 % - Markeringsfarve5 2 7 2 4" xfId="6565"/>
    <cellStyle name="40 % - Markeringsfarve5 2 7 2 4 2" xfId="17373"/>
    <cellStyle name="40 % - Markeringsfarve5 2 7 2 4 3" xfId="28730"/>
    <cellStyle name="40 % - Markeringsfarve5 2 7 2 5" xfId="12388"/>
    <cellStyle name="40 % - Markeringsfarve5 2 7 2 6" xfId="23746"/>
    <cellStyle name="40 % - Markeringsfarve5 2 7 3" xfId="2408"/>
    <cellStyle name="40 % - Markeringsfarve5 2 7 3 2" xfId="7396"/>
    <cellStyle name="40 % - Markeringsfarve5 2 7 3 2 2" xfId="18203"/>
    <cellStyle name="40 % - Markeringsfarve5 2 7 3 2 3" xfId="29560"/>
    <cellStyle name="40 % - Markeringsfarve5 2 7 3 3" xfId="13218"/>
    <cellStyle name="40 % - Markeringsfarve5 2 7 3 4" xfId="24576"/>
    <cellStyle name="40 % - Markeringsfarve5 2 7 4" xfId="4072"/>
    <cellStyle name="40 % - Markeringsfarve5 2 7 4 2" xfId="9057"/>
    <cellStyle name="40 % - Markeringsfarve5 2 7 4 2 2" xfId="19864"/>
    <cellStyle name="40 % - Markeringsfarve5 2 7 4 2 3" xfId="31221"/>
    <cellStyle name="40 % - Markeringsfarve5 2 7 4 3" xfId="14879"/>
    <cellStyle name="40 % - Markeringsfarve5 2 7 4 4" xfId="26237"/>
    <cellStyle name="40 % - Markeringsfarve5 2 7 5" xfId="5734"/>
    <cellStyle name="40 % - Markeringsfarve5 2 7 5 2" xfId="16542"/>
    <cellStyle name="40 % - Markeringsfarve5 2 7 5 3" xfId="27899"/>
    <cellStyle name="40 % - Markeringsfarve5 2 7 6" xfId="10721"/>
    <cellStyle name="40 % - Markeringsfarve5 2 7 6 2" xfId="21528"/>
    <cellStyle name="40 % - Markeringsfarve5 2 7 6 3" xfId="32885"/>
    <cellStyle name="40 % - Markeringsfarve5 2 7 7" xfId="11556"/>
    <cellStyle name="40 % - Markeringsfarve5 2 7 8" xfId="22915"/>
    <cellStyle name="40 % - Markeringsfarve5 2 8" xfId="1021"/>
    <cellStyle name="40 % - Markeringsfarve5 2 8 2" xfId="2686"/>
    <cellStyle name="40 % - Markeringsfarve5 2 8 2 2" xfId="7674"/>
    <cellStyle name="40 % - Markeringsfarve5 2 8 2 2 2" xfId="18481"/>
    <cellStyle name="40 % - Markeringsfarve5 2 8 2 2 3" xfId="29838"/>
    <cellStyle name="40 % - Markeringsfarve5 2 8 2 3" xfId="13496"/>
    <cellStyle name="40 % - Markeringsfarve5 2 8 2 4" xfId="24854"/>
    <cellStyle name="40 % - Markeringsfarve5 2 8 3" xfId="4350"/>
    <cellStyle name="40 % - Markeringsfarve5 2 8 3 2" xfId="9335"/>
    <cellStyle name="40 % - Markeringsfarve5 2 8 3 2 2" xfId="20142"/>
    <cellStyle name="40 % - Markeringsfarve5 2 8 3 2 3" xfId="31499"/>
    <cellStyle name="40 % - Markeringsfarve5 2 8 3 3" xfId="15157"/>
    <cellStyle name="40 % - Markeringsfarve5 2 8 3 4" xfId="26515"/>
    <cellStyle name="40 % - Markeringsfarve5 2 8 4" xfId="6012"/>
    <cellStyle name="40 % - Markeringsfarve5 2 8 4 2" xfId="16820"/>
    <cellStyle name="40 % - Markeringsfarve5 2 8 4 3" xfId="28177"/>
    <cellStyle name="40 % - Markeringsfarve5 2 8 5" xfId="11835"/>
    <cellStyle name="40 % - Markeringsfarve5 2 8 6" xfId="23193"/>
    <cellStyle name="40 % - Markeringsfarve5 2 9" xfId="1857"/>
    <cellStyle name="40 % - Markeringsfarve5 2 9 2" xfId="6845"/>
    <cellStyle name="40 % - Markeringsfarve5 2 9 2 2" xfId="17653"/>
    <cellStyle name="40 % - Markeringsfarve5 2 9 2 3" xfId="29010"/>
    <cellStyle name="40 % - Markeringsfarve5 2 9 3" xfId="12668"/>
    <cellStyle name="40 % - Markeringsfarve5 2 9 4" xfId="24026"/>
    <cellStyle name="40 % - Markeringsfarve5 20" xfId="33691"/>
    <cellStyle name="40 % - Markeringsfarve5 3" xfId="103"/>
    <cellStyle name="40 % - Markeringsfarve5 3 10" xfId="3541"/>
    <cellStyle name="40 % - Markeringsfarve5 3 10 2" xfId="8526"/>
    <cellStyle name="40 % - Markeringsfarve5 3 10 2 2" xfId="19333"/>
    <cellStyle name="40 % - Markeringsfarve5 3 10 2 3" xfId="30690"/>
    <cellStyle name="40 % - Markeringsfarve5 3 10 3" xfId="14348"/>
    <cellStyle name="40 % - Markeringsfarve5 3 10 4" xfId="25706"/>
    <cellStyle name="40 % - Markeringsfarve5 3 11" xfId="5202"/>
    <cellStyle name="40 % - Markeringsfarve5 3 11 2" xfId="16011"/>
    <cellStyle name="40 % - Markeringsfarve5 3 11 3" xfId="27368"/>
    <cellStyle name="40 % - Markeringsfarve5 3 12" xfId="10186"/>
    <cellStyle name="40 % - Markeringsfarve5 3 12 2" xfId="20993"/>
    <cellStyle name="40 % - Markeringsfarve5 3 12 3" xfId="32350"/>
    <cellStyle name="40 % - Markeringsfarve5 3 13" xfId="11020"/>
    <cellStyle name="40 % - Markeringsfarve5 3 14" xfId="21827"/>
    <cellStyle name="40 % - Markeringsfarve5 3 15" xfId="22380"/>
    <cellStyle name="40 % - Markeringsfarve5 3 16" xfId="33183"/>
    <cellStyle name="40 % - Markeringsfarve5 3 17" xfId="33457"/>
    <cellStyle name="40 % - Markeringsfarve5 3 18" xfId="33728"/>
    <cellStyle name="40 % - Markeringsfarve5 3 2" xfId="223"/>
    <cellStyle name="40 % - Markeringsfarve5 3 2 10" xfId="21881"/>
    <cellStyle name="40 % - Markeringsfarve5 3 2 11" xfId="22434"/>
    <cellStyle name="40 % - Markeringsfarve5 3 2 12" xfId="33237"/>
    <cellStyle name="40 % - Markeringsfarve5 3 2 13" xfId="33512"/>
    <cellStyle name="40 % - Markeringsfarve5 3 2 14" xfId="33783"/>
    <cellStyle name="40 % - Markeringsfarve5 3 2 2" xfId="541"/>
    <cellStyle name="40 % - Markeringsfarve5 3 2 2 2" xfId="1373"/>
    <cellStyle name="40 % - Markeringsfarve5 3 2 2 2 2" xfId="3038"/>
    <cellStyle name="40 % - Markeringsfarve5 3 2 2 2 2 2" xfId="8026"/>
    <cellStyle name="40 % - Markeringsfarve5 3 2 2 2 2 2 2" xfId="18833"/>
    <cellStyle name="40 % - Markeringsfarve5 3 2 2 2 2 2 3" xfId="30190"/>
    <cellStyle name="40 % - Markeringsfarve5 3 2 2 2 2 3" xfId="13848"/>
    <cellStyle name="40 % - Markeringsfarve5 3 2 2 2 2 4" xfId="25206"/>
    <cellStyle name="40 % - Markeringsfarve5 3 2 2 2 3" xfId="4702"/>
    <cellStyle name="40 % - Markeringsfarve5 3 2 2 2 3 2" xfId="9687"/>
    <cellStyle name="40 % - Markeringsfarve5 3 2 2 2 3 2 2" xfId="20494"/>
    <cellStyle name="40 % - Markeringsfarve5 3 2 2 2 3 2 3" xfId="31851"/>
    <cellStyle name="40 % - Markeringsfarve5 3 2 2 2 3 3" xfId="15509"/>
    <cellStyle name="40 % - Markeringsfarve5 3 2 2 2 3 4" xfId="26867"/>
    <cellStyle name="40 % - Markeringsfarve5 3 2 2 2 4" xfId="6364"/>
    <cellStyle name="40 % - Markeringsfarve5 3 2 2 2 4 2" xfId="17172"/>
    <cellStyle name="40 % - Markeringsfarve5 3 2 2 2 4 3" xfId="28529"/>
    <cellStyle name="40 % - Markeringsfarve5 3 2 2 2 5" xfId="12187"/>
    <cellStyle name="40 % - Markeringsfarve5 3 2 2 2 6" xfId="23545"/>
    <cellStyle name="40 % - Markeringsfarve5 3 2 2 3" xfId="2207"/>
    <cellStyle name="40 % - Markeringsfarve5 3 2 2 3 2" xfId="7195"/>
    <cellStyle name="40 % - Markeringsfarve5 3 2 2 3 2 2" xfId="18002"/>
    <cellStyle name="40 % - Markeringsfarve5 3 2 2 3 2 3" xfId="29359"/>
    <cellStyle name="40 % - Markeringsfarve5 3 2 2 3 3" xfId="13017"/>
    <cellStyle name="40 % - Markeringsfarve5 3 2 2 3 4" xfId="24375"/>
    <cellStyle name="40 % - Markeringsfarve5 3 2 2 4" xfId="3871"/>
    <cellStyle name="40 % - Markeringsfarve5 3 2 2 4 2" xfId="8856"/>
    <cellStyle name="40 % - Markeringsfarve5 3 2 2 4 2 2" xfId="19663"/>
    <cellStyle name="40 % - Markeringsfarve5 3 2 2 4 2 3" xfId="31020"/>
    <cellStyle name="40 % - Markeringsfarve5 3 2 2 4 3" xfId="14678"/>
    <cellStyle name="40 % - Markeringsfarve5 3 2 2 4 4" xfId="26036"/>
    <cellStyle name="40 % - Markeringsfarve5 3 2 2 5" xfId="5533"/>
    <cellStyle name="40 % - Markeringsfarve5 3 2 2 5 2" xfId="16341"/>
    <cellStyle name="40 % - Markeringsfarve5 3 2 2 5 3" xfId="27698"/>
    <cellStyle name="40 % - Markeringsfarve5 3 2 2 6" xfId="10520"/>
    <cellStyle name="40 % - Markeringsfarve5 3 2 2 6 2" xfId="21327"/>
    <cellStyle name="40 % - Markeringsfarve5 3 2 2 6 3" xfId="32684"/>
    <cellStyle name="40 % - Markeringsfarve5 3 2 2 7" xfId="11354"/>
    <cellStyle name="40 % - Markeringsfarve5 3 2 2 8" xfId="22160"/>
    <cellStyle name="40 % - Markeringsfarve5 3 2 2 9" xfId="22714"/>
    <cellStyle name="40 % - Markeringsfarve5 3 2 3" xfId="815"/>
    <cellStyle name="40 % - Markeringsfarve5 3 2 3 2" xfId="1647"/>
    <cellStyle name="40 % - Markeringsfarve5 3 2 3 2 2" xfId="3312"/>
    <cellStyle name="40 % - Markeringsfarve5 3 2 3 2 2 2" xfId="8300"/>
    <cellStyle name="40 % - Markeringsfarve5 3 2 3 2 2 2 2" xfId="19107"/>
    <cellStyle name="40 % - Markeringsfarve5 3 2 3 2 2 2 3" xfId="30464"/>
    <cellStyle name="40 % - Markeringsfarve5 3 2 3 2 2 3" xfId="14122"/>
    <cellStyle name="40 % - Markeringsfarve5 3 2 3 2 2 4" xfId="25480"/>
    <cellStyle name="40 % - Markeringsfarve5 3 2 3 2 3" xfId="4976"/>
    <cellStyle name="40 % - Markeringsfarve5 3 2 3 2 3 2" xfId="9961"/>
    <cellStyle name="40 % - Markeringsfarve5 3 2 3 2 3 2 2" xfId="20768"/>
    <cellStyle name="40 % - Markeringsfarve5 3 2 3 2 3 2 3" xfId="32125"/>
    <cellStyle name="40 % - Markeringsfarve5 3 2 3 2 3 3" xfId="15783"/>
    <cellStyle name="40 % - Markeringsfarve5 3 2 3 2 3 4" xfId="27141"/>
    <cellStyle name="40 % - Markeringsfarve5 3 2 3 2 4" xfId="6638"/>
    <cellStyle name="40 % - Markeringsfarve5 3 2 3 2 4 2" xfId="17446"/>
    <cellStyle name="40 % - Markeringsfarve5 3 2 3 2 4 3" xfId="28803"/>
    <cellStyle name="40 % - Markeringsfarve5 3 2 3 2 5" xfId="12461"/>
    <cellStyle name="40 % - Markeringsfarve5 3 2 3 2 6" xfId="23819"/>
    <cellStyle name="40 % - Markeringsfarve5 3 2 3 3" xfId="2481"/>
    <cellStyle name="40 % - Markeringsfarve5 3 2 3 3 2" xfId="7469"/>
    <cellStyle name="40 % - Markeringsfarve5 3 2 3 3 2 2" xfId="18276"/>
    <cellStyle name="40 % - Markeringsfarve5 3 2 3 3 2 3" xfId="29633"/>
    <cellStyle name="40 % - Markeringsfarve5 3 2 3 3 3" xfId="13291"/>
    <cellStyle name="40 % - Markeringsfarve5 3 2 3 3 4" xfId="24649"/>
    <cellStyle name="40 % - Markeringsfarve5 3 2 3 4" xfId="4145"/>
    <cellStyle name="40 % - Markeringsfarve5 3 2 3 4 2" xfId="9130"/>
    <cellStyle name="40 % - Markeringsfarve5 3 2 3 4 2 2" xfId="19937"/>
    <cellStyle name="40 % - Markeringsfarve5 3 2 3 4 2 3" xfId="31294"/>
    <cellStyle name="40 % - Markeringsfarve5 3 2 3 4 3" xfId="14952"/>
    <cellStyle name="40 % - Markeringsfarve5 3 2 3 4 4" xfId="26310"/>
    <cellStyle name="40 % - Markeringsfarve5 3 2 3 5" xfId="5807"/>
    <cellStyle name="40 % - Markeringsfarve5 3 2 3 5 2" xfId="16615"/>
    <cellStyle name="40 % - Markeringsfarve5 3 2 3 5 3" xfId="27972"/>
    <cellStyle name="40 % - Markeringsfarve5 3 2 3 6" xfId="10794"/>
    <cellStyle name="40 % - Markeringsfarve5 3 2 3 6 2" xfId="21601"/>
    <cellStyle name="40 % - Markeringsfarve5 3 2 3 6 3" xfId="32958"/>
    <cellStyle name="40 % - Markeringsfarve5 3 2 3 7" xfId="11629"/>
    <cellStyle name="40 % - Markeringsfarve5 3 2 3 8" xfId="22988"/>
    <cellStyle name="40 % - Markeringsfarve5 3 2 4" xfId="1094"/>
    <cellStyle name="40 % - Markeringsfarve5 3 2 4 2" xfId="2759"/>
    <cellStyle name="40 % - Markeringsfarve5 3 2 4 2 2" xfId="7747"/>
    <cellStyle name="40 % - Markeringsfarve5 3 2 4 2 2 2" xfId="18554"/>
    <cellStyle name="40 % - Markeringsfarve5 3 2 4 2 2 3" xfId="29911"/>
    <cellStyle name="40 % - Markeringsfarve5 3 2 4 2 3" xfId="13569"/>
    <cellStyle name="40 % - Markeringsfarve5 3 2 4 2 4" xfId="24927"/>
    <cellStyle name="40 % - Markeringsfarve5 3 2 4 3" xfId="4423"/>
    <cellStyle name="40 % - Markeringsfarve5 3 2 4 3 2" xfId="9408"/>
    <cellStyle name="40 % - Markeringsfarve5 3 2 4 3 2 2" xfId="20215"/>
    <cellStyle name="40 % - Markeringsfarve5 3 2 4 3 2 3" xfId="31572"/>
    <cellStyle name="40 % - Markeringsfarve5 3 2 4 3 3" xfId="15230"/>
    <cellStyle name="40 % - Markeringsfarve5 3 2 4 3 4" xfId="26588"/>
    <cellStyle name="40 % - Markeringsfarve5 3 2 4 4" xfId="6085"/>
    <cellStyle name="40 % - Markeringsfarve5 3 2 4 4 2" xfId="16893"/>
    <cellStyle name="40 % - Markeringsfarve5 3 2 4 4 3" xfId="28250"/>
    <cellStyle name="40 % - Markeringsfarve5 3 2 4 5" xfId="11908"/>
    <cellStyle name="40 % - Markeringsfarve5 3 2 4 6" xfId="23266"/>
    <cellStyle name="40 % - Markeringsfarve5 3 2 5" xfId="1929"/>
    <cellStyle name="40 % - Markeringsfarve5 3 2 5 2" xfId="6917"/>
    <cellStyle name="40 % - Markeringsfarve5 3 2 5 2 2" xfId="17725"/>
    <cellStyle name="40 % - Markeringsfarve5 3 2 5 2 3" xfId="29082"/>
    <cellStyle name="40 % - Markeringsfarve5 3 2 5 3" xfId="12740"/>
    <cellStyle name="40 % - Markeringsfarve5 3 2 5 4" xfId="24098"/>
    <cellStyle name="40 % - Markeringsfarve5 3 2 6" xfId="3594"/>
    <cellStyle name="40 % - Markeringsfarve5 3 2 6 2" xfId="8579"/>
    <cellStyle name="40 % - Markeringsfarve5 3 2 6 2 2" xfId="19386"/>
    <cellStyle name="40 % - Markeringsfarve5 3 2 6 2 3" xfId="30743"/>
    <cellStyle name="40 % - Markeringsfarve5 3 2 6 3" xfId="14401"/>
    <cellStyle name="40 % - Markeringsfarve5 3 2 6 4" xfId="25759"/>
    <cellStyle name="40 % - Markeringsfarve5 3 2 7" xfId="5255"/>
    <cellStyle name="40 % - Markeringsfarve5 3 2 7 2" xfId="16064"/>
    <cellStyle name="40 % - Markeringsfarve5 3 2 7 3" xfId="27421"/>
    <cellStyle name="40 % - Markeringsfarve5 3 2 8" xfId="10240"/>
    <cellStyle name="40 % - Markeringsfarve5 3 2 8 2" xfId="21047"/>
    <cellStyle name="40 % - Markeringsfarve5 3 2 8 3" xfId="32404"/>
    <cellStyle name="40 % - Markeringsfarve5 3 2 9" xfId="11074"/>
    <cellStyle name="40 % - Markeringsfarve5 3 3" xfId="278"/>
    <cellStyle name="40 % - Markeringsfarve5 3 3 10" xfId="21935"/>
    <cellStyle name="40 % - Markeringsfarve5 3 3 11" xfId="22488"/>
    <cellStyle name="40 % - Markeringsfarve5 3 3 12" xfId="33291"/>
    <cellStyle name="40 % - Markeringsfarve5 3 3 13" xfId="33566"/>
    <cellStyle name="40 % - Markeringsfarve5 3 3 14" xfId="33837"/>
    <cellStyle name="40 % - Markeringsfarve5 3 3 2" xfId="595"/>
    <cellStyle name="40 % - Markeringsfarve5 3 3 2 2" xfId="1427"/>
    <cellStyle name="40 % - Markeringsfarve5 3 3 2 2 2" xfId="3092"/>
    <cellStyle name="40 % - Markeringsfarve5 3 3 2 2 2 2" xfId="8080"/>
    <cellStyle name="40 % - Markeringsfarve5 3 3 2 2 2 2 2" xfId="18887"/>
    <cellStyle name="40 % - Markeringsfarve5 3 3 2 2 2 2 3" xfId="30244"/>
    <cellStyle name="40 % - Markeringsfarve5 3 3 2 2 2 3" xfId="13902"/>
    <cellStyle name="40 % - Markeringsfarve5 3 3 2 2 2 4" xfId="25260"/>
    <cellStyle name="40 % - Markeringsfarve5 3 3 2 2 3" xfId="4756"/>
    <cellStyle name="40 % - Markeringsfarve5 3 3 2 2 3 2" xfId="9741"/>
    <cellStyle name="40 % - Markeringsfarve5 3 3 2 2 3 2 2" xfId="20548"/>
    <cellStyle name="40 % - Markeringsfarve5 3 3 2 2 3 2 3" xfId="31905"/>
    <cellStyle name="40 % - Markeringsfarve5 3 3 2 2 3 3" xfId="15563"/>
    <cellStyle name="40 % - Markeringsfarve5 3 3 2 2 3 4" xfId="26921"/>
    <cellStyle name="40 % - Markeringsfarve5 3 3 2 2 4" xfId="6418"/>
    <cellStyle name="40 % - Markeringsfarve5 3 3 2 2 4 2" xfId="17226"/>
    <cellStyle name="40 % - Markeringsfarve5 3 3 2 2 4 3" xfId="28583"/>
    <cellStyle name="40 % - Markeringsfarve5 3 3 2 2 5" xfId="12241"/>
    <cellStyle name="40 % - Markeringsfarve5 3 3 2 2 6" xfId="23599"/>
    <cellStyle name="40 % - Markeringsfarve5 3 3 2 3" xfId="2261"/>
    <cellStyle name="40 % - Markeringsfarve5 3 3 2 3 2" xfId="7249"/>
    <cellStyle name="40 % - Markeringsfarve5 3 3 2 3 2 2" xfId="18056"/>
    <cellStyle name="40 % - Markeringsfarve5 3 3 2 3 2 3" xfId="29413"/>
    <cellStyle name="40 % - Markeringsfarve5 3 3 2 3 3" xfId="13071"/>
    <cellStyle name="40 % - Markeringsfarve5 3 3 2 3 4" xfId="24429"/>
    <cellStyle name="40 % - Markeringsfarve5 3 3 2 4" xfId="3925"/>
    <cellStyle name="40 % - Markeringsfarve5 3 3 2 4 2" xfId="8910"/>
    <cellStyle name="40 % - Markeringsfarve5 3 3 2 4 2 2" xfId="19717"/>
    <cellStyle name="40 % - Markeringsfarve5 3 3 2 4 2 3" xfId="31074"/>
    <cellStyle name="40 % - Markeringsfarve5 3 3 2 4 3" xfId="14732"/>
    <cellStyle name="40 % - Markeringsfarve5 3 3 2 4 4" xfId="26090"/>
    <cellStyle name="40 % - Markeringsfarve5 3 3 2 5" xfId="5587"/>
    <cellStyle name="40 % - Markeringsfarve5 3 3 2 5 2" xfId="16395"/>
    <cellStyle name="40 % - Markeringsfarve5 3 3 2 5 3" xfId="27752"/>
    <cellStyle name="40 % - Markeringsfarve5 3 3 2 6" xfId="10574"/>
    <cellStyle name="40 % - Markeringsfarve5 3 3 2 6 2" xfId="21381"/>
    <cellStyle name="40 % - Markeringsfarve5 3 3 2 6 3" xfId="32738"/>
    <cellStyle name="40 % - Markeringsfarve5 3 3 2 7" xfId="11408"/>
    <cellStyle name="40 % - Markeringsfarve5 3 3 2 8" xfId="22214"/>
    <cellStyle name="40 % - Markeringsfarve5 3 3 2 9" xfId="22768"/>
    <cellStyle name="40 % - Markeringsfarve5 3 3 3" xfId="869"/>
    <cellStyle name="40 % - Markeringsfarve5 3 3 3 2" xfId="1701"/>
    <cellStyle name="40 % - Markeringsfarve5 3 3 3 2 2" xfId="3366"/>
    <cellStyle name="40 % - Markeringsfarve5 3 3 3 2 2 2" xfId="8354"/>
    <cellStyle name="40 % - Markeringsfarve5 3 3 3 2 2 2 2" xfId="19161"/>
    <cellStyle name="40 % - Markeringsfarve5 3 3 3 2 2 2 3" xfId="30518"/>
    <cellStyle name="40 % - Markeringsfarve5 3 3 3 2 2 3" xfId="14176"/>
    <cellStyle name="40 % - Markeringsfarve5 3 3 3 2 2 4" xfId="25534"/>
    <cellStyle name="40 % - Markeringsfarve5 3 3 3 2 3" xfId="5030"/>
    <cellStyle name="40 % - Markeringsfarve5 3 3 3 2 3 2" xfId="10015"/>
    <cellStyle name="40 % - Markeringsfarve5 3 3 3 2 3 2 2" xfId="20822"/>
    <cellStyle name="40 % - Markeringsfarve5 3 3 3 2 3 2 3" xfId="32179"/>
    <cellStyle name="40 % - Markeringsfarve5 3 3 3 2 3 3" xfId="15837"/>
    <cellStyle name="40 % - Markeringsfarve5 3 3 3 2 3 4" xfId="27195"/>
    <cellStyle name="40 % - Markeringsfarve5 3 3 3 2 4" xfId="6692"/>
    <cellStyle name="40 % - Markeringsfarve5 3 3 3 2 4 2" xfId="17500"/>
    <cellStyle name="40 % - Markeringsfarve5 3 3 3 2 4 3" xfId="28857"/>
    <cellStyle name="40 % - Markeringsfarve5 3 3 3 2 5" xfId="12515"/>
    <cellStyle name="40 % - Markeringsfarve5 3 3 3 2 6" xfId="23873"/>
    <cellStyle name="40 % - Markeringsfarve5 3 3 3 3" xfId="2535"/>
    <cellStyle name="40 % - Markeringsfarve5 3 3 3 3 2" xfId="7523"/>
    <cellStyle name="40 % - Markeringsfarve5 3 3 3 3 2 2" xfId="18330"/>
    <cellStyle name="40 % - Markeringsfarve5 3 3 3 3 2 3" xfId="29687"/>
    <cellStyle name="40 % - Markeringsfarve5 3 3 3 3 3" xfId="13345"/>
    <cellStyle name="40 % - Markeringsfarve5 3 3 3 3 4" xfId="24703"/>
    <cellStyle name="40 % - Markeringsfarve5 3 3 3 4" xfId="4199"/>
    <cellStyle name="40 % - Markeringsfarve5 3 3 3 4 2" xfId="9184"/>
    <cellStyle name="40 % - Markeringsfarve5 3 3 3 4 2 2" xfId="19991"/>
    <cellStyle name="40 % - Markeringsfarve5 3 3 3 4 2 3" xfId="31348"/>
    <cellStyle name="40 % - Markeringsfarve5 3 3 3 4 3" xfId="15006"/>
    <cellStyle name="40 % - Markeringsfarve5 3 3 3 4 4" xfId="26364"/>
    <cellStyle name="40 % - Markeringsfarve5 3 3 3 5" xfId="5861"/>
    <cellStyle name="40 % - Markeringsfarve5 3 3 3 5 2" xfId="16669"/>
    <cellStyle name="40 % - Markeringsfarve5 3 3 3 5 3" xfId="28026"/>
    <cellStyle name="40 % - Markeringsfarve5 3 3 3 6" xfId="10848"/>
    <cellStyle name="40 % - Markeringsfarve5 3 3 3 6 2" xfId="21655"/>
    <cellStyle name="40 % - Markeringsfarve5 3 3 3 6 3" xfId="33012"/>
    <cellStyle name="40 % - Markeringsfarve5 3 3 3 7" xfId="11683"/>
    <cellStyle name="40 % - Markeringsfarve5 3 3 3 8" xfId="23042"/>
    <cellStyle name="40 % - Markeringsfarve5 3 3 4" xfId="1148"/>
    <cellStyle name="40 % - Markeringsfarve5 3 3 4 2" xfId="2813"/>
    <cellStyle name="40 % - Markeringsfarve5 3 3 4 2 2" xfId="7801"/>
    <cellStyle name="40 % - Markeringsfarve5 3 3 4 2 2 2" xfId="18608"/>
    <cellStyle name="40 % - Markeringsfarve5 3 3 4 2 2 3" xfId="29965"/>
    <cellStyle name="40 % - Markeringsfarve5 3 3 4 2 3" xfId="13623"/>
    <cellStyle name="40 % - Markeringsfarve5 3 3 4 2 4" xfId="24981"/>
    <cellStyle name="40 % - Markeringsfarve5 3 3 4 3" xfId="4477"/>
    <cellStyle name="40 % - Markeringsfarve5 3 3 4 3 2" xfId="9462"/>
    <cellStyle name="40 % - Markeringsfarve5 3 3 4 3 2 2" xfId="20269"/>
    <cellStyle name="40 % - Markeringsfarve5 3 3 4 3 2 3" xfId="31626"/>
    <cellStyle name="40 % - Markeringsfarve5 3 3 4 3 3" xfId="15284"/>
    <cellStyle name="40 % - Markeringsfarve5 3 3 4 3 4" xfId="26642"/>
    <cellStyle name="40 % - Markeringsfarve5 3 3 4 4" xfId="6139"/>
    <cellStyle name="40 % - Markeringsfarve5 3 3 4 4 2" xfId="16947"/>
    <cellStyle name="40 % - Markeringsfarve5 3 3 4 4 3" xfId="28304"/>
    <cellStyle name="40 % - Markeringsfarve5 3 3 4 5" xfId="11962"/>
    <cellStyle name="40 % - Markeringsfarve5 3 3 4 6" xfId="23320"/>
    <cellStyle name="40 % - Markeringsfarve5 3 3 5" xfId="1983"/>
    <cellStyle name="40 % - Markeringsfarve5 3 3 5 2" xfId="6971"/>
    <cellStyle name="40 % - Markeringsfarve5 3 3 5 2 2" xfId="17779"/>
    <cellStyle name="40 % - Markeringsfarve5 3 3 5 2 3" xfId="29136"/>
    <cellStyle name="40 % - Markeringsfarve5 3 3 5 3" xfId="12794"/>
    <cellStyle name="40 % - Markeringsfarve5 3 3 5 4" xfId="24152"/>
    <cellStyle name="40 % - Markeringsfarve5 3 3 6" xfId="3648"/>
    <cellStyle name="40 % - Markeringsfarve5 3 3 6 2" xfId="8633"/>
    <cellStyle name="40 % - Markeringsfarve5 3 3 6 2 2" xfId="19440"/>
    <cellStyle name="40 % - Markeringsfarve5 3 3 6 2 3" xfId="30797"/>
    <cellStyle name="40 % - Markeringsfarve5 3 3 6 3" xfId="14455"/>
    <cellStyle name="40 % - Markeringsfarve5 3 3 6 4" xfId="25813"/>
    <cellStyle name="40 % - Markeringsfarve5 3 3 7" xfId="5309"/>
    <cellStyle name="40 % - Markeringsfarve5 3 3 7 2" xfId="16118"/>
    <cellStyle name="40 % - Markeringsfarve5 3 3 7 3" xfId="27475"/>
    <cellStyle name="40 % - Markeringsfarve5 3 3 8" xfId="10294"/>
    <cellStyle name="40 % - Markeringsfarve5 3 3 8 2" xfId="21101"/>
    <cellStyle name="40 % - Markeringsfarve5 3 3 8 3" xfId="32458"/>
    <cellStyle name="40 % - Markeringsfarve5 3 3 9" xfId="11128"/>
    <cellStyle name="40 % - Markeringsfarve5 3 4" xfId="333"/>
    <cellStyle name="40 % - Markeringsfarve5 3 4 10" xfId="21990"/>
    <cellStyle name="40 % - Markeringsfarve5 3 4 11" xfId="22543"/>
    <cellStyle name="40 % - Markeringsfarve5 3 4 12" xfId="33346"/>
    <cellStyle name="40 % - Markeringsfarve5 3 4 13" xfId="33621"/>
    <cellStyle name="40 % - Markeringsfarve5 3 4 14" xfId="33892"/>
    <cellStyle name="40 % - Markeringsfarve5 3 4 2" xfId="650"/>
    <cellStyle name="40 % - Markeringsfarve5 3 4 2 2" xfId="1482"/>
    <cellStyle name="40 % - Markeringsfarve5 3 4 2 2 2" xfId="3147"/>
    <cellStyle name="40 % - Markeringsfarve5 3 4 2 2 2 2" xfId="8135"/>
    <cellStyle name="40 % - Markeringsfarve5 3 4 2 2 2 2 2" xfId="18942"/>
    <cellStyle name="40 % - Markeringsfarve5 3 4 2 2 2 2 3" xfId="30299"/>
    <cellStyle name="40 % - Markeringsfarve5 3 4 2 2 2 3" xfId="13957"/>
    <cellStyle name="40 % - Markeringsfarve5 3 4 2 2 2 4" xfId="25315"/>
    <cellStyle name="40 % - Markeringsfarve5 3 4 2 2 3" xfId="4811"/>
    <cellStyle name="40 % - Markeringsfarve5 3 4 2 2 3 2" xfId="9796"/>
    <cellStyle name="40 % - Markeringsfarve5 3 4 2 2 3 2 2" xfId="20603"/>
    <cellStyle name="40 % - Markeringsfarve5 3 4 2 2 3 2 3" xfId="31960"/>
    <cellStyle name="40 % - Markeringsfarve5 3 4 2 2 3 3" xfId="15618"/>
    <cellStyle name="40 % - Markeringsfarve5 3 4 2 2 3 4" xfId="26976"/>
    <cellStyle name="40 % - Markeringsfarve5 3 4 2 2 4" xfId="6473"/>
    <cellStyle name="40 % - Markeringsfarve5 3 4 2 2 4 2" xfId="17281"/>
    <cellStyle name="40 % - Markeringsfarve5 3 4 2 2 4 3" xfId="28638"/>
    <cellStyle name="40 % - Markeringsfarve5 3 4 2 2 5" xfId="12296"/>
    <cellStyle name="40 % - Markeringsfarve5 3 4 2 2 6" xfId="23654"/>
    <cellStyle name="40 % - Markeringsfarve5 3 4 2 3" xfId="2316"/>
    <cellStyle name="40 % - Markeringsfarve5 3 4 2 3 2" xfId="7304"/>
    <cellStyle name="40 % - Markeringsfarve5 3 4 2 3 2 2" xfId="18111"/>
    <cellStyle name="40 % - Markeringsfarve5 3 4 2 3 2 3" xfId="29468"/>
    <cellStyle name="40 % - Markeringsfarve5 3 4 2 3 3" xfId="13126"/>
    <cellStyle name="40 % - Markeringsfarve5 3 4 2 3 4" xfId="24484"/>
    <cellStyle name="40 % - Markeringsfarve5 3 4 2 4" xfId="3980"/>
    <cellStyle name="40 % - Markeringsfarve5 3 4 2 4 2" xfId="8965"/>
    <cellStyle name="40 % - Markeringsfarve5 3 4 2 4 2 2" xfId="19772"/>
    <cellStyle name="40 % - Markeringsfarve5 3 4 2 4 2 3" xfId="31129"/>
    <cellStyle name="40 % - Markeringsfarve5 3 4 2 4 3" xfId="14787"/>
    <cellStyle name="40 % - Markeringsfarve5 3 4 2 4 4" xfId="26145"/>
    <cellStyle name="40 % - Markeringsfarve5 3 4 2 5" xfId="5642"/>
    <cellStyle name="40 % - Markeringsfarve5 3 4 2 5 2" xfId="16450"/>
    <cellStyle name="40 % - Markeringsfarve5 3 4 2 5 3" xfId="27807"/>
    <cellStyle name="40 % - Markeringsfarve5 3 4 2 6" xfId="10629"/>
    <cellStyle name="40 % - Markeringsfarve5 3 4 2 6 2" xfId="21436"/>
    <cellStyle name="40 % - Markeringsfarve5 3 4 2 6 3" xfId="32793"/>
    <cellStyle name="40 % - Markeringsfarve5 3 4 2 7" xfId="11463"/>
    <cellStyle name="40 % - Markeringsfarve5 3 4 2 8" xfId="22269"/>
    <cellStyle name="40 % - Markeringsfarve5 3 4 2 9" xfId="22823"/>
    <cellStyle name="40 % - Markeringsfarve5 3 4 3" xfId="924"/>
    <cellStyle name="40 % - Markeringsfarve5 3 4 3 2" xfId="1756"/>
    <cellStyle name="40 % - Markeringsfarve5 3 4 3 2 2" xfId="3421"/>
    <cellStyle name="40 % - Markeringsfarve5 3 4 3 2 2 2" xfId="8409"/>
    <cellStyle name="40 % - Markeringsfarve5 3 4 3 2 2 2 2" xfId="19216"/>
    <cellStyle name="40 % - Markeringsfarve5 3 4 3 2 2 2 3" xfId="30573"/>
    <cellStyle name="40 % - Markeringsfarve5 3 4 3 2 2 3" xfId="14231"/>
    <cellStyle name="40 % - Markeringsfarve5 3 4 3 2 2 4" xfId="25589"/>
    <cellStyle name="40 % - Markeringsfarve5 3 4 3 2 3" xfId="5085"/>
    <cellStyle name="40 % - Markeringsfarve5 3 4 3 2 3 2" xfId="10070"/>
    <cellStyle name="40 % - Markeringsfarve5 3 4 3 2 3 2 2" xfId="20877"/>
    <cellStyle name="40 % - Markeringsfarve5 3 4 3 2 3 2 3" xfId="32234"/>
    <cellStyle name="40 % - Markeringsfarve5 3 4 3 2 3 3" xfId="15892"/>
    <cellStyle name="40 % - Markeringsfarve5 3 4 3 2 3 4" xfId="27250"/>
    <cellStyle name="40 % - Markeringsfarve5 3 4 3 2 4" xfId="6747"/>
    <cellStyle name="40 % - Markeringsfarve5 3 4 3 2 4 2" xfId="17555"/>
    <cellStyle name="40 % - Markeringsfarve5 3 4 3 2 4 3" xfId="28912"/>
    <cellStyle name="40 % - Markeringsfarve5 3 4 3 2 5" xfId="12570"/>
    <cellStyle name="40 % - Markeringsfarve5 3 4 3 2 6" xfId="23928"/>
    <cellStyle name="40 % - Markeringsfarve5 3 4 3 3" xfId="2590"/>
    <cellStyle name="40 % - Markeringsfarve5 3 4 3 3 2" xfId="7578"/>
    <cellStyle name="40 % - Markeringsfarve5 3 4 3 3 2 2" xfId="18385"/>
    <cellStyle name="40 % - Markeringsfarve5 3 4 3 3 2 3" xfId="29742"/>
    <cellStyle name="40 % - Markeringsfarve5 3 4 3 3 3" xfId="13400"/>
    <cellStyle name="40 % - Markeringsfarve5 3 4 3 3 4" xfId="24758"/>
    <cellStyle name="40 % - Markeringsfarve5 3 4 3 4" xfId="4254"/>
    <cellStyle name="40 % - Markeringsfarve5 3 4 3 4 2" xfId="9239"/>
    <cellStyle name="40 % - Markeringsfarve5 3 4 3 4 2 2" xfId="20046"/>
    <cellStyle name="40 % - Markeringsfarve5 3 4 3 4 2 3" xfId="31403"/>
    <cellStyle name="40 % - Markeringsfarve5 3 4 3 4 3" xfId="15061"/>
    <cellStyle name="40 % - Markeringsfarve5 3 4 3 4 4" xfId="26419"/>
    <cellStyle name="40 % - Markeringsfarve5 3 4 3 5" xfId="5916"/>
    <cellStyle name="40 % - Markeringsfarve5 3 4 3 5 2" xfId="16724"/>
    <cellStyle name="40 % - Markeringsfarve5 3 4 3 5 3" xfId="28081"/>
    <cellStyle name="40 % - Markeringsfarve5 3 4 3 6" xfId="10903"/>
    <cellStyle name="40 % - Markeringsfarve5 3 4 3 6 2" xfId="21710"/>
    <cellStyle name="40 % - Markeringsfarve5 3 4 3 6 3" xfId="33067"/>
    <cellStyle name="40 % - Markeringsfarve5 3 4 3 7" xfId="11738"/>
    <cellStyle name="40 % - Markeringsfarve5 3 4 3 8" xfId="23097"/>
    <cellStyle name="40 % - Markeringsfarve5 3 4 4" xfId="1203"/>
    <cellStyle name="40 % - Markeringsfarve5 3 4 4 2" xfId="2868"/>
    <cellStyle name="40 % - Markeringsfarve5 3 4 4 2 2" xfId="7856"/>
    <cellStyle name="40 % - Markeringsfarve5 3 4 4 2 2 2" xfId="18663"/>
    <cellStyle name="40 % - Markeringsfarve5 3 4 4 2 2 3" xfId="30020"/>
    <cellStyle name="40 % - Markeringsfarve5 3 4 4 2 3" xfId="13678"/>
    <cellStyle name="40 % - Markeringsfarve5 3 4 4 2 4" xfId="25036"/>
    <cellStyle name="40 % - Markeringsfarve5 3 4 4 3" xfId="4532"/>
    <cellStyle name="40 % - Markeringsfarve5 3 4 4 3 2" xfId="9517"/>
    <cellStyle name="40 % - Markeringsfarve5 3 4 4 3 2 2" xfId="20324"/>
    <cellStyle name="40 % - Markeringsfarve5 3 4 4 3 2 3" xfId="31681"/>
    <cellStyle name="40 % - Markeringsfarve5 3 4 4 3 3" xfId="15339"/>
    <cellStyle name="40 % - Markeringsfarve5 3 4 4 3 4" xfId="26697"/>
    <cellStyle name="40 % - Markeringsfarve5 3 4 4 4" xfId="6194"/>
    <cellStyle name="40 % - Markeringsfarve5 3 4 4 4 2" xfId="17002"/>
    <cellStyle name="40 % - Markeringsfarve5 3 4 4 4 3" xfId="28359"/>
    <cellStyle name="40 % - Markeringsfarve5 3 4 4 5" xfId="12017"/>
    <cellStyle name="40 % - Markeringsfarve5 3 4 4 6" xfId="23375"/>
    <cellStyle name="40 % - Markeringsfarve5 3 4 5" xfId="2038"/>
    <cellStyle name="40 % - Markeringsfarve5 3 4 5 2" xfId="7026"/>
    <cellStyle name="40 % - Markeringsfarve5 3 4 5 2 2" xfId="17834"/>
    <cellStyle name="40 % - Markeringsfarve5 3 4 5 2 3" xfId="29191"/>
    <cellStyle name="40 % - Markeringsfarve5 3 4 5 3" xfId="12849"/>
    <cellStyle name="40 % - Markeringsfarve5 3 4 5 4" xfId="24207"/>
    <cellStyle name="40 % - Markeringsfarve5 3 4 6" xfId="3703"/>
    <cellStyle name="40 % - Markeringsfarve5 3 4 6 2" xfId="8688"/>
    <cellStyle name="40 % - Markeringsfarve5 3 4 6 2 2" xfId="19495"/>
    <cellStyle name="40 % - Markeringsfarve5 3 4 6 2 3" xfId="30852"/>
    <cellStyle name="40 % - Markeringsfarve5 3 4 6 3" xfId="14510"/>
    <cellStyle name="40 % - Markeringsfarve5 3 4 6 4" xfId="25868"/>
    <cellStyle name="40 % - Markeringsfarve5 3 4 7" xfId="5364"/>
    <cellStyle name="40 % - Markeringsfarve5 3 4 7 2" xfId="16173"/>
    <cellStyle name="40 % - Markeringsfarve5 3 4 7 3" xfId="27530"/>
    <cellStyle name="40 % - Markeringsfarve5 3 4 8" xfId="10349"/>
    <cellStyle name="40 % - Markeringsfarve5 3 4 8 2" xfId="21156"/>
    <cellStyle name="40 % - Markeringsfarve5 3 4 8 3" xfId="32513"/>
    <cellStyle name="40 % - Markeringsfarve5 3 4 9" xfId="11183"/>
    <cellStyle name="40 % - Markeringsfarve5 3 5" xfId="389"/>
    <cellStyle name="40 % - Markeringsfarve5 3 5 10" xfId="22046"/>
    <cellStyle name="40 % - Markeringsfarve5 3 5 11" xfId="22599"/>
    <cellStyle name="40 % - Markeringsfarve5 3 5 12" xfId="33402"/>
    <cellStyle name="40 % - Markeringsfarve5 3 5 13" xfId="33677"/>
    <cellStyle name="40 % - Markeringsfarve5 3 5 14" xfId="33948"/>
    <cellStyle name="40 % - Markeringsfarve5 3 5 2" xfId="706"/>
    <cellStyle name="40 % - Markeringsfarve5 3 5 2 2" xfId="1538"/>
    <cellStyle name="40 % - Markeringsfarve5 3 5 2 2 2" xfId="3203"/>
    <cellStyle name="40 % - Markeringsfarve5 3 5 2 2 2 2" xfId="8191"/>
    <cellStyle name="40 % - Markeringsfarve5 3 5 2 2 2 2 2" xfId="18998"/>
    <cellStyle name="40 % - Markeringsfarve5 3 5 2 2 2 2 3" xfId="30355"/>
    <cellStyle name="40 % - Markeringsfarve5 3 5 2 2 2 3" xfId="14013"/>
    <cellStyle name="40 % - Markeringsfarve5 3 5 2 2 2 4" xfId="25371"/>
    <cellStyle name="40 % - Markeringsfarve5 3 5 2 2 3" xfId="4867"/>
    <cellStyle name="40 % - Markeringsfarve5 3 5 2 2 3 2" xfId="9852"/>
    <cellStyle name="40 % - Markeringsfarve5 3 5 2 2 3 2 2" xfId="20659"/>
    <cellStyle name="40 % - Markeringsfarve5 3 5 2 2 3 2 3" xfId="32016"/>
    <cellStyle name="40 % - Markeringsfarve5 3 5 2 2 3 3" xfId="15674"/>
    <cellStyle name="40 % - Markeringsfarve5 3 5 2 2 3 4" xfId="27032"/>
    <cellStyle name="40 % - Markeringsfarve5 3 5 2 2 4" xfId="6529"/>
    <cellStyle name="40 % - Markeringsfarve5 3 5 2 2 4 2" xfId="17337"/>
    <cellStyle name="40 % - Markeringsfarve5 3 5 2 2 4 3" xfId="28694"/>
    <cellStyle name="40 % - Markeringsfarve5 3 5 2 2 5" xfId="12352"/>
    <cellStyle name="40 % - Markeringsfarve5 3 5 2 2 6" xfId="23710"/>
    <cellStyle name="40 % - Markeringsfarve5 3 5 2 3" xfId="2372"/>
    <cellStyle name="40 % - Markeringsfarve5 3 5 2 3 2" xfId="7360"/>
    <cellStyle name="40 % - Markeringsfarve5 3 5 2 3 2 2" xfId="18167"/>
    <cellStyle name="40 % - Markeringsfarve5 3 5 2 3 2 3" xfId="29524"/>
    <cellStyle name="40 % - Markeringsfarve5 3 5 2 3 3" xfId="13182"/>
    <cellStyle name="40 % - Markeringsfarve5 3 5 2 3 4" xfId="24540"/>
    <cellStyle name="40 % - Markeringsfarve5 3 5 2 4" xfId="4036"/>
    <cellStyle name="40 % - Markeringsfarve5 3 5 2 4 2" xfId="9021"/>
    <cellStyle name="40 % - Markeringsfarve5 3 5 2 4 2 2" xfId="19828"/>
    <cellStyle name="40 % - Markeringsfarve5 3 5 2 4 2 3" xfId="31185"/>
    <cellStyle name="40 % - Markeringsfarve5 3 5 2 4 3" xfId="14843"/>
    <cellStyle name="40 % - Markeringsfarve5 3 5 2 4 4" xfId="26201"/>
    <cellStyle name="40 % - Markeringsfarve5 3 5 2 5" xfId="5698"/>
    <cellStyle name="40 % - Markeringsfarve5 3 5 2 5 2" xfId="16506"/>
    <cellStyle name="40 % - Markeringsfarve5 3 5 2 5 3" xfId="27863"/>
    <cellStyle name="40 % - Markeringsfarve5 3 5 2 6" xfId="10685"/>
    <cellStyle name="40 % - Markeringsfarve5 3 5 2 6 2" xfId="21492"/>
    <cellStyle name="40 % - Markeringsfarve5 3 5 2 6 3" xfId="32849"/>
    <cellStyle name="40 % - Markeringsfarve5 3 5 2 7" xfId="11519"/>
    <cellStyle name="40 % - Markeringsfarve5 3 5 2 8" xfId="22325"/>
    <cellStyle name="40 % - Markeringsfarve5 3 5 2 9" xfId="22879"/>
    <cellStyle name="40 % - Markeringsfarve5 3 5 3" xfId="980"/>
    <cellStyle name="40 % - Markeringsfarve5 3 5 3 2" xfId="1812"/>
    <cellStyle name="40 % - Markeringsfarve5 3 5 3 2 2" xfId="3477"/>
    <cellStyle name="40 % - Markeringsfarve5 3 5 3 2 2 2" xfId="8465"/>
    <cellStyle name="40 % - Markeringsfarve5 3 5 3 2 2 2 2" xfId="19272"/>
    <cellStyle name="40 % - Markeringsfarve5 3 5 3 2 2 2 3" xfId="30629"/>
    <cellStyle name="40 % - Markeringsfarve5 3 5 3 2 2 3" xfId="14287"/>
    <cellStyle name="40 % - Markeringsfarve5 3 5 3 2 2 4" xfId="25645"/>
    <cellStyle name="40 % - Markeringsfarve5 3 5 3 2 3" xfId="5141"/>
    <cellStyle name="40 % - Markeringsfarve5 3 5 3 2 3 2" xfId="10126"/>
    <cellStyle name="40 % - Markeringsfarve5 3 5 3 2 3 2 2" xfId="20933"/>
    <cellStyle name="40 % - Markeringsfarve5 3 5 3 2 3 2 3" xfId="32290"/>
    <cellStyle name="40 % - Markeringsfarve5 3 5 3 2 3 3" xfId="15948"/>
    <cellStyle name="40 % - Markeringsfarve5 3 5 3 2 3 4" xfId="27306"/>
    <cellStyle name="40 % - Markeringsfarve5 3 5 3 2 4" xfId="6803"/>
    <cellStyle name="40 % - Markeringsfarve5 3 5 3 2 4 2" xfId="17611"/>
    <cellStyle name="40 % - Markeringsfarve5 3 5 3 2 4 3" xfId="28968"/>
    <cellStyle name="40 % - Markeringsfarve5 3 5 3 2 5" xfId="12626"/>
    <cellStyle name="40 % - Markeringsfarve5 3 5 3 2 6" xfId="23984"/>
    <cellStyle name="40 % - Markeringsfarve5 3 5 3 3" xfId="2646"/>
    <cellStyle name="40 % - Markeringsfarve5 3 5 3 3 2" xfId="7634"/>
    <cellStyle name="40 % - Markeringsfarve5 3 5 3 3 2 2" xfId="18441"/>
    <cellStyle name="40 % - Markeringsfarve5 3 5 3 3 2 3" xfId="29798"/>
    <cellStyle name="40 % - Markeringsfarve5 3 5 3 3 3" xfId="13456"/>
    <cellStyle name="40 % - Markeringsfarve5 3 5 3 3 4" xfId="24814"/>
    <cellStyle name="40 % - Markeringsfarve5 3 5 3 4" xfId="4310"/>
    <cellStyle name="40 % - Markeringsfarve5 3 5 3 4 2" xfId="9295"/>
    <cellStyle name="40 % - Markeringsfarve5 3 5 3 4 2 2" xfId="20102"/>
    <cellStyle name="40 % - Markeringsfarve5 3 5 3 4 2 3" xfId="31459"/>
    <cellStyle name="40 % - Markeringsfarve5 3 5 3 4 3" xfId="15117"/>
    <cellStyle name="40 % - Markeringsfarve5 3 5 3 4 4" xfId="26475"/>
    <cellStyle name="40 % - Markeringsfarve5 3 5 3 5" xfId="5972"/>
    <cellStyle name="40 % - Markeringsfarve5 3 5 3 5 2" xfId="16780"/>
    <cellStyle name="40 % - Markeringsfarve5 3 5 3 5 3" xfId="28137"/>
    <cellStyle name="40 % - Markeringsfarve5 3 5 3 6" xfId="10959"/>
    <cellStyle name="40 % - Markeringsfarve5 3 5 3 6 2" xfId="21766"/>
    <cellStyle name="40 % - Markeringsfarve5 3 5 3 6 3" xfId="33123"/>
    <cellStyle name="40 % - Markeringsfarve5 3 5 3 7" xfId="11794"/>
    <cellStyle name="40 % - Markeringsfarve5 3 5 3 8" xfId="23153"/>
    <cellStyle name="40 % - Markeringsfarve5 3 5 4" xfId="1259"/>
    <cellStyle name="40 % - Markeringsfarve5 3 5 4 2" xfId="2924"/>
    <cellStyle name="40 % - Markeringsfarve5 3 5 4 2 2" xfId="7912"/>
    <cellStyle name="40 % - Markeringsfarve5 3 5 4 2 2 2" xfId="18719"/>
    <cellStyle name="40 % - Markeringsfarve5 3 5 4 2 2 3" xfId="30076"/>
    <cellStyle name="40 % - Markeringsfarve5 3 5 4 2 3" xfId="13734"/>
    <cellStyle name="40 % - Markeringsfarve5 3 5 4 2 4" xfId="25092"/>
    <cellStyle name="40 % - Markeringsfarve5 3 5 4 3" xfId="4588"/>
    <cellStyle name="40 % - Markeringsfarve5 3 5 4 3 2" xfId="9573"/>
    <cellStyle name="40 % - Markeringsfarve5 3 5 4 3 2 2" xfId="20380"/>
    <cellStyle name="40 % - Markeringsfarve5 3 5 4 3 2 3" xfId="31737"/>
    <cellStyle name="40 % - Markeringsfarve5 3 5 4 3 3" xfId="15395"/>
    <cellStyle name="40 % - Markeringsfarve5 3 5 4 3 4" xfId="26753"/>
    <cellStyle name="40 % - Markeringsfarve5 3 5 4 4" xfId="6250"/>
    <cellStyle name="40 % - Markeringsfarve5 3 5 4 4 2" xfId="17058"/>
    <cellStyle name="40 % - Markeringsfarve5 3 5 4 4 3" xfId="28415"/>
    <cellStyle name="40 % - Markeringsfarve5 3 5 4 5" xfId="12073"/>
    <cellStyle name="40 % - Markeringsfarve5 3 5 4 6" xfId="23431"/>
    <cellStyle name="40 % - Markeringsfarve5 3 5 5" xfId="2094"/>
    <cellStyle name="40 % - Markeringsfarve5 3 5 5 2" xfId="7082"/>
    <cellStyle name="40 % - Markeringsfarve5 3 5 5 2 2" xfId="17890"/>
    <cellStyle name="40 % - Markeringsfarve5 3 5 5 2 3" xfId="29247"/>
    <cellStyle name="40 % - Markeringsfarve5 3 5 5 3" xfId="12905"/>
    <cellStyle name="40 % - Markeringsfarve5 3 5 5 4" xfId="24263"/>
    <cellStyle name="40 % - Markeringsfarve5 3 5 6" xfId="3759"/>
    <cellStyle name="40 % - Markeringsfarve5 3 5 6 2" xfId="8744"/>
    <cellStyle name="40 % - Markeringsfarve5 3 5 6 2 2" xfId="19551"/>
    <cellStyle name="40 % - Markeringsfarve5 3 5 6 2 3" xfId="30908"/>
    <cellStyle name="40 % - Markeringsfarve5 3 5 6 3" xfId="14566"/>
    <cellStyle name="40 % - Markeringsfarve5 3 5 6 4" xfId="25924"/>
    <cellStyle name="40 % - Markeringsfarve5 3 5 7" xfId="5420"/>
    <cellStyle name="40 % - Markeringsfarve5 3 5 7 2" xfId="16229"/>
    <cellStyle name="40 % - Markeringsfarve5 3 5 7 3" xfId="27586"/>
    <cellStyle name="40 % - Markeringsfarve5 3 5 8" xfId="10405"/>
    <cellStyle name="40 % - Markeringsfarve5 3 5 8 2" xfId="21212"/>
    <cellStyle name="40 % - Markeringsfarve5 3 5 8 3" xfId="32569"/>
    <cellStyle name="40 % - Markeringsfarve5 3 5 9" xfId="11239"/>
    <cellStyle name="40 % - Markeringsfarve5 3 6" xfId="489"/>
    <cellStyle name="40 % - Markeringsfarve5 3 6 2" xfId="1319"/>
    <cellStyle name="40 % - Markeringsfarve5 3 6 2 2" xfId="2984"/>
    <cellStyle name="40 % - Markeringsfarve5 3 6 2 2 2" xfId="7972"/>
    <cellStyle name="40 % - Markeringsfarve5 3 6 2 2 2 2" xfId="18779"/>
    <cellStyle name="40 % - Markeringsfarve5 3 6 2 2 2 3" xfId="30136"/>
    <cellStyle name="40 % - Markeringsfarve5 3 6 2 2 3" xfId="13794"/>
    <cellStyle name="40 % - Markeringsfarve5 3 6 2 2 4" xfId="25152"/>
    <cellStyle name="40 % - Markeringsfarve5 3 6 2 3" xfId="4648"/>
    <cellStyle name="40 % - Markeringsfarve5 3 6 2 3 2" xfId="9633"/>
    <cellStyle name="40 % - Markeringsfarve5 3 6 2 3 2 2" xfId="20440"/>
    <cellStyle name="40 % - Markeringsfarve5 3 6 2 3 2 3" xfId="31797"/>
    <cellStyle name="40 % - Markeringsfarve5 3 6 2 3 3" xfId="15455"/>
    <cellStyle name="40 % - Markeringsfarve5 3 6 2 3 4" xfId="26813"/>
    <cellStyle name="40 % - Markeringsfarve5 3 6 2 4" xfId="6310"/>
    <cellStyle name="40 % - Markeringsfarve5 3 6 2 4 2" xfId="17118"/>
    <cellStyle name="40 % - Markeringsfarve5 3 6 2 4 3" xfId="28475"/>
    <cellStyle name="40 % - Markeringsfarve5 3 6 2 5" xfId="12133"/>
    <cellStyle name="40 % - Markeringsfarve5 3 6 2 6" xfId="23491"/>
    <cellStyle name="40 % - Markeringsfarve5 3 6 3" xfId="2155"/>
    <cellStyle name="40 % - Markeringsfarve5 3 6 3 2" xfId="7143"/>
    <cellStyle name="40 % - Markeringsfarve5 3 6 3 2 2" xfId="17950"/>
    <cellStyle name="40 % - Markeringsfarve5 3 6 3 2 3" xfId="29307"/>
    <cellStyle name="40 % - Markeringsfarve5 3 6 3 3" xfId="12965"/>
    <cellStyle name="40 % - Markeringsfarve5 3 6 3 4" xfId="24323"/>
    <cellStyle name="40 % - Markeringsfarve5 3 6 4" xfId="3819"/>
    <cellStyle name="40 % - Markeringsfarve5 3 6 4 2" xfId="8804"/>
    <cellStyle name="40 % - Markeringsfarve5 3 6 4 2 2" xfId="19611"/>
    <cellStyle name="40 % - Markeringsfarve5 3 6 4 2 3" xfId="30968"/>
    <cellStyle name="40 % - Markeringsfarve5 3 6 4 3" xfId="14626"/>
    <cellStyle name="40 % - Markeringsfarve5 3 6 4 4" xfId="25984"/>
    <cellStyle name="40 % - Markeringsfarve5 3 6 5" xfId="5481"/>
    <cellStyle name="40 % - Markeringsfarve5 3 6 5 2" xfId="16289"/>
    <cellStyle name="40 % - Markeringsfarve5 3 6 5 3" xfId="27646"/>
    <cellStyle name="40 % - Markeringsfarve5 3 6 6" xfId="10466"/>
    <cellStyle name="40 % - Markeringsfarve5 3 6 6 2" xfId="21273"/>
    <cellStyle name="40 % - Markeringsfarve5 3 6 6 3" xfId="32630"/>
    <cellStyle name="40 % - Markeringsfarve5 3 6 7" xfId="11300"/>
    <cellStyle name="40 % - Markeringsfarve5 3 6 8" xfId="22106"/>
    <cellStyle name="40 % - Markeringsfarve5 3 6 9" xfId="22660"/>
    <cellStyle name="40 % - Markeringsfarve5 3 7" xfId="761"/>
    <cellStyle name="40 % - Markeringsfarve5 3 7 2" xfId="1593"/>
    <cellStyle name="40 % - Markeringsfarve5 3 7 2 2" xfId="3258"/>
    <cellStyle name="40 % - Markeringsfarve5 3 7 2 2 2" xfId="8246"/>
    <cellStyle name="40 % - Markeringsfarve5 3 7 2 2 2 2" xfId="19053"/>
    <cellStyle name="40 % - Markeringsfarve5 3 7 2 2 2 3" xfId="30410"/>
    <cellStyle name="40 % - Markeringsfarve5 3 7 2 2 3" xfId="14068"/>
    <cellStyle name="40 % - Markeringsfarve5 3 7 2 2 4" xfId="25426"/>
    <cellStyle name="40 % - Markeringsfarve5 3 7 2 3" xfId="4922"/>
    <cellStyle name="40 % - Markeringsfarve5 3 7 2 3 2" xfId="9907"/>
    <cellStyle name="40 % - Markeringsfarve5 3 7 2 3 2 2" xfId="20714"/>
    <cellStyle name="40 % - Markeringsfarve5 3 7 2 3 2 3" xfId="32071"/>
    <cellStyle name="40 % - Markeringsfarve5 3 7 2 3 3" xfId="15729"/>
    <cellStyle name="40 % - Markeringsfarve5 3 7 2 3 4" xfId="27087"/>
    <cellStyle name="40 % - Markeringsfarve5 3 7 2 4" xfId="6584"/>
    <cellStyle name="40 % - Markeringsfarve5 3 7 2 4 2" xfId="17392"/>
    <cellStyle name="40 % - Markeringsfarve5 3 7 2 4 3" xfId="28749"/>
    <cellStyle name="40 % - Markeringsfarve5 3 7 2 5" xfId="12407"/>
    <cellStyle name="40 % - Markeringsfarve5 3 7 2 6" xfId="23765"/>
    <cellStyle name="40 % - Markeringsfarve5 3 7 3" xfId="2427"/>
    <cellStyle name="40 % - Markeringsfarve5 3 7 3 2" xfId="7415"/>
    <cellStyle name="40 % - Markeringsfarve5 3 7 3 2 2" xfId="18222"/>
    <cellStyle name="40 % - Markeringsfarve5 3 7 3 2 3" xfId="29579"/>
    <cellStyle name="40 % - Markeringsfarve5 3 7 3 3" xfId="13237"/>
    <cellStyle name="40 % - Markeringsfarve5 3 7 3 4" xfId="24595"/>
    <cellStyle name="40 % - Markeringsfarve5 3 7 4" xfId="4091"/>
    <cellStyle name="40 % - Markeringsfarve5 3 7 4 2" xfId="9076"/>
    <cellStyle name="40 % - Markeringsfarve5 3 7 4 2 2" xfId="19883"/>
    <cellStyle name="40 % - Markeringsfarve5 3 7 4 2 3" xfId="31240"/>
    <cellStyle name="40 % - Markeringsfarve5 3 7 4 3" xfId="14898"/>
    <cellStyle name="40 % - Markeringsfarve5 3 7 4 4" xfId="26256"/>
    <cellStyle name="40 % - Markeringsfarve5 3 7 5" xfId="5753"/>
    <cellStyle name="40 % - Markeringsfarve5 3 7 5 2" xfId="16561"/>
    <cellStyle name="40 % - Markeringsfarve5 3 7 5 3" xfId="27918"/>
    <cellStyle name="40 % - Markeringsfarve5 3 7 6" xfId="10740"/>
    <cellStyle name="40 % - Markeringsfarve5 3 7 6 2" xfId="21547"/>
    <cellStyle name="40 % - Markeringsfarve5 3 7 6 3" xfId="32904"/>
    <cellStyle name="40 % - Markeringsfarve5 3 7 7" xfId="11575"/>
    <cellStyle name="40 % - Markeringsfarve5 3 7 8" xfId="22934"/>
    <cellStyle name="40 % - Markeringsfarve5 3 8" xfId="1040"/>
    <cellStyle name="40 % - Markeringsfarve5 3 8 2" xfId="2705"/>
    <cellStyle name="40 % - Markeringsfarve5 3 8 2 2" xfId="7693"/>
    <cellStyle name="40 % - Markeringsfarve5 3 8 2 2 2" xfId="18500"/>
    <cellStyle name="40 % - Markeringsfarve5 3 8 2 2 3" xfId="29857"/>
    <cellStyle name="40 % - Markeringsfarve5 3 8 2 3" xfId="13515"/>
    <cellStyle name="40 % - Markeringsfarve5 3 8 2 4" xfId="24873"/>
    <cellStyle name="40 % - Markeringsfarve5 3 8 3" xfId="4369"/>
    <cellStyle name="40 % - Markeringsfarve5 3 8 3 2" xfId="9354"/>
    <cellStyle name="40 % - Markeringsfarve5 3 8 3 2 2" xfId="20161"/>
    <cellStyle name="40 % - Markeringsfarve5 3 8 3 2 3" xfId="31518"/>
    <cellStyle name="40 % - Markeringsfarve5 3 8 3 3" xfId="15176"/>
    <cellStyle name="40 % - Markeringsfarve5 3 8 3 4" xfId="26534"/>
    <cellStyle name="40 % - Markeringsfarve5 3 8 4" xfId="6031"/>
    <cellStyle name="40 % - Markeringsfarve5 3 8 4 2" xfId="16839"/>
    <cellStyle name="40 % - Markeringsfarve5 3 8 4 3" xfId="28196"/>
    <cellStyle name="40 % - Markeringsfarve5 3 8 5" xfId="11854"/>
    <cellStyle name="40 % - Markeringsfarve5 3 8 6" xfId="23212"/>
    <cellStyle name="40 % - Markeringsfarve5 3 9" xfId="1876"/>
    <cellStyle name="40 % - Markeringsfarve5 3 9 2" xfId="6864"/>
    <cellStyle name="40 % - Markeringsfarve5 3 9 2 2" xfId="17672"/>
    <cellStyle name="40 % - Markeringsfarve5 3 9 2 3" xfId="29029"/>
    <cellStyle name="40 % - Markeringsfarve5 3 9 3" xfId="12687"/>
    <cellStyle name="40 % - Markeringsfarve5 3 9 4" xfId="24045"/>
    <cellStyle name="40 % - Markeringsfarve5 4" xfId="186"/>
    <cellStyle name="40 % - Markeringsfarve5 4 10" xfId="21844"/>
    <cellStyle name="40 % - Markeringsfarve5 4 11" xfId="22397"/>
    <cellStyle name="40 % - Markeringsfarve5 4 12" xfId="33200"/>
    <cellStyle name="40 % - Markeringsfarve5 4 13" xfId="33473"/>
    <cellStyle name="40 % - Markeringsfarve5 4 14" xfId="33744"/>
    <cellStyle name="40 % - Markeringsfarve5 4 2" xfId="506"/>
    <cellStyle name="40 % - Markeringsfarve5 4 2 2" xfId="1336"/>
    <cellStyle name="40 % - Markeringsfarve5 4 2 2 2" xfId="3001"/>
    <cellStyle name="40 % - Markeringsfarve5 4 2 2 2 2" xfId="7989"/>
    <cellStyle name="40 % - Markeringsfarve5 4 2 2 2 2 2" xfId="18796"/>
    <cellStyle name="40 % - Markeringsfarve5 4 2 2 2 2 3" xfId="30153"/>
    <cellStyle name="40 % - Markeringsfarve5 4 2 2 2 3" xfId="13811"/>
    <cellStyle name="40 % - Markeringsfarve5 4 2 2 2 4" xfId="25169"/>
    <cellStyle name="40 % - Markeringsfarve5 4 2 2 3" xfId="4665"/>
    <cellStyle name="40 % - Markeringsfarve5 4 2 2 3 2" xfId="9650"/>
    <cellStyle name="40 % - Markeringsfarve5 4 2 2 3 2 2" xfId="20457"/>
    <cellStyle name="40 % - Markeringsfarve5 4 2 2 3 2 3" xfId="31814"/>
    <cellStyle name="40 % - Markeringsfarve5 4 2 2 3 3" xfId="15472"/>
    <cellStyle name="40 % - Markeringsfarve5 4 2 2 3 4" xfId="26830"/>
    <cellStyle name="40 % - Markeringsfarve5 4 2 2 4" xfId="6327"/>
    <cellStyle name="40 % - Markeringsfarve5 4 2 2 4 2" xfId="17135"/>
    <cellStyle name="40 % - Markeringsfarve5 4 2 2 4 3" xfId="28492"/>
    <cellStyle name="40 % - Markeringsfarve5 4 2 2 5" xfId="12150"/>
    <cellStyle name="40 % - Markeringsfarve5 4 2 2 6" xfId="23508"/>
    <cellStyle name="40 % - Markeringsfarve5 4 2 3" xfId="2172"/>
    <cellStyle name="40 % - Markeringsfarve5 4 2 3 2" xfId="7160"/>
    <cellStyle name="40 % - Markeringsfarve5 4 2 3 2 2" xfId="17967"/>
    <cellStyle name="40 % - Markeringsfarve5 4 2 3 2 3" xfId="29324"/>
    <cellStyle name="40 % - Markeringsfarve5 4 2 3 3" xfId="12982"/>
    <cellStyle name="40 % - Markeringsfarve5 4 2 3 4" xfId="24340"/>
    <cellStyle name="40 % - Markeringsfarve5 4 2 4" xfId="3836"/>
    <cellStyle name="40 % - Markeringsfarve5 4 2 4 2" xfId="8821"/>
    <cellStyle name="40 % - Markeringsfarve5 4 2 4 2 2" xfId="19628"/>
    <cellStyle name="40 % - Markeringsfarve5 4 2 4 2 3" xfId="30985"/>
    <cellStyle name="40 % - Markeringsfarve5 4 2 4 3" xfId="14643"/>
    <cellStyle name="40 % - Markeringsfarve5 4 2 4 4" xfId="26001"/>
    <cellStyle name="40 % - Markeringsfarve5 4 2 5" xfId="5498"/>
    <cellStyle name="40 % - Markeringsfarve5 4 2 5 2" xfId="16306"/>
    <cellStyle name="40 % - Markeringsfarve5 4 2 5 3" xfId="27663"/>
    <cellStyle name="40 % - Markeringsfarve5 4 2 6" xfId="10483"/>
    <cellStyle name="40 % - Markeringsfarve5 4 2 6 2" xfId="21290"/>
    <cellStyle name="40 % - Markeringsfarve5 4 2 6 3" xfId="32647"/>
    <cellStyle name="40 % - Markeringsfarve5 4 2 7" xfId="11317"/>
    <cellStyle name="40 % - Markeringsfarve5 4 2 8" xfId="22123"/>
    <cellStyle name="40 % - Markeringsfarve5 4 2 9" xfId="22677"/>
    <cellStyle name="40 % - Markeringsfarve5 4 3" xfId="778"/>
    <cellStyle name="40 % - Markeringsfarve5 4 3 2" xfId="1610"/>
    <cellStyle name="40 % - Markeringsfarve5 4 3 2 2" xfId="3275"/>
    <cellStyle name="40 % - Markeringsfarve5 4 3 2 2 2" xfId="8263"/>
    <cellStyle name="40 % - Markeringsfarve5 4 3 2 2 2 2" xfId="19070"/>
    <cellStyle name="40 % - Markeringsfarve5 4 3 2 2 2 3" xfId="30427"/>
    <cellStyle name="40 % - Markeringsfarve5 4 3 2 2 3" xfId="14085"/>
    <cellStyle name="40 % - Markeringsfarve5 4 3 2 2 4" xfId="25443"/>
    <cellStyle name="40 % - Markeringsfarve5 4 3 2 3" xfId="4939"/>
    <cellStyle name="40 % - Markeringsfarve5 4 3 2 3 2" xfId="9924"/>
    <cellStyle name="40 % - Markeringsfarve5 4 3 2 3 2 2" xfId="20731"/>
    <cellStyle name="40 % - Markeringsfarve5 4 3 2 3 2 3" xfId="32088"/>
    <cellStyle name="40 % - Markeringsfarve5 4 3 2 3 3" xfId="15746"/>
    <cellStyle name="40 % - Markeringsfarve5 4 3 2 3 4" xfId="27104"/>
    <cellStyle name="40 % - Markeringsfarve5 4 3 2 4" xfId="6601"/>
    <cellStyle name="40 % - Markeringsfarve5 4 3 2 4 2" xfId="17409"/>
    <cellStyle name="40 % - Markeringsfarve5 4 3 2 4 3" xfId="28766"/>
    <cellStyle name="40 % - Markeringsfarve5 4 3 2 5" xfId="12424"/>
    <cellStyle name="40 % - Markeringsfarve5 4 3 2 6" xfId="23782"/>
    <cellStyle name="40 % - Markeringsfarve5 4 3 3" xfId="2444"/>
    <cellStyle name="40 % - Markeringsfarve5 4 3 3 2" xfId="7432"/>
    <cellStyle name="40 % - Markeringsfarve5 4 3 3 2 2" xfId="18239"/>
    <cellStyle name="40 % - Markeringsfarve5 4 3 3 2 3" xfId="29596"/>
    <cellStyle name="40 % - Markeringsfarve5 4 3 3 3" xfId="13254"/>
    <cellStyle name="40 % - Markeringsfarve5 4 3 3 4" xfId="24612"/>
    <cellStyle name="40 % - Markeringsfarve5 4 3 4" xfId="4108"/>
    <cellStyle name="40 % - Markeringsfarve5 4 3 4 2" xfId="9093"/>
    <cellStyle name="40 % - Markeringsfarve5 4 3 4 2 2" xfId="19900"/>
    <cellStyle name="40 % - Markeringsfarve5 4 3 4 2 3" xfId="31257"/>
    <cellStyle name="40 % - Markeringsfarve5 4 3 4 3" xfId="14915"/>
    <cellStyle name="40 % - Markeringsfarve5 4 3 4 4" xfId="26273"/>
    <cellStyle name="40 % - Markeringsfarve5 4 3 5" xfId="5770"/>
    <cellStyle name="40 % - Markeringsfarve5 4 3 5 2" xfId="16578"/>
    <cellStyle name="40 % - Markeringsfarve5 4 3 5 3" xfId="27935"/>
    <cellStyle name="40 % - Markeringsfarve5 4 3 6" xfId="10757"/>
    <cellStyle name="40 % - Markeringsfarve5 4 3 6 2" xfId="21564"/>
    <cellStyle name="40 % - Markeringsfarve5 4 3 6 3" xfId="32921"/>
    <cellStyle name="40 % - Markeringsfarve5 4 3 7" xfId="11592"/>
    <cellStyle name="40 % - Markeringsfarve5 4 3 8" xfId="22951"/>
    <cellStyle name="40 % - Markeringsfarve5 4 4" xfId="1057"/>
    <cellStyle name="40 % - Markeringsfarve5 4 4 2" xfId="2722"/>
    <cellStyle name="40 % - Markeringsfarve5 4 4 2 2" xfId="7710"/>
    <cellStyle name="40 % - Markeringsfarve5 4 4 2 2 2" xfId="18517"/>
    <cellStyle name="40 % - Markeringsfarve5 4 4 2 2 3" xfId="29874"/>
    <cellStyle name="40 % - Markeringsfarve5 4 4 2 3" xfId="13532"/>
    <cellStyle name="40 % - Markeringsfarve5 4 4 2 4" xfId="24890"/>
    <cellStyle name="40 % - Markeringsfarve5 4 4 3" xfId="4386"/>
    <cellStyle name="40 % - Markeringsfarve5 4 4 3 2" xfId="9371"/>
    <cellStyle name="40 % - Markeringsfarve5 4 4 3 2 2" xfId="20178"/>
    <cellStyle name="40 % - Markeringsfarve5 4 4 3 2 3" xfId="31535"/>
    <cellStyle name="40 % - Markeringsfarve5 4 4 3 3" xfId="15193"/>
    <cellStyle name="40 % - Markeringsfarve5 4 4 3 4" xfId="26551"/>
    <cellStyle name="40 % - Markeringsfarve5 4 4 4" xfId="6048"/>
    <cellStyle name="40 % - Markeringsfarve5 4 4 4 2" xfId="16856"/>
    <cellStyle name="40 % - Markeringsfarve5 4 4 4 3" xfId="28213"/>
    <cellStyle name="40 % - Markeringsfarve5 4 4 5" xfId="11871"/>
    <cellStyle name="40 % - Markeringsfarve5 4 4 6" xfId="23229"/>
    <cellStyle name="40 % - Markeringsfarve5 4 5" xfId="1892"/>
    <cellStyle name="40 % - Markeringsfarve5 4 5 2" xfId="6880"/>
    <cellStyle name="40 % - Markeringsfarve5 4 5 2 2" xfId="17688"/>
    <cellStyle name="40 % - Markeringsfarve5 4 5 2 3" xfId="29045"/>
    <cellStyle name="40 % - Markeringsfarve5 4 5 3" xfId="12703"/>
    <cellStyle name="40 % - Markeringsfarve5 4 5 4" xfId="24061"/>
    <cellStyle name="40 % - Markeringsfarve5 4 6" xfId="3557"/>
    <cellStyle name="40 % - Markeringsfarve5 4 6 2" xfId="8542"/>
    <cellStyle name="40 % - Markeringsfarve5 4 6 2 2" xfId="19349"/>
    <cellStyle name="40 % - Markeringsfarve5 4 6 2 3" xfId="30706"/>
    <cellStyle name="40 % - Markeringsfarve5 4 6 3" xfId="14364"/>
    <cellStyle name="40 % - Markeringsfarve5 4 6 4" xfId="25722"/>
    <cellStyle name="40 % - Markeringsfarve5 4 7" xfId="5218"/>
    <cellStyle name="40 % - Markeringsfarve5 4 7 2" xfId="16027"/>
    <cellStyle name="40 % - Markeringsfarve5 4 7 3" xfId="27384"/>
    <cellStyle name="40 % - Markeringsfarve5 4 8" xfId="10203"/>
    <cellStyle name="40 % - Markeringsfarve5 4 8 2" xfId="21010"/>
    <cellStyle name="40 % - Markeringsfarve5 4 8 3" xfId="32367"/>
    <cellStyle name="40 % - Markeringsfarve5 4 9" xfId="11037"/>
    <cellStyle name="40 % - Markeringsfarve5 5" xfId="239"/>
    <cellStyle name="40 % - Markeringsfarve5 5 10" xfId="21897"/>
    <cellStyle name="40 % - Markeringsfarve5 5 11" xfId="22450"/>
    <cellStyle name="40 % - Markeringsfarve5 5 12" xfId="33253"/>
    <cellStyle name="40 % - Markeringsfarve5 5 13" xfId="33528"/>
    <cellStyle name="40 % - Markeringsfarve5 5 14" xfId="33799"/>
    <cellStyle name="40 % - Markeringsfarve5 5 2" xfId="557"/>
    <cellStyle name="40 % - Markeringsfarve5 5 2 2" xfId="1389"/>
    <cellStyle name="40 % - Markeringsfarve5 5 2 2 2" xfId="3054"/>
    <cellStyle name="40 % - Markeringsfarve5 5 2 2 2 2" xfId="8042"/>
    <cellStyle name="40 % - Markeringsfarve5 5 2 2 2 2 2" xfId="18849"/>
    <cellStyle name="40 % - Markeringsfarve5 5 2 2 2 2 3" xfId="30206"/>
    <cellStyle name="40 % - Markeringsfarve5 5 2 2 2 3" xfId="13864"/>
    <cellStyle name="40 % - Markeringsfarve5 5 2 2 2 4" xfId="25222"/>
    <cellStyle name="40 % - Markeringsfarve5 5 2 2 3" xfId="4718"/>
    <cellStyle name="40 % - Markeringsfarve5 5 2 2 3 2" xfId="9703"/>
    <cellStyle name="40 % - Markeringsfarve5 5 2 2 3 2 2" xfId="20510"/>
    <cellStyle name="40 % - Markeringsfarve5 5 2 2 3 2 3" xfId="31867"/>
    <cellStyle name="40 % - Markeringsfarve5 5 2 2 3 3" xfId="15525"/>
    <cellStyle name="40 % - Markeringsfarve5 5 2 2 3 4" xfId="26883"/>
    <cellStyle name="40 % - Markeringsfarve5 5 2 2 4" xfId="6380"/>
    <cellStyle name="40 % - Markeringsfarve5 5 2 2 4 2" xfId="17188"/>
    <cellStyle name="40 % - Markeringsfarve5 5 2 2 4 3" xfId="28545"/>
    <cellStyle name="40 % - Markeringsfarve5 5 2 2 5" xfId="12203"/>
    <cellStyle name="40 % - Markeringsfarve5 5 2 2 6" xfId="23561"/>
    <cellStyle name="40 % - Markeringsfarve5 5 2 3" xfId="2223"/>
    <cellStyle name="40 % - Markeringsfarve5 5 2 3 2" xfId="7211"/>
    <cellStyle name="40 % - Markeringsfarve5 5 2 3 2 2" xfId="18018"/>
    <cellStyle name="40 % - Markeringsfarve5 5 2 3 2 3" xfId="29375"/>
    <cellStyle name="40 % - Markeringsfarve5 5 2 3 3" xfId="13033"/>
    <cellStyle name="40 % - Markeringsfarve5 5 2 3 4" xfId="24391"/>
    <cellStyle name="40 % - Markeringsfarve5 5 2 4" xfId="3887"/>
    <cellStyle name="40 % - Markeringsfarve5 5 2 4 2" xfId="8872"/>
    <cellStyle name="40 % - Markeringsfarve5 5 2 4 2 2" xfId="19679"/>
    <cellStyle name="40 % - Markeringsfarve5 5 2 4 2 3" xfId="31036"/>
    <cellStyle name="40 % - Markeringsfarve5 5 2 4 3" xfId="14694"/>
    <cellStyle name="40 % - Markeringsfarve5 5 2 4 4" xfId="26052"/>
    <cellStyle name="40 % - Markeringsfarve5 5 2 5" xfId="5549"/>
    <cellStyle name="40 % - Markeringsfarve5 5 2 5 2" xfId="16357"/>
    <cellStyle name="40 % - Markeringsfarve5 5 2 5 3" xfId="27714"/>
    <cellStyle name="40 % - Markeringsfarve5 5 2 6" xfId="10536"/>
    <cellStyle name="40 % - Markeringsfarve5 5 2 6 2" xfId="21343"/>
    <cellStyle name="40 % - Markeringsfarve5 5 2 6 3" xfId="32700"/>
    <cellStyle name="40 % - Markeringsfarve5 5 2 7" xfId="11370"/>
    <cellStyle name="40 % - Markeringsfarve5 5 2 8" xfId="22176"/>
    <cellStyle name="40 % - Markeringsfarve5 5 2 9" xfId="22730"/>
    <cellStyle name="40 % - Markeringsfarve5 5 3" xfId="831"/>
    <cellStyle name="40 % - Markeringsfarve5 5 3 2" xfId="1663"/>
    <cellStyle name="40 % - Markeringsfarve5 5 3 2 2" xfId="3328"/>
    <cellStyle name="40 % - Markeringsfarve5 5 3 2 2 2" xfId="8316"/>
    <cellStyle name="40 % - Markeringsfarve5 5 3 2 2 2 2" xfId="19123"/>
    <cellStyle name="40 % - Markeringsfarve5 5 3 2 2 2 3" xfId="30480"/>
    <cellStyle name="40 % - Markeringsfarve5 5 3 2 2 3" xfId="14138"/>
    <cellStyle name="40 % - Markeringsfarve5 5 3 2 2 4" xfId="25496"/>
    <cellStyle name="40 % - Markeringsfarve5 5 3 2 3" xfId="4992"/>
    <cellStyle name="40 % - Markeringsfarve5 5 3 2 3 2" xfId="9977"/>
    <cellStyle name="40 % - Markeringsfarve5 5 3 2 3 2 2" xfId="20784"/>
    <cellStyle name="40 % - Markeringsfarve5 5 3 2 3 2 3" xfId="32141"/>
    <cellStyle name="40 % - Markeringsfarve5 5 3 2 3 3" xfId="15799"/>
    <cellStyle name="40 % - Markeringsfarve5 5 3 2 3 4" xfId="27157"/>
    <cellStyle name="40 % - Markeringsfarve5 5 3 2 4" xfId="6654"/>
    <cellStyle name="40 % - Markeringsfarve5 5 3 2 4 2" xfId="17462"/>
    <cellStyle name="40 % - Markeringsfarve5 5 3 2 4 3" xfId="28819"/>
    <cellStyle name="40 % - Markeringsfarve5 5 3 2 5" xfId="12477"/>
    <cellStyle name="40 % - Markeringsfarve5 5 3 2 6" xfId="23835"/>
    <cellStyle name="40 % - Markeringsfarve5 5 3 3" xfId="2497"/>
    <cellStyle name="40 % - Markeringsfarve5 5 3 3 2" xfId="7485"/>
    <cellStyle name="40 % - Markeringsfarve5 5 3 3 2 2" xfId="18292"/>
    <cellStyle name="40 % - Markeringsfarve5 5 3 3 2 3" xfId="29649"/>
    <cellStyle name="40 % - Markeringsfarve5 5 3 3 3" xfId="13307"/>
    <cellStyle name="40 % - Markeringsfarve5 5 3 3 4" xfId="24665"/>
    <cellStyle name="40 % - Markeringsfarve5 5 3 4" xfId="4161"/>
    <cellStyle name="40 % - Markeringsfarve5 5 3 4 2" xfId="9146"/>
    <cellStyle name="40 % - Markeringsfarve5 5 3 4 2 2" xfId="19953"/>
    <cellStyle name="40 % - Markeringsfarve5 5 3 4 2 3" xfId="31310"/>
    <cellStyle name="40 % - Markeringsfarve5 5 3 4 3" xfId="14968"/>
    <cellStyle name="40 % - Markeringsfarve5 5 3 4 4" xfId="26326"/>
    <cellStyle name="40 % - Markeringsfarve5 5 3 5" xfId="5823"/>
    <cellStyle name="40 % - Markeringsfarve5 5 3 5 2" xfId="16631"/>
    <cellStyle name="40 % - Markeringsfarve5 5 3 5 3" xfId="27988"/>
    <cellStyle name="40 % - Markeringsfarve5 5 3 6" xfId="10810"/>
    <cellStyle name="40 % - Markeringsfarve5 5 3 6 2" xfId="21617"/>
    <cellStyle name="40 % - Markeringsfarve5 5 3 6 3" xfId="32974"/>
    <cellStyle name="40 % - Markeringsfarve5 5 3 7" xfId="11645"/>
    <cellStyle name="40 % - Markeringsfarve5 5 3 8" xfId="23004"/>
    <cellStyle name="40 % - Markeringsfarve5 5 4" xfId="1110"/>
    <cellStyle name="40 % - Markeringsfarve5 5 4 2" xfId="2775"/>
    <cellStyle name="40 % - Markeringsfarve5 5 4 2 2" xfId="7763"/>
    <cellStyle name="40 % - Markeringsfarve5 5 4 2 2 2" xfId="18570"/>
    <cellStyle name="40 % - Markeringsfarve5 5 4 2 2 3" xfId="29927"/>
    <cellStyle name="40 % - Markeringsfarve5 5 4 2 3" xfId="13585"/>
    <cellStyle name="40 % - Markeringsfarve5 5 4 2 4" xfId="24943"/>
    <cellStyle name="40 % - Markeringsfarve5 5 4 3" xfId="4439"/>
    <cellStyle name="40 % - Markeringsfarve5 5 4 3 2" xfId="9424"/>
    <cellStyle name="40 % - Markeringsfarve5 5 4 3 2 2" xfId="20231"/>
    <cellStyle name="40 % - Markeringsfarve5 5 4 3 2 3" xfId="31588"/>
    <cellStyle name="40 % - Markeringsfarve5 5 4 3 3" xfId="15246"/>
    <cellStyle name="40 % - Markeringsfarve5 5 4 3 4" xfId="26604"/>
    <cellStyle name="40 % - Markeringsfarve5 5 4 4" xfId="6101"/>
    <cellStyle name="40 % - Markeringsfarve5 5 4 4 2" xfId="16909"/>
    <cellStyle name="40 % - Markeringsfarve5 5 4 4 3" xfId="28266"/>
    <cellStyle name="40 % - Markeringsfarve5 5 4 5" xfId="11924"/>
    <cellStyle name="40 % - Markeringsfarve5 5 4 6" xfId="23282"/>
    <cellStyle name="40 % - Markeringsfarve5 5 5" xfId="1945"/>
    <cellStyle name="40 % - Markeringsfarve5 5 5 2" xfId="6933"/>
    <cellStyle name="40 % - Markeringsfarve5 5 5 2 2" xfId="17741"/>
    <cellStyle name="40 % - Markeringsfarve5 5 5 2 3" xfId="29098"/>
    <cellStyle name="40 % - Markeringsfarve5 5 5 3" xfId="12756"/>
    <cellStyle name="40 % - Markeringsfarve5 5 5 4" xfId="24114"/>
    <cellStyle name="40 % - Markeringsfarve5 5 6" xfId="3610"/>
    <cellStyle name="40 % - Markeringsfarve5 5 6 2" xfId="8595"/>
    <cellStyle name="40 % - Markeringsfarve5 5 6 2 2" xfId="19402"/>
    <cellStyle name="40 % - Markeringsfarve5 5 6 2 3" xfId="30759"/>
    <cellStyle name="40 % - Markeringsfarve5 5 6 3" xfId="14417"/>
    <cellStyle name="40 % - Markeringsfarve5 5 6 4" xfId="25775"/>
    <cellStyle name="40 % - Markeringsfarve5 5 7" xfId="5271"/>
    <cellStyle name="40 % - Markeringsfarve5 5 7 2" xfId="16080"/>
    <cellStyle name="40 % - Markeringsfarve5 5 7 3" xfId="27437"/>
    <cellStyle name="40 % - Markeringsfarve5 5 8" xfId="10256"/>
    <cellStyle name="40 % - Markeringsfarve5 5 8 2" xfId="21063"/>
    <cellStyle name="40 % - Markeringsfarve5 5 8 3" xfId="32420"/>
    <cellStyle name="40 % - Markeringsfarve5 5 9" xfId="11090"/>
    <cellStyle name="40 % - Markeringsfarve5 6" xfId="295"/>
    <cellStyle name="40 % - Markeringsfarve5 6 10" xfId="21952"/>
    <cellStyle name="40 % - Markeringsfarve5 6 11" xfId="22505"/>
    <cellStyle name="40 % - Markeringsfarve5 6 12" xfId="33308"/>
    <cellStyle name="40 % - Markeringsfarve5 6 13" xfId="33583"/>
    <cellStyle name="40 % - Markeringsfarve5 6 14" xfId="33854"/>
    <cellStyle name="40 % - Markeringsfarve5 6 2" xfId="612"/>
    <cellStyle name="40 % - Markeringsfarve5 6 2 2" xfId="1444"/>
    <cellStyle name="40 % - Markeringsfarve5 6 2 2 2" xfId="3109"/>
    <cellStyle name="40 % - Markeringsfarve5 6 2 2 2 2" xfId="8097"/>
    <cellStyle name="40 % - Markeringsfarve5 6 2 2 2 2 2" xfId="18904"/>
    <cellStyle name="40 % - Markeringsfarve5 6 2 2 2 2 3" xfId="30261"/>
    <cellStyle name="40 % - Markeringsfarve5 6 2 2 2 3" xfId="13919"/>
    <cellStyle name="40 % - Markeringsfarve5 6 2 2 2 4" xfId="25277"/>
    <cellStyle name="40 % - Markeringsfarve5 6 2 2 3" xfId="4773"/>
    <cellStyle name="40 % - Markeringsfarve5 6 2 2 3 2" xfId="9758"/>
    <cellStyle name="40 % - Markeringsfarve5 6 2 2 3 2 2" xfId="20565"/>
    <cellStyle name="40 % - Markeringsfarve5 6 2 2 3 2 3" xfId="31922"/>
    <cellStyle name="40 % - Markeringsfarve5 6 2 2 3 3" xfId="15580"/>
    <cellStyle name="40 % - Markeringsfarve5 6 2 2 3 4" xfId="26938"/>
    <cellStyle name="40 % - Markeringsfarve5 6 2 2 4" xfId="6435"/>
    <cellStyle name="40 % - Markeringsfarve5 6 2 2 4 2" xfId="17243"/>
    <cellStyle name="40 % - Markeringsfarve5 6 2 2 4 3" xfId="28600"/>
    <cellStyle name="40 % - Markeringsfarve5 6 2 2 5" xfId="12258"/>
    <cellStyle name="40 % - Markeringsfarve5 6 2 2 6" xfId="23616"/>
    <cellStyle name="40 % - Markeringsfarve5 6 2 3" xfId="2278"/>
    <cellStyle name="40 % - Markeringsfarve5 6 2 3 2" xfId="7266"/>
    <cellStyle name="40 % - Markeringsfarve5 6 2 3 2 2" xfId="18073"/>
    <cellStyle name="40 % - Markeringsfarve5 6 2 3 2 3" xfId="29430"/>
    <cellStyle name="40 % - Markeringsfarve5 6 2 3 3" xfId="13088"/>
    <cellStyle name="40 % - Markeringsfarve5 6 2 3 4" xfId="24446"/>
    <cellStyle name="40 % - Markeringsfarve5 6 2 4" xfId="3942"/>
    <cellStyle name="40 % - Markeringsfarve5 6 2 4 2" xfId="8927"/>
    <cellStyle name="40 % - Markeringsfarve5 6 2 4 2 2" xfId="19734"/>
    <cellStyle name="40 % - Markeringsfarve5 6 2 4 2 3" xfId="31091"/>
    <cellStyle name="40 % - Markeringsfarve5 6 2 4 3" xfId="14749"/>
    <cellStyle name="40 % - Markeringsfarve5 6 2 4 4" xfId="26107"/>
    <cellStyle name="40 % - Markeringsfarve5 6 2 5" xfId="5604"/>
    <cellStyle name="40 % - Markeringsfarve5 6 2 5 2" xfId="16412"/>
    <cellStyle name="40 % - Markeringsfarve5 6 2 5 3" xfId="27769"/>
    <cellStyle name="40 % - Markeringsfarve5 6 2 6" xfId="10591"/>
    <cellStyle name="40 % - Markeringsfarve5 6 2 6 2" xfId="21398"/>
    <cellStyle name="40 % - Markeringsfarve5 6 2 6 3" xfId="32755"/>
    <cellStyle name="40 % - Markeringsfarve5 6 2 7" xfId="11425"/>
    <cellStyle name="40 % - Markeringsfarve5 6 2 8" xfId="22231"/>
    <cellStyle name="40 % - Markeringsfarve5 6 2 9" xfId="22785"/>
    <cellStyle name="40 % - Markeringsfarve5 6 3" xfId="886"/>
    <cellStyle name="40 % - Markeringsfarve5 6 3 2" xfId="1718"/>
    <cellStyle name="40 % - Markeringsfarve5 6 3 2 2" xfId="3383"/>
    <cellStyle name="40 % - Markeringsfarve5 6 3 2 2 2" xfId="8371"/>
    <cellStyle name="40 % - Markeringsfarve5 6 3 2 2 2 2" xfId="19178"/>
    <cellStyle name="40 % - Markeringsfarve5 6 3 2 2 2 3" xfId="30535"/>
    <cellStyle name="40 % - Markeringsfarve5 6 3 2 2 3" xfId="14193"/>
    <cellStyle name="40 % - Markeringsfarve5 6 3 2 2 4" xfId="25551"/>
    <cellStyle name="40 % - Markeringsfarve5 6 3 2 3" xfId="5047"/>
    <cellStyle name="40 % - Markeringsfarve5 6 3 2 3 2" xfId="10032"/>
    <cellStyle name="40 % - Markeringsfarve5 6 3 2 3 2 2" xfId="20839"/>
    <cellStyle name="40 % - Markeringsfarve5 6 3 2 3 2 3" xfId="32196"/>
    <cellStyle name="40 % - Markeringsfarve5 6 3 2 3 3" xfId="15854"/>
    <cellStyle name="40 % - Markeringsfarve5 6 3 2 3 4" xfId="27212"/>
    <cellStyle name="40 % - Markeringsfarve5 6 3 2 4" xfId="6709"/>
    <cellStyle name="40 % - Markeringsfarve5 6 3 2 4 2" xfId="17517"/>
    <cellStyle name="40 % - Markeringsfarve5 6 3 2 4 3" xfId="28874"/>
    <cellStyle name="40 % - Markeringsfarve5 6 3 2 5" xfId="12532"/>
    <cellStyle name="40 % - Markeringsfarve5 6 3 2 6" xfId="23890"/>
    <cellStyle name="40 % - Markeringsfarve5 6 3 3" xfId="2552"/>
    <cellStyle name="40 % - Markeringsfarve5 6 3 3 2" xfId="7540"/>
    <cellStyle name="40 % - Markeringsfarve5 6 3 3 2 2" xfId="18347"/>
    <cellStyle name="40 % - Markeringsfarve5 6 3 3 2 3" xfId="29704"/>
    <cellStyle name="40 % - Markeringsfarve5 6 3 3 3" xfId="13362"/>
    <cellStyle name="40 % - Markeringsfarve5 6 3 3 4" xfId="24720"/>
    <cellStyle name="40 % - Markeringsfarve5 6 3 4" xfId="4216"/>
    <cellStyle name="40 % - Markeringsfarve5 6 3 4 2" xfId="9201"/>
    <cellStyle name="40 % - Markeringsfarve5 6 3 4 2 2" xfId="20008"/>
    <cellStyle name="40 % - Markeringsfarve5 6 3 4 2 3" xfId="31365"/>
    <cellStyle name="40 % - Markeringsfarve5 6 3 4 3" xfId="15023"/>
    <cellStyle name="40 % - Markeringsfarve5 6 3 4 4" xfId="26381"/>
    <cellStyle name="40 % - Markeringsfarve5 6 3 5" xfId="5878"/>
    <cellStyle name="40 % - Markeringsfarve5 6 3 5 2" xfId="16686"/>
    <cellStyle name="40 % - Markeringsfarve5 6 3 5 3" xfId="28043"/>
    <cellStyle name="40 % - Markeringsfarve5 6 3 6" xfId="10865"/>
    <cellStyle name="40 % - Markeringsfarve5 6 3 6 2" xfId="21672"/>
    <cellStyle name="40 % - Markeringsfarve5 6 3 6 3" xfId="33029"/>
    <cellStyle name="40 % - Markeringsfarve5 6 3 7" xfId="11700"/>
    <cellStyle name="40 % - Markeringsfarve5 6 3 8" xfId="23059"/>
    <cellStyle name="40 % - Markeringsfarve5 6 4" xfId="1165"/>
    <cellStyle name="40 % - Markeringsfarve5 6 4 2" xfId="2830"/>
    <cellStyle name="40 % - Markeringsfarve5 6 4 2 2" xfId="7818"/>
    <cellStyle name="40 % - Markeringsfarve5 6 4 2 2 2" xfId="18625"/>
    <cellStyle name="40 % - Markeringsfarve5 6 4 2 2 3" xfId="29982"/>
    <cellStyle name="40 % - Markeringsfarve5 6 4 2 3" xfId="13640"/>
    <cellStyle name="40 % - Markeringsfarve5 6 4 2 4" xfId="24998"/>
    <cellStyle name="40 % - Markeringsfarve5 6 4 3" xfId="4494"/>
    <cellStyle name="40 % - Markeringsfarve5 6 4 3 2" xfId="9479"/>
    <cellStyle name="40 % - Markeringsfarve5 6 4 3 2 2" xfId="20286"/>
    <cellStyle name="40 % - Markeringsfarve5 6 4 3 2 3" xfId="31643"/>
    <cellStyle name="40 % - Markeringsfarve5 6 4 3 3" xfId="15301"/>
    <cellStyle name="40 % - Markeringsfarve5 6 4 3 4" xfId="26659"/>
    <cellStyle name="40 % - Markeringsfarve5 6 4 4" xfId="6156"/>
    <cellStyle name="40 % - Markeringsfarve5 6 4 4 2" xfId="16964"/>
    <cellStyle name="40 % - Markeringsfarve5 6 4 4 3" xfId="28321"/>
    <cellStyle name="40 % - Markeringsfarve5 6 4 5" xfId="11979"/>
    <cellStyle name="40 % - Markeringsfarve5 6 4 6" xfId="23337"/>
    <cellStyle name="40 % - Markeringsfarve5 6 5" xfId="2000"/>
    <cellStyle name="40 % - Markeringsfarve5 6 5 2" xfId="6988"/>
    <cellStyle name="40 % - Markeringsfarve5 6 5 2 2" xfId="17796"/>
    <cellStyle name="40 % - Markeringsfarve5 6 5 2 3" xfId="29153"/>
    <cellStyle name="40 % - Markeringsfarve5 6 5 3" xfId="12811"/>
    <cellStyle name="40 % - Markeringsfarve5 6 5 4" xfId="24169"/>
    <cellStyle name="40 % - Markeringsfarve5 6 6" xfId="3665"/>
    <cellStyle name="40 % - Markeringsfarve5 6 6 2" xfId="8650"/>
    <cellStyle name="40 % - Markeringsfarve5 6 6 2 2" xfId="19457"/>
    <cellStyle name="40 % - Markeringsfarve5 6 6 2 3" xfId="30814"/>
    <cellStyle name="40 % - Markeringsfarve5 6 6 3" xfId="14472"/>
    <cellStyle name="40 % - Markeringsfarve5 6 6 4" xfId="25830"/>
    <cellStyle name="40 % - Markeringsfarve5 6 7" xfId="5326"/>
    <cellStyle name="40 % - Markeringsfarve5 6 7 2" xfId="16135"/>
    <cellStyle name="40 % - Markeringsfarve5 6 7 3" xfId="27492"/>
    <cellStyle name="40 % - Markeringsfarve5 6 8" xfId="10311"/>
    <cellStyle name="40 % - Markeringsfarve5 6 8 2" xfId="21118"/>
    <cellStyle name="40 % - Markeringsfarve5 6 8 3" xfId="32475"/>
    <cellStyle name="40 % - Markeringsfarve5 6 9" xfId="11145"/>
    <cellStyle name="40 % - Markeringsfarve5 7" xfId="350"/>
    <cellStyle name="40 % - Markeringsfarve5 7 10" xfId="22007"/>
    <cellStyle name="40 % - Markeringsfarve5 7 11" xfId="22560"/>
    <cellStyle name="40 % - Markeringsfarve5 7 12" xfId="33363"/>
    <cellStyle name="40 % - Markeringsfarve5 7 13" xfId="33638"/>
    <cellStyle name="40 % - Markeringsfarve5 7 14" xfId="33909"/>
    <cellStyle name="40 % - Markeringsfarve5 7 2" xfId="667"/>
    <cellStyle name="40 % - Markeringsfarve5 7 2 2" xfId="1499"/>
    <cellStyle name="40 % - Markeringsfarve5 7 2 2 2" xfId="3164"/>
    <cellStyle name="40 % - Markeringsfarve5 7 2 2 2 2" xfId="8152"/>
    <cellStyle name="40 % - Markeringsfarve5 7 2 2 2 2 2" xfId="18959"/>
    <cellStyle name="40 % - Markeringsfarve5 7 2 2 2 2 3" xfId="30316"/>
    <cellStyle name="40 % - Markeringsfarve5 7 2 2 2 3" xfId="13974"/>
    <cellStyle name="40 % - Markeringsfarve5 7 2 2 2 4" xfId="25332"/>
    <cellStyle name="40 % - Markeringsfarve5 7 2 2 3" xfId="4828"/>
    <cellStyle name="40 % - Markeringsfarve5 7 2 2 3 2" xfId="9813"/>
    <cellStyle name="40 % - Markeringsfarve5 7 2 2 3 2 2" xfId="20620"/>
    <cellStyle name="40 % - Markeringsfarve5 7 2 2 3 2 3" xfId="31977"/>
    <cellStyle name="40 % - Markeringsfarve5 7 2 2 3 3" xfId="15635"/>
    <cellStyle name="40 % - Markeringsfarve5 7 2 2 3 4" xfId="26993"/>
    <cellStyle name="40 % - Markeringsfarve5 7 2 2 4" xfId="6490"/>
    <cellStyle name="40 % - Markeringsfarve5 7 2 2 4 2" xfId="17298"/>
    <cellStyle name="40 % - Markeringsfarve5 7 2 2 4 3" xfId="28655"/>
    <cellStyle name="40 % - Markeringsfarve5 7 2 2 5" xfId="12313"/>
    <cellStyle name="40 % - Markeringsfarve5 7 2 2 6" xfId="23671"/>
    <cellStyle name="40 % - Markeringsfarve5 7 2 3" xfId="2333"/>
    <cellStyle name="40 % - Markeringsfarve5 7 2 3 2" xfId="7321"/>
    <cellStyle name="40 % - Markeringsfarve5 7 2 3 2 2" xfId="18128"/>
    <cellStyle name="40 % - Markeringsfarve5 7 2 3 2 3" xfId="29485"/>
    <cellStyle name="40 % - Markeringsfarve5 7 2 3 3" xfId="13143"/>
    <cellStyle name="40 % - Markeringsfarve5 7 2 3 4" xfId="24501"/>
    <cellStyle name="40 % - Markeringsfarve5 7 2 4" xfId="3997"/>
    <cellStyle name="40 % - Markeringsfarve5 7 2 4 2" xfId="8982"/>
    <cellStyle name="40 % - Markeringsfarve5 7 2 4 2 2" xfId="19789"/>
    <cellStyle name="40 % - Markeringsfarve5 7 2 4 2 3" xfId="31146"/>
    <cellStyle name="40 % - Markeringsfarve5 7 2 4 3" xfId="14804"/>
    <cellStyle name="40 % - Markeringsfarve5 7 2 4 4" xfId="26162"/>
    <cellStyle name="40 % - Markeringsfarve5 7 2 5" xfId="5659"/>
    <cellStyle name="40 % - Markeringsfarve5 7 2 5 2" xfId="16467"/>
    <cellStyle name="40 % - Markeringsfarve5 7 2 5 3" xfId="27824"/>
    <cellStyle name="40 % - Markeringsfarve5 7 2 6" xfId="10646"/>
    <cellStyle name="40 % - Markeringsfarve5 7 2 6 2" xfId="21453"/>
    <cellStyle name="40 % - Markeringsfarve5 7 2 6 3" xfId="32810"/>
    <cellStyle name="40 % - Markeringsfarve5 7 2 7" xfId="11480"/>
    <cellStyle name="40 % - Markeringsfarve5 7 2 8" xfId="22286"/>
    <cellStyle name="40 % - Markeringsfarve5 7 2 9" xfId="22840"/>
    <cellStyle name="40 % - Markeringsfarve5 7 3" xfId="941"/>
    <cellStyle name="40 % - Markeringsfarve5 7 3 2" xfId="1773"/>
    <cellStyle name="40 % - Markeringsfarve5 7 3 2 2" xfId="3438"/>
    <cellStyle name="40 % - Markeringsfarve5 7 3 2 2 2" xfId="8426"/>
    <cellStyle name="40 % - Markeringsfarve5 7 3 2 2 2 2" xfId="19233"/>
    <cellStyle name="40 % - Markeringsfarve5 7 3 2 2 2 3" xfId="30590"/>
    <cellStyle name="40 % - Markeringsfarve5 7 3 2 2 3" xfId="14248"/>
    <cellStyle name="40 % - Markeringsfarve5 7 3 2 2 4" xfId="25606"/>
    <cellStyle name="40 % - Markeringsfarve5 7 3 2 3" xfId="5102"/>
    <cellStyle name="40 % - Markeringsfarve5 7 3 2 3 2" xfId="10087"/>
    <cellStyle name="40 % - Markeringsfarve5 7 3 2 3 2 2" xfId="20894"/>
    <cellStyle name="40 % - Markeringsfarve5 7 3 2 3 2 3" xfId="32251"/>
    <cellStyle name="40 % - Markeringsfarve5 7 3 2 3 3" xfId="15909"/>
    <cellStyle name="40 % - Markeringsfarve5 7 3 2 3 4" xfId="27267"/>
    <cellStyle name="40 % - Markeringsfarve5 7 3 2 4" xfId="6764"/>
    <cellStyle name="40 % - Markeringsfarve5 7 3 2 4 2" xfId="17572"/>
    <cellStyle name="40 % - Markeringsfarve5 7 3 2 4 3" xfId="28929"/>
    <cellStyle name="40 % - Markeringsfarve5 7 3 2 5" xfId="12587"/>
    <cellStyle name="40 % - Markeringsfarve5 7 3 2 6" xfId="23945"/>
    <cellStyle name="40 % - Markeringsfarve5 7 3 3" xfId="2607"/>
    <cellStyle name="40 % - Markeringsfarve5 7 3 3 2" xfId="7595"/>
    <cellStyle name="40 % - Markeringsfarve5 7 3 3 2 2" xfId="18402"/>
    <cellStyle name="40 % - Markeringsfarve5 7 3 3 2 3" xfId="29759"/>
    <cellStyle name="40 % - Markeringsfarve5 7 3 3 3" xfId="13417"/>
    <cellStyle name="40 % - Markeringsfarve5 7 3 3 4" xfId="24775"/>
    <cellStyle name="40 % - Markeringsfarve5 7 3 4" xfId="4271"/>
    <cellStyle name="40 % - Markeringsfarve5 7 3 4 2" xfId="9256"/>
    <cellStyle name="40 % - Markeringsfarve5 7 3 4 2 2" xfId="20063"/>
    <cellStyle name="40 % - Markeringsfarve5 7 3 4 2 3" xfId="31420"/>
    <cellStyle name="40 % - Markeringsfarve5 7 3 4 3" xfId="15078"/>
    <cellStyle name="40 % - Markeringsfarve5 7 3 4 4" xfId="26436"/>
    <cellStyle name="40 % - Markeringsfarve5 7 3 5" xfId="5933"/>
    <cellStyle name="40 % - Markeringsfarve5 7 3 5 2" xfId="16741"/>
    <cellStyle name="40 % - Markeringsfarve5 7 3 5 3" xfId="28098"/>
    <cellStyle name="40 % - Markeringsfarve5 7 3 6" xfId="10920"/>
    <cellStyle name="40 % - Markeringsfarve5 7 3 6 2" xfId="21727"/>
    <cellStyle name="40 % - Markeringsfarve5 7 3 6 3" xfId="33084"/>
    <cellStyle name="40 % - Markeringsfarve5 7 3 7" xfId="11755"/>
    <cellStyle name="40 % - Markeringsfarve5 7 3 8" xfId="23114"/>
    <cellStyle name="40 % - Markeringsfarve5 7 4" xfId="1220"/>
    <cellStyle name="40 % - Markeringsfarve5 7 4 2" xfId="2885"/>
    <cellStyle name="40 % - Markeringsfarve5 7 4 2 2" xfId="7873"/>
    <cellStyle name="40 % - Markeringsfarve5 7 4 2 2 2" xfId="18680"/>
    <cellStyle name="40 % - Markeringsfarve5 7 4 2 2 3" xfId="30037"/>
    <cellStyle name="40 % - Markeringsfarve5 7 4 2 3" xfId="13695"/>
    <cellStyle name="40 % - Markeringsfarve5 7 4 2 4" xfId="25053"/>
    <cellStyle name="40 % - Markeringsfarve5 7 4 3" xfId="4549"/>
    <cellStyle name="40 % - Markeringsfarve5 7 4 3 2" xfId="9534"/>
    <cellStyle name="40 % - Markeringsfarve5 7 4 3 2 2" xfId="20341"/>
    <cellStyle name="40 % - Markeringsfarve5 7 4 3 2 3" xfId="31698"/>
    <cellStyle name="40 % - Markeringsfarve5 7 4 3 3" xfId="15356"/>
    <cellStyle name="40 % - Markeringsfarve5 7 4 3 4" xfId="26714"/>
    <cellStyle name="40 % - Markeringsfarve5 7 4 4" xfId="6211"/>
    <cellStyle name="40 % - Markeringsfarve5 7 4 4 2" xfId="17019"/>
    <cellStyle name="40 % - Markeringsfarve5 7 4 4 3" xfId="28376"/>
    <cellStyle name="40 % - Markeringsfarve5 7 4 5" xfId="12034"/>
    <cellStyle name="40 % - Markeringsfarve5 7 4 6" xfId="23392"/>
    <cellStyle name="40 % - Markeringsfarve5 7 5" xfId="2055"/>
    <cellStyle name="40 % - Markeringsfarve5 7 5 2" xfId="7043"/>
    <cellStyle name="40 % - Markeringsfarve5 7 5 2 2" xfId="17851"/>
    <cellStyle name="40 % - Markeringsfarve5 7 5 2 3" xfId="29208"/>
    <cellStyle name="40 % - Markeringsfarve5 7 5 3" xfId="12866"/>
    <cellStyle name="40 % - Markeringsfarve5 7 5 4" xfId="24224"/>
    <cellStyle name="40 % - Markeringsfarve5 7 6" xfId="3720"/>
    <cellStyle name="40 % - Markeringsfarve5 7 6 2" xfId="8705"/>
    <cellStyle name="40 % - Markeringsfarve5 7 6 2 2" xfId="19512"/>
    <cellStyle name="40 % - Markeringsfarve5 7 6 2 3" xfId="30869"/>
    <cellStyle name="40 % - Markeringsfarve5 7 6 3" xfId="14527"/>
    <cellStyle name="40 % - Markeringsfarve5 7 6 4" xfId="25885"/>
    <cellStyle name="40 % - Markeringsfarve5 7 7" xfId="5381"/>
    <cellStyle name="40 % - Markeringsfarve5 7 7 2" xfId="16190"/>
    <cellStyle name="40 % - Markeringsfarve5 7 7 3" xfId="27547"/>
    <cellStyle name="40 % - Markeringsfarve5 7 8" xfId="10366"/>
    <cellStyle name="40 % - Markeringsfarve5 7 8 2" xfId="21173"/>
    <cellStyle name="40 % - Markeringsfarve5 7 8 3" xfId="32530"/>
    <cellStyle name="40 % - Markeringsfarve5 7 9" xfId="11200"/>
    <cellStyle name="40 % - Markeringsfarve5 8" xfId="451"/>
    <cellStyle name="40 % - Markeringsfarve5 8 2" xfId="1281"/>
    <cellStyle name="40 % - Markeringsfarve5 8 2 2" xfId="2946"/>
    <cellStyle name="40 % - Markeringsfarve5 8 2 2 2" xfId="7934"/>
    <cellStyle name="40 % - Markeringsfarve5 8 2 2 2 2" xfId="18741"/>
    <cellStyle name="40 % - Markeringsfarve5 8 2 2 2 3" xfId="30098"/>
    <cellStyle name="40 % - Markeringsfarve5 8 2 2 3" xfId="13756"/>
    <cellStyle name="40 % - Markeringsfarve5 8 2 2 4" xfId="25114"/>
    <cellStyle name="40 % - Markeringsfarve5 8 2 3" xfId="4610"/>
    <cellStyle name="40 % - Markeringsfarve5 8 2 3 2" xfId="9595"/>
    <cellStyle name="40 % - Markeringsfarve5 8 2 3 2 2" xfId="20402"/>
    <cellStyle name="40 % - Markeringsfarve5 8 2 3 2 3" xfId="31759"/>
    <cellStyle name="40 % - Markeringsfarve5 8 2 3 3" xfId="15417"/>
    <cellStyle name="40 % - Markeringsfarve5 8 2 3 4" xfId="26775"/>
    <cellStyle name="40 % - Markeringsfarve5 8 2 4" xfId="6272"/>
    <cellStyle name="40 % - Markeringsfarve5 8 2 4 2" xfId="17080"/>
    <cellStyle name="40 % - Markeringsfarve5 8 2 4 3" xfId="28437"/>
    <cellStyle name="40 % - Markeringsfarve5 8 2 5" xfId="12095"/>
    <cellStyle name="40 % - Markeringsfarve5 8 2 6" xfId="23453"/>
    <cellStyle name="40 % - Markeringsfarve5 8 3" xfId="2117"/>
    <cellStyle name="40 % - Markeringsfarve5 8 3 2" xfId="7105"/>
    <cellStyle name="40 % - Markeringsfarve5 8 3 2 2" xfId="17912"/>
    <cellStyle name="40 % - Markeringsfarve5 8 3 2 3" xfId="29269"/>
    <cellStyle name="40 % - Markeringsfarve5 8 3 3" xfId="12927"/>
    <cellStyle name="40 % - Markeringsfarve5 8 3 4" xfId="24285"/>
    <cellStyle name="40 % - Markeringsfarve5 8 4" xfId="3781"/>
    <cellStyle name="40 % - Markeringsfarve5 8 4 2" xfId="8766"/>
    <cellStyle name="40 % - Markeringsfarve5 8 4 2 2" xfId="19573"/>
    <cellStyle name="40 % - Markeringsfarve5 8 4 2 3" xfId="30930"/>
    <cellStyle name="40 % - Markeringsfarve5 8 4 3" xfId="14588"/>
    <cellStyle name="40 % - Markeringsfarve5 8 4 4" xfId="25946"/>
    <cellStyle name="40 % - Markeringsfarve5 8 5" xfId="5443"/>
    <cellStyle name="40 % - Markeringsfarve5 8 5 2" xfId="16251"/>
    <cellStyle name="40 % - Markeringsfarve5 8 5 3" xfId="27608"/>
    <cellStyle name="40 % - Markeringsfarve5 8 6" xfId="10418"/>
    <cellStyle name="40 % - Markeringsfarve5 8 6 2" xfId="21225"/>
    <cellStyle name="40 % - Markeringsfarve5 8 6 3" xfId="32582"/>
    <cellStyle name="40 % - Markeringsfarve5 8 7" xfId="11262"/>
    <cellStyle name="40 % - Markeringsfarve5 8 8" xfId="22068"/>
    <cellStyle name="40 % - Markeringsfarve5 8 9" xfId="22622"/>
    <cellStyle name="40 % - Markeringsfarve5 9" xfId="723"/>
    <cellStyle name="40 % - Markeringsfarve5 9 2" xfId="1555"/>
    <cellStyle name="40 % - Markeringsfarve5 9 2 2" xfId="3220"/>
    <cellStyle name="40 % - Markeringsfarve5 9 2 2 2" xfId="8208"/>
    <cellStyle name="40 % - Markeringsfarve5 9 2 2 2 2" xfId="19015"/>
    <cellStyle name="40 % - Markeringsfarve5 9 2 2 2 3" xfId="30372"/>
    <cellStyle name="40 % - Markeringsfarve5 9 2 2 3" xfId="14030"/>
    <cellStyle name="40 % - Markeringsfarve5 9 2 2 4" xfId="25388"/>
    <cellStyle name="40 % - Markeringsfarve5 9 2 3" xfId="4884"/>
    <cellStyle name="40 % - Markeringsfarve5 9 2 3 2" xfId="9869"/>
    <cellStyle name="40 % - Markeringsfarve5 9 2 3 2 2" xfId="20676"/>
    <cellStyle name="40 % - Markeringsfarve5 9 2 3 2 3" xfId="32033"/>
    <cellStyle name="40 % - Markeringsfarve5 9 2 3 3" xfId="15691"/>
    <cellStyle name="40 % - Markeringsfarve5 9 2 3 4" xfId="27049"/>
    <cellStyle name="40 % - Markeringsfarve5 9 2 4" xfId="6546"/>
    <cellStyle name="40 % - Markeringsfarve5 9 2 4 2" xfId="17354"/>
    <cellStyle name="40 % - Markeringsfarve5 9 2 4 3" xfId="28711"/>
    <cellStyle name="40 % - Markeringsfarve5 9 2 5" xfId="12369"/>
    <cellStyle name="40 % - Markeringsfarve5 9 2 6" xfId="23727"/>
    <cellStyle name="40 % - Markeringsfarve5 9 3" xfId="2389"/>
    <cellStyle name="40 % - Markeringsfarve5 9 3 2" xfId="7377"/>
    <cellStyle name="40 % - Markeringsfarve5 9 3 2 2" xfId="18184"/>
    <cellStyle name="40 % - Markeringsfarve5 9 3 2 3" xfId="29541"/>
    <cellStyle name="40 % - Markeringsfarve5 9 3 3" xfId="13199"/>
    <cellStyle name="40 % - Markeringsfarve5 9 3 4" xfId="24557"/>
    <cellStyle name="40 % - Markeringsfarve5 9 4" xfId="4053"/>
    <cellStyle name="40 % - Markeringsfarve5 9 4 2" xfId="9038"/>
    <cellStyle name="40 % - Markeringsfarve5 9 4 2 2" xfId="19845"/>
    <cellStyle name="40 % - Markeringsfarve5 9 4 2 3" xfId="31202"/>
    <cellStyle name="40 % - Markeringsfarve5 9 4 3" xfId="14860"/>
    <cellStyle name="40 % - Markeringsfarve5 9 4 4" xfId="26218"/>
    <cellStyle name="40 % - Markeringsfarve5 9 5" xfId="5715"/>
    <cellStyle name="40 % - Markeringsfarve5 9 5 2" xfId="16523"/>
    <cellStyle name="40 % - Markeringsfarve5 9 5 3" xfId="27880"/>
    <cellStyle name="40 % - Markeringsfarve5 9 6" xfId="10702"/>
    <cellStyle name="40 % - Markeringsfarve5 9 6 2" xfId="21509"/>
    <cellStyle name="40 % - Markeringsfarve5 9 6 3" xfId="32866"/>
    <cellStyle name="40 % - Markeringsfarve5 9 7" xfId="11537"/>
    <cellStyle name="40 % - Markeringsfarve5 9 8" xfId="22896"/>
    <cellStyle name="40 % - Markeringsfarve6" xfId="42" builtinId="51" customBuiltin="1"/>
    <cellStyle name="40 % - Markeringsfarve6 10" xfId="1004"/>
    <cellStyle name="40 % - Markeringsfarve6 10 2" xfId="2669"/>
    <cellStyle name="40 % - Markeringsfarve6 10 2 2" xfId="7657"/>
    <cellStyle name="40 % - Markeringsfarve6 10 2 2 2" xfId="18464"/>
    <cellStyle name="40 % - Markeringsfarve6 10 2 2 3" xfId="29821"/>
    <cellStyle name="40 % - Markeringsfarve6 10 2 3" xfId="13479"/>
    <cellStyle name="40 % - Markeringsfarve6 10 2 4" xfId="24837"/>
    <cellStyle name="40 % - Markeringsfarve6 10 3" xfId="4333"/>
    <cellStyle name="40 % - Markeringsfarve6 10 3 2" xfId="9318"/>
    <cellStyle name="40 % - Markeringsfarve6 10 3 2 2" xfId="20125"/>
    <cellStyle name="40 % - Markeringsfarve6 10 3 2 3" xfId="31482"/>
    <cellStyle name="40 % - Markeringsfarve6 10 3 3" xfId="15140"/>
    <cellStyle name="40 % - Markeringsfarve6 10 3 4" xfId="26498"/>
    <cellStyle name="40 % - Markeringsfarve6 10 4" xfId="5995"/>
    <cellStyle name="40 % - Markeringsfarve6 10 4 2" xfId="16803"/>
    <cellStyle name="40 % - Markeringsfarve6 10 4 3" xfId="28160"/>
    <cellStyle name="40 % - Markeringsfarve6 10 5" xfId="11818"/>
    <cellStyle name="40 % - Markeringsfarve6 10 6" xfId="23176"/>
    <cellStyle name="40 % - Markeringsfarve6 11" xfId="1839"/>
    <cellStyle name="40 % - Markeringsfarve6 11 2" xfId="6827"/>
    <cellStyle name="40 % - Markeringsfarve6 11 2 2" xfId="17635"/>
    <cellStyle name="40 % - Markeringsfarve6 11 2 3" xfId="28992"/>
    <cellStyle name="40 % - Markeringsfarve6 11 3" xfId="12650"/>
    <cellStyle name="40 % - Markeringsfarve6 11 4" xfId="24008"/>
    <cellStyle name="40 % - Markeringsfarve6 12" xfId="3504"/>
    <cellStyle name="40 % - Markeringsfarve6 12 2" xfId="8489"/>
    <cellStyle name="40 % - Markeringsfarve6 12 2 2" xfId="19296"/>
    <cellStyle name="40 % - Markeringsfarve6 12 2 3" xfId="30653"/>
    <cellStyle name="40 % - Markeringsfarve6 12 3" xfId="14311"/>
    <cellStyle name="40 % - Markeringsfarve6 12 4" xfId="25669"/>
    <cellStyle name="40 % - Markeringsfarve6 13" xfId="5165"/>
    <cellStyle name="40 % - Markeringsfarve6 13 2" xfId="15974"/>
    <cellStyle name="40 % - Markeringsfarve6 13 3" xfId="27331"/>
    <cellStyle name="40 % - Markeringsfarve6 14" xfId="10150"/>
    <cellStyle name="40 % - Markeringsfarve6 14 2" xfId="20957"/>
    <cellStyle name="40 % - Markeringsfarve6 14 3" xfId="32314"/>
    <cellStyle name="40 % - Markeringsfarve6 15" xfId="10984"/>
    <cellStyle name="40 % - Markeringsfarve6 16" xfId="21791"/>
    <cellStyle name="40 % - Markeringsfarve6 17" xfId="22344"/>
    <cellStyle name="40 % - Markeringsfarve6 18" xfId="33147"/>
    <cellStyle name="40 % - Markeringsfarve6 19" xfId="33421"/>
    <cellStyle name="40 % - Markeringsfarve6 2" xfId="77"/>
    <cellStyle name="40 % - Markeringsfarve6 2 10" xfId="3524"/>
    <cellStyle name="40 % - Markeringsfarve6 2 10 2" xfId="8509"/>
    <cellStyle name="40 % - Markeringsfarve6 2 10 2 2" xfId="19316"/>
    <cellStyle name="40 % - Markeringsfarve6 2 10 2 3" xfId="30673"/>
    <cellStyle name="40 % - Markeringsfarve6 2 10 3" xfId="14331"/>
    <cellStyle name="40 % - Markeringsfarve6 2 10 4" xfId="25689"/>
    <cellStyle name="40 % - Markeringsfarve6 2 11" xfId="5185"/>
    <cellStyle name="40 % - Markeringsfarve6 2 11 2" xfId="15994"/>
    <cellStyle name="40 % - Markeringsfarve6 2 11 3" xfId="27351"/>
    <cellStyle name="40 % - Markeringsfarve6 2 12" xfId="10169"/>
    <cellStyle name="40 % - Markeringsfarve6 2 12 2" xfId="20976"/>
    <cellStyle name="40 % - Markeringsfarve6 2 12 3" xfId="32333"/>
    <cellStyle name="40 % - Markeringsfarve6 2 13" xfId="11003"/>
    <cellStyle name="40 % - Markeringsfarve6 2 14" xfId="21810"/>
    <cellStyle name="40 % - Markeringsfarve6 2 15" xfId="22363"/>
    <cellStyle name="40 % - Markeringsfarve6 2 16" xfId="33166"/>
    <cellStyle name="40 % - Markeringsfarve6 2 17" xfId="33435"/>
    <cellStyle name="40 % - Markeringsfarve6 2 18" xfId="33706"/>
    <cellStyle name="40 % - Markeringsfarve6 2 2" xfId="206"/>
    <cellStyle name="40 % - Markeringsfarve6 2 2 10" xfId="21864"/>
    <cellStyle name="40 % - Markeringsfarve6 2 2 11" xfId="22417"/>
    <cellStyle name="40 % - Markeringsfarve6 2 2 12" xfId="33220"/>
    <cellStyle name="40 % - Markeringsfarve6 2 2 13" xfId="33495"/>
    <cellStyle name="40 % - Markeringsfarve6 2 2 14" xfId="33766"/>
    <cellStyle name="40 % - Markeringsfarve6 2 2 2" xfId="524"/>
    <cellStyle name="40 % - Markeringsfarve6 2 2 2 2" xfId="1356"/>
    <cellStyle name="40 % - Markeringsfarve6 2 2 2 2 2" xfId="3021"/>
    <cellStyle name="40 % - Markeringsfarve6 2 2 2 2 2 2" xfId="8009"/>
    <cellStyle name="40 % - Markeringsfarve6 2 2 2 2 2 2 2" xfId="18816"/>
    <cellStyle name="40 % - Markeringsfarve6 2 2 2 2 2 2 3" xfId="30173"/>
    <cellStyle name="40 % - Markeringsfarve6 2 2 2 2 2 3" xfId="13831"/>
    <cellStyle name="40 % - Markeringsfarve6 2 2 2 2 2 4" xfId="25189"/>
    <cellStyle name="40 % - Markeringsfarve6 2 2 2 2 3" xfId="4685"/>
    <cellStyle name="40 % - Markeringsfarve6 2 2 2 2 3 2" xfId="9670"/>
    <cellStyle name="40 % - Markeringsfarve6 2 2 2 2 3 2 2" xfId="20477"/>
    <cellStyle name="40 % - Markeringsfarve6 2 2 2 2 3 2 3" xfId="31834"/>
    <cellStyle name="40 % - Markeringsfarve6 2 2 2 2 3 3" xfId="15492"/>
    <cellStyle name="40 % - Markeringsfarve6 2 2 2 2 3 4" xfId="26850"/>
    <cellStyle name="40 % - Markeringsfarve6 2 2 2 2 4" xfId="6347"/>
    <cellStyle name="40 % - Markeringsfarve6 2 2 2 2 4 2" xfId="17155"/>
    <cellStyle name="40 % - Markeringsfarve6 2 2 2 2 4 3" xfId="28512"/>
    <cellStyle name="40 % - Markeringsfarve6 2 2 2 2 5" xfId="12170"/>
    <cellStyle name="40 % - Markeringsfarve6 2 2 2 2 6" xfId="23528"/>
    <cellStyle name="40 % - Markeringsfarve6 2 2 2 3" xfId="2190"/>
    <cellStyle name="40 % - Markeringsfarve6 2 2 2 3 2" xfId="7178"/>
    <cellStyle name="40 % - Markeringsfarve6 2 2 2 3 2 2" xfId="17985"/>
    <cellStyle name="40 % - Markeringsfarve6 2 2 2 3 2 3" xfId="29342"/>
    <cellStyle name="40 % - Markeringsfarve6 2 2 2 3 3" xfId="13000"/>
    <cellStyle name="40 % - Markeringsfarve6 2 2 2 3 4" xfId="24358"/>
    <cellStyle name="40 % - Markeringsfarve6 2 2 2 4" xfId="3854"/>
    <cellStyle name="40 % - Markeringsfarve6 2 2 2 4 2" xfId="8839"/>
    <cellStyle name="40 % - Markeringsfarve6 2 2 2 4 2 2" xfId="19646"/>
    <cellStyle name="40 % - Markeringsfarve6 2 2 2 4 2 3" xfId="31003"/>
    <cellStyle name="40 % - Markeringsfarve6 2 2 2 4 3" xfId="14661"/>
    <cellStyle name="40 % - Markeringsfarve6 2 2 2 4 4" xfId="26019"/>
    <cellStyle name="40 % - Markeringsfarve6 2 2 2 5" xfId="5516"/>
    <cellStyle name="40 % - Markeringsfarve6 2 2 2 5 2" xfId="16324"/>
    <cellStyle name="40 % - Markeringsfarve6 2 2 2 5 3" xfId="27681"/>
    <cellStyle name="40 % - Markeringsfarve6 2 2 2 6" xfId="10503"/>
    <cellStyle name="40 % - Markeringsfarve6 2 2 2 6 2" xfId="21310"/>
    <cellStyle name="40 % - Markeringsfarve6 2 2 2 6 3" xfId="32667"/>
    <cellStyle name="40 % - Markeringsfarve6 2 2 2 7" xfId="11337"/>
    <cellStyle name="40 % - Markeringsfarve6 2 2 2 8" xfId="22143"/>
    <cellStyle name="40 % - Markeringsfarve6 2 2 2 9" xfId="22697"/>
    <cellStyle name="40 % - Markeringsfarve6 2 2 3" xfId="798"/>
    <cellStyle name="40 % - Markeringsfarve6 2 2 3 2" xfId="1630"/>
    <cellStyle name="40 % - Markeringsfarve6 2 2 3 2 2" xfId="3295"/>
    <cellStyle name="40 % - Markeringsfarve6 2 2 3 2 2 2" xfId="8283"/>
    <cellStyle name="40 % - Markeringsfarve6 2 2 3 2 2 2 2" xfId="19090"/>
    <cellStyle name="40 % - Markeringsfarve6 2 2 3 2 2 2 3" xfId="30447"/>
    <cellStyle name="40 % - Markeringsfarve6 2 2 3 2 2 3" xfId="14105"/>
    <cellStyle name="40 % - Markeringsfarve6 2 2 3 2 2 4" xfId="25463"/>
    <cellStyle name="40 % - Markeringsfarve6 2 2 3 2 3" xfId="4959"/>
    <cellStyle name="40 % - Markeringsfarve6 2 2 3 2 3 2" xfId="9944"/>
    <cellStyle name="40 % - Markeringsfarve6 2 2 3 2 3 2 2" xfId="20751"/>
    <cellStyle name="40 % - Markeringsfarve6 2 2 3 2 3 2 3" xfId="32108"/>
    <cellStyle name="40 % - Markeringsfarve6 2 2 3 2 3 3" xfId="15766"/>
    <cellStyle name="40 % - Markeringsfarve6 2 2 3 2 3 4" xfId="27124"/>
    <cellStyle name="40 % - Markeringsfarve6 2 2 3 2 4" xfId="6621"/>
    <cellStyle name="40 % - Markeringsfarve6 2 2 3 2 4 2" xfId="17429"/>
    <cellStyle name="40 % - Markeringsfarve6 2 2 3 2 4 3" xfId="28786"/>
    <cellStyle name="40 % - Markeringsfarve6 2 2 3 2 5" xfId="12444"/>
    <cellStyle name="40 % - Markeringsfarve6 2 2 3 2 6" xfId="23802"/>
    <cellStyle name="40 % - Markeringsfarve6 2 2 3 3" xfId="2464"/>
    <cellStyle name="40 % - Markeringsfarve6 2 2 3 3 2" xfId="7452"/>
    <cellStyle name="40 % - Markeringsfarve6 2 2 3 3 2 2" xfId="18259"/>
    <cellStyle name="40 % - Markeringsfarve6 2 2 3 3 2 3" xfId="29616"/>
    <cellStyle name="40 % - Markeringsfarve6 2 2 3 3 3" xfId="13274"/>
    <cellStyle name="40 % - Markeringsfarve6 2 2 3 3 4" xfId="24632"/>
    <cellStyle name="40 % - Markeringsfarve6 2 2 3 4" xfId="4128"/>
    <cellStyle name="40 % - Markeringsfarve6 2 2 3 4 2" xfId="9113"/>
    <cellStyle name="40 % - Markeringsfarve6 2 2 3 4 2 2" xfId="19920"/>
    <cellStyle name="40 % - Markeringsfarve6 2 2 3 4 2 3" xfId="31277"/>
    <cellStyle name="40 % - Markeringsfarve6 2 2 3 4 3" xfId="14935"/>
    <cellStyle name="40 % - Markeringsfarve6 2 2 3 4 4" xfId="26293"/>
    <cellStyle name="40 % - Markeringsfarve6 2 2 3 5" xfId="5790"/>
    <cellStyle name="40 % - Markeringsfarve6 2 2 3 5 2" xfId="16598"/>
    <cellStyle name="40 % - Markeringsfarve6 2 2 3 5 3" xfId="27955"/>
    <cellStyle name="40 % - Markeringsfarve6 2 2 3 6" xfId="10777"/>
    <cellStyle name="40 % - Markeringsfarve6 2 2 3 6 2" xfId="21584"/>
    <cellStyle name="40 % - Markeringsfarve6 2 2 3 6 3" xfId="32941"/>
    <cellStyle name="40 % - Markeringsfarve6 2 2 3 7" xfId="11612"/>
    <cellStyle name="40 % - Markeringsfarve6 2 2 3 8" xfId="22971"/>
    <cellStyle name="40 % - Markeringsfarve6 2 2 4" xfId="1077"/>
    <cellStyle name="40 % - Markeringsfarve6 2 2 4 2" xfId="2742"/>
    <cellStyle name="40 % - Markeringsfarve6 2 2 4 2 2" xfId="7730"/>
    <cellStyle name="40 % - Markeringsfarve6 2 2 4 2 2 2" xfId="18537"/>
    <cellStyle name="40 % - Markeringsfarve6 2 2 4 2 2 3" xfId="29894"/>
    <cellStyle name="40 % - Markeringsfarve6 2 2 4 2 3" xfId="13552"/>
    <cellStyle name="40 % - Markeringsfarve6 2 2 4 2 4" xfId="24910"/>
    <cellStyle name="40 % - Markeringsfarve6 2 2 4 3" xfId="4406"/>
    <cellStyle name="40 % - Markeringsfarve6 2 2 4 3 2" xfId="9391"/>
    <cellStyle name="40 % - Markeringsfarve6 2 2 4 3 2 2" xfId="20198"/>
    <cellStyle name="40 % - Markeringsfarve6 2 2 4 3 2 3" xfId="31555"/>
    <cellStyle name="40 % - Markeringsfarve6 2 2 4 3 3" xfId="15213"/>
    <cellStyle name="40 % - Markeringsfarve6 2 2 4 3 4" xfId="26571"/>
    <cellStyle name="40 % - Markeringsfarve6 2 2 4 4" xfId="6068"/>
    <cellStyle name="40 % - Markeringsfarve6 2 2 4 4 2" xfId="16876"/>
    <cellStyle name="40 % - Markeringsfarve6 2 2 4 4 3" xfId="28233"/>
    <cellStyle name="40 % - Markeringsfarve6 2 2 4 5" xfId="11891"/>
    <cellStyle name="40 % - Markeringsfarve6 2 2 4 6" xfId="23249"/>
    <cellStyle name="40 % - Markeringsfarve6 2 2 5" xfId="1912"/>
    <cellStyle name="40 % - Markeringsfarve6 2 2 5 2" xfId="6900"/>
    <cellStyle name="40 % - Markeringsfarve6 2 2 5 2 2" xfId="17708"/>
    <cellStyle name="40 % - Markeringsfarve6 2 2 5 2 3" xfId="29065"/>
    <cellStyle name="40 % - Markeringsfarve6 2 2 5 3" xfId="12723"/>
    <cellStyle name="40 % - Markeringsfarve6 2 2 5 4" xfId="24081"/>
    <cellStyle name="40 % - Markeringsfarve6 2 2 6" xfId="3577"/>
    <cellStyle name="40 % - Markeringsfarve6 2 2 6 2" xfId="8562"/>
    <cellStyle name="40 % - Markeringsfarve6 2 2 6 2 2" xfId="19369"/>
    <cellStyle name="40 % - Markeringsfarve6 2 2 6 2 3" xfId="30726"/>
    <cellStyle name="40 % - Markeringsfarve6 2 2 6 3" xfId="14384"/>
    <cellStyle name="40 % - Markeringsfarve6 2 2 6 4" xfId="25742"/>
    <cellStyle name="40 % - Markeringsfarve6 2 2 7" xfId="5238"/>
    <cellStyle name="40 % - Markeringsfarve6 2 2 7 2" xfId="16047"/>
    <cellStyle name="40 % - Markeringsfarve6 2 2 7 3" xfId="27404"/>
    <cellStyle name="40 % - Markeringsfarve6 2 2 8" xfId="10223"/>
    <cellStyle name="40 % - Markeringsfarve6 2 2 8 2" xfId="21030"/>
    <cellStyle name="40 % - Markeringsfarve6 2 2 8 3" xfId="32387"/>
    <cellStyle name="40 % - Markeringsfarve6 2 2 9" xfId="11057"/>
    <cellStyle name="40 % - Markeringsfarve6 2 3" xfId="261"/>
    <cellStyle name="40 % - Markeringsfarve6 2 3 10" xfId="21918"/>
    <cellStyle name="40 % - Markeringsfarve6 2 3 11" xfId="22471"/>
    <cellStyle name="40 % - Markeringsfarve6 2 3 12" xfId="33274"/>
    <cellStyle name="40 % - Markeringsfarve6 2 3 13" xfId="33549"/>
    <cellStyle name="40 % - Markeringsfarve6 2 3 14" xfId="33820"/>
    <cellStyle name="40 % - Markeringsfarve6 2 3 2" xfId="578"/>
    <cellStyle name="40 % - Markeringsfarve6 2 3 2 2" xfId="1410"/>
    <cellStyle name="40 % - Markeringsfarve6 2 3 2 2 2" xfId="3075"/>
    <cellStyle name="40 % - Markeringsfarve6 2 3 2 2 2 2" xfId="8063"/>
    <cellStyle name="40 % - Markeringsfarve6 2 3 2 2 2 2 2" xfId="18870"/>
    <cellStyle name="40 % - Markeringsfarve6 2 3 2 2 2 2 3" xfId="30227"/>
    <cellStyle name="40 % - Markeringsfarve6 2 3 2 2 2 3" xfId="13885"/>
    <cellStyle name="40 % - Markeringsfarve6 2 3 2 2 2 4" xfId="25243"/>
    <cellStyle name="40 % - Markeringsfarve6 2 3 2 2 3" xfId="4739"/>
    <cellStyle name="40 % - Markeringsfarve6 2 3 2 2 3 2" xfId="9724"/>
    <cellStyle name="40 % - Markeringsfarve6 2 3 2 2 3 2 2" xfId="20531"/>
    <cellStyle name="40 % - Markeringsfarve6 2 3 2 2 3 2 3" xfId="31888"/>
    <cellStyle name="40 % - Markeringsfarve6 2 3 2 2 3 3" xfId="15546"/>
    <cellStyle name="40 % - Markeringsfarve6 2 3 2 2 3 4" xfId="26904"/>
    <cellStyle name="40 % - Markeringsfarve6 2 3 2 2 4" xfId="6401"/>
    <cellStyle name="40 % - Markeringsfarve6 2 3 2 2 4 2" xfId="17209"/>
    <cellStyle name="40 % - Markeringsfarve6 2 3 2 2 4 3" xfId="28566"/>
    <cellStyle name="40 % - Markeringsfarve6 2 3 2 2 5" xfId="12224"/>
    <cellStyle name="40 % - Markeringsfarve6 2 3 2 2 6" xfId="23582"/>
    <cellStyle name="40 % - Markeringsfarve6 2 3 2 3" xfId="2244"/>
    <cellStyle name="40 % - Markeringsfarve6 2 3 2 3 2" xfId="7232"/>
    <cellStyle name="40 % - Markeringsfarve6 2 3 2 3 2 2" xfId="18039"/>
    <cellStyle name="40 % - Markeringsfarve6 2 3 2 3 2 3" xfId="29396"/>
    <cellStyle name="40 % - Markeringsfarve6 2 3 2 3 3" xfId="13054"/>
    <cellStyle name="40 % - Markeringsfarve6 2 3 2 3 4" xfId="24412"/>
    <cellStyle name="40 % - Markeringsfarve6 2 3 2 4" xfId="3908"/>
    <cellStyle name="40 % - Markeringsfarve6 2 3 2 4 2" xfId="8893"/>
    <cellStyle name="40 % - Markeringsfarve6 2 3 2 4 2 2" xfId="19700"/>
    <cellStyle name="40 % - Markeringsfarve6 2 3 2 4 2 3" xfId="31057"/>
    <cellStyle name="40 % - Markeringsfarve6 2 3 2 4 3" xfId="14715"/>
    <cellStyle name="40 % - Markeringsfarve6 2 3 2 4 4" xfId="26073"/>
    <cellStyle name="40 % - Markeringsfarve6 2 3 2 5" xfId="5570"/>
    <cellStyle name="40 % - Markeringsfarve6 2 3 2 5 2" xfId="16378"/>
    <cellStyle name="40 % - Markeringsfarve6 2 3 2 5 3" xfId="27735"/>
    <cellStyle name="40 % - Markeringsfarve6 2 3 2 6" xfId="10557"/>
    <cellStyle name="40 % - Markeringsfarve6 2 3 2 6 2" xfId="21364"/>
    <cellStyle name="40 % - Markeringsfarve6 2 3 2 6 3" xfId="32721"/>
    <cellStyle name="40 % - Markeringsfarve6 2 3 2 7" xfId="11391"/>
    <cellStyle name="40 % - Markeringsfarve6 2 3 2 8" xfId="22197"/>
    <cellStyle name="40 % - Markeringsfarve6 2 3 2 9" xfId="22751"/>
    <cellStyle name="40 % - Markeringsfarve6 2 3 3" xfId="852"/>
    <cellStyle name="40 % - Markeringsfarve6 2 3 3 2" xfId="1684"/>
    <cellStyle name="40 % - Markeringsfarve6 2 3 3 2 2" xfId="3349"/>
    <cellStyle name="40 % - Markeringsfarve6 2 3 3 2 2 2" xfId="8337"/>
    <cellStyle name="40 % - Markeringsfarve6 2 3 3 2 2 2 2" xfId="19144"/>
    <cellStyle name="40 % - Markeringsfarve6 2 3 3 2 2 2 3" xfId="30501"/>
    <cellStyle name="40 % - Markeringsfarve6 2 3 3 2 2 3" xfId="14159"/>
    <cellStyle name="40 % - Markeringsfarve6 2 3 3 2 2 4" xfId="25517"/>
    <cellStyle name="40 % - Markeringsfarve6 2 3 3 2 3" xfId="5013"/>
    <cellStyle name="40 % - Markeringsfarve6 2 3 3 2 3 2" xfId="9998"/>
    <cellStyle name="40 % - Markeringsfarve6 2 3 3 2 3 2 2" xfId="20805"/>
    <cellStyle name="40 % - Markeringsfarve6 2 3 3 2 3 2 3" xfId="32162"/>
    <cellStyle name="40 % - Markeringsfarve6 2 3 3 2 3 3" xfId="15820"/>
    <cellStyle name="40 % - Markeringsfarve6 2 3 3 2 3 4" xfId="27178"/>
    <cellStyle name="40 % - Markeringsfarve6 2 3 3 2 4" xfId="6675"/>
    <cellStyle name="40 % - Markeringsfarve6 2 3 3 2 4 2" xfId="17483"/>
    <cellStyle name="40 % - Markeringsfarve6 2 3 3 2 4 3" xfId="28840"/>
    <cellStyle name="40 % - Markeringsfarve6 2 3 3 2 5" xfId="12498"/>
    <cellStyle name="40 % - Markeringsfarve6 2 3 3 2 6" xfId="23856"/>
    <cellStyle name="40 % - Markeringsfarve6 2 3 3 3" xfId="2518"/>
    <cellStyle name="40 % - Markeringsfarve6 2 3 3 3 2" xfId="7506"/>
    <cellStyle name="40 % - Markeringsfarve6 2 3 3 3 2 2" xfId="18313"/>
    <cellStyle name="40 % - Markeringsfarve6 2 3 3 3 2 3" xfId="29670"/>
    <cellStyle name="40 % - Markeringsfarve6 2 3 3 3 3" xfId="13328"/>
    <cellStyle name="40 % - Markeringsfarve6 2 3 3 3 4" xfId="24686"/>
    <cellStyle name="40 % - Markeringsfarve6 2 3 3 4" xfId="4182"/>
    <cellStyle name="40 % - Markeringsfarve6 2 3 3 4 2" xfId="9167"/>
    <cellStyle name="40 % - Markeringsfarve6 2 3 3 4 2 2" xfId="19974"/>
    <cellStyle name="40 % - Markeringsfarve6 2 3 3 4 2 3" xfId="31331"/>
    <cellStyle name="40 % - Markeringsfarve6 2 3 3 4 3" xfId="14989"/>
    <cellStyle name="40 % - Markeringsfarve6 2 3 3 4 4" xfId="26347"/>
    <cellStyle name="40 % - Markeringsfarve6 2 3 3 5" xfId="5844"/>
    <cellStyle name="40 % - Markeringsfarve6 2 3 3 5 2" xfId="16652"/>
    <cellStyle name="40 % - Markeringsfarve6 2 3 3 5 3" xfId="28009"/>
    <cellStyle name="40 % - Markeringsfarve6 2 3 3 6" xfId="10831"/>
    <cellStyle name="40 % - Markeringsfarve6 2 3 3 6 2" xfId="21638"/>
    <cellStyle name="40 % - Markeringsfarve6 2 3 3 6 3" xfId="32995"/>
    <cellStyle name="40 % - Markeringsfarve6 2 3 3 7" xfId="11666"/>
    <cellStyle name="40 % - Markeringsfarve6 2 3 3 8" xfId="23025"/>
    <cellStyle name="40 % - Markeringsfarve6 2 3 4" xfId="1131"/>
    <cellStyle name="40 % - Markeringsfarve6 2 3 4 2" xfId="2796"/>
    <cellStyle name="40 % - Markeringsfarve6 2 3 4 2 2" xfId="7784"/>
    <cellStyle name="40 % - Markeringsfarve6 2 3 4 2 2 2" xfId="18591"/>
    <cellStyle name="40 % - Markeringsfarve6 2 3 4 2 2 3" xfId="29948"/>
    <cellStyle name="40 % - Markeringsfarve6 2 3 4 2 3" xfId="13606"/>
    <cellStyle name="40 % - Markeringsfarve6 2 3 4 2 4" xfId="24964"/>
    <cellStyle name="40 % - Markeringsfarve6 2 3 4 3" xfId="4460"/>
    <cellStyle name="40 % - Markeringsfarve6 2 3 4 3 2" xfId="9445"/>
    <cellStyle name="40 % - Markeringsfarve6 2 3 4 3 2 2" xfId="20252"/>
    <cellStyle name="40 % - Markeringsfarve6 2 3 4 3 2 3" xfId="31609"/>
    <cellStyle name="40 % - Markeringsfarve6 2 3 4 3 3" xfId="15267"/>
    <cellStyle name="40 % - Markeringsfarve6 2 3 4 3 4" xfId="26625"/>
    <cellStyle name="40 % - Markeringsfarve6 2 3 4 4" xfId="6122"/>
    <cellStyle name="40 % - Markeringsfarve6 2 3 4 4 2" xfId="16930"/>
    <cellStyle name="40 % - Markeringsfarve6 2 3 4 4 3" xfId="28287"/>
    <cellStyle name="40 % - Markeringsfarve6 2 3 4 5" xfId="11945"/>
    <cellStyle name="40 % - Markeringsfarve6 2 3 4 6" xfId="23303"/>
    <cellStyle name="40 % - Markeringsfarve6 2 3 5" xfId="1966"/>
    <cellStyle name="40 % - Markeringsfarve6 2 3 5 2" xfId="6954"/>
    <cellStyle name="40 % - Markeringsfarve6 2 3 5 2 2" xfId="17762"/>
    <cellStyle name="40 % - Markeringsfarve6 2 3 5 2 3" xfId="29119"/>
    <cellStyle name="40 % - Markeringsfarve6 2 3 5 3" xfId="12777"/>
    <cellStyle name="40 % - Markeringsfarve6 2 3 5 4" xfId="24135"/>
    <cellStyle name="40 % - Markeringsfarve6 2 3 6" xfId="3631"/>
    <cellStyle name="40 % - Markeringsfarve6 2 3 6 2" xfId="8616"/>
    <cellStyle name="40 % - Markeringsfarve6 2 3 6 2 2" xfId="19423"/>
    <cellStyle name="40 % - Markeringsfarve6 2 3 6 2 3" xfId="30780"/>
    <cellStyle name="40 % - Markeringsfarve6 2 3 6 3" xfId="14438"/>
    <cellStyle name="40 % - Markeringsfarve6 2 3 6 4" xfId="25796"/>
    <cellStyle name="40 % - Markeringsfarve6 2 3 7" xfId="5292"/>
    <cellStyle name="40 % - Markeringsfarve6 2 3 7 2" xfId="16101"/>
    <cellStyle name="40 % - Markeringsfarve6 2 3 7 3" xfId="27458"/>
    <cellStyle name="40 % - Markeringsfarve6 2 3 8" xfId="10277"/>
    <cellStyle name="40 % - Markeringsfarve6 2 3 8 2" xfId="21084"/>
    <cellStyle name="40 % - Markeringsfarve6 2 3 8 3" xfId="32441"/>
    <cellStyle name="40 % - Markeringsfarve6 2 3 9" xfId="11111"/>
    <cellStyle name="40 % - Markeringsfarve6 2 4" xfId="316"/>
    <cellStyle name="40 % - Markeringsfarve6 2 4 10" xfId="21973"/>
    <cellStyle name="40 % - Markeringsfarve6 2 4 11" xfId="22526"/>
    <cellStyle name="40 % - Markeringsfarve6 2 4 12" xfId="33329"/>
    <cellStyle name="40 % - Markeringsfarve6 2 4 13" xfId="33604"/>
    <cellStyle name="40 % - Markeringsfarve6 2 4 14" xfId="33875"/>
    <cellStyle name="40 % - Markeringsfarve6 2 4 2" xfId="633"/>
    <cellStyle name="40 % - Markeringsfarve6 2 4 2 2" xfId="1465"/>
    <cellStyle name="40 % - Markeringsfarve6 2 4 2 2 2" xfId="3130"/>
    <cellStyle name="40 % - Markeringsfarve6 2 4 2 2 2 2" xfId="8118"/>
    <cellStyle name="40 % - Markeringsfarve6 2 4 2 2 2 2 2" xfId="18925"/>
    <cellStyle name="40 % - Markeringsfarve6 2 4 2 2 2 2 3" xfId="30282"/>
    <cellStyle name="40 % - Markeringsfarve6 2 4 2 2 2 3" xfId="13940"/>
    <cellStyle name="40 % - Markeringsfarve6 2 4 2 2 2 4" xfId="25298"/>
    <cellStyle name="40 % - Markeringsfarve6 2 4 2 2 3" xfId="4794"/>
    <cellStyle name="40 % - Markeringsfarve6 2 4 2 2 3 2" xfId="9779"/>
    <cellStyle name="40 % - Markeringsfarve6 2 4 2 2 3 2 2" xfId="20586"/>
    <cellStyle name="40 % - Markeringsfarve6 2 4 2 2 3 2 3" xfId="31943"/>
    <cellStyle name="40 % - Markeringsfarve6 2 4 2 2 3 3" xfId="15601"/>
    <cellStyle name="40 % - Markeringsfarve6 2 4 2 2 3 4" xfId="26959"/>
    <cellStyle name="40 % - Markeringsfarve6 2 4 2 2 4" xfId="6456"/>
    <cellStyle name="40 % - Markeringsfarve6 2 4 2 2 4 2" xfId="17264"/>
    <cellStyle name="40 % - Markeringsfarve6 2 4 2 2 4 3" xfId="28621"/>
    <cellStyle name="40 % - Markeringsfarve6 2 4 2 2 5" xfId="12279"/>
    <cellStyle name="40 % - Markeringsfarve6 2 4 2 2 6" xfId="23637"/>
    <cellStyle name="40 % - Markeringsfarve6 2 4 2 3" xfId="2299"/>
    <cellStyle name="40 % - Markeringsfarve6 2 4 2 3 2" xfId="7287"/>
    <cellStyle name="40 % - Markeringsfarve6 2 4 2 3 2 2" xfId="18094"/>
    <cellStyle name="40 % - Markeringsfarve6 2 4 2 3 2 3" xfId="29451"/>
    <cellStyle name="40 % - Markeringsfarve6 2 4 2 3 3" xfId="13109"/>
    <cellStyle name="40 % - Markeringsfarve6 2 4 2 3 4" xfId="24467"/>
    <cellStyle name="40 % - Markeringsfarve6 2 4 2 4" xfId="3963"/>
    <cellStyle name="40 % - Markeringsfarve6 2 4 2 4 2" xfId="8948"/>
    <cellStyle name="40 % - Markeringsfarve6 2 4 2 4 2 2" xfId="19755"/>
    <cellStyle name="40 % - Markeringsfarve6 2 4 2 4 2 3" xfId="31112"/>
    <cellStyle name="40 % - Markeringsfarve6 2 4 2 4 3" xfId="14770"/>
    <cellStyle name="40 % - Markeringsfarve6 2 4 2 4 4" xfId="26128"/>
    <cellStyle name="40 % - Markeringsfarve6 2 4 2 5" xfId="5625"/>
    <cellStyle name="40 % - Markeringsfarve6 2 4 2 5 2" xfId="16433"/>
    <cellStyle name="40 % - Markeringsfarve6 2 4 2 5 3" xfId="27790"/>
    <cellStyle name="40 % - Markeringsfarve6 2 4 2 6" xfId="10612"/>
    <cellStyle name="40 % - Markeringsfarve6 2 4 2 6 2" xfId="21419"/>
    <cellStyle name="40 % - Markeringsfarve6 2 4 2 6 3" xfId="32776"/>
    <cellStyle name="40 % - Markeringsfarve6 2 4 2 7" xfId="11446"/>
    <cellStyle name="40 % - Markeringsfarve6 2 4 2 8" xfId="22252"/>
    <cellStyle name="40 % - Markeringsfarve6 2 4 2 9" xfId="22806"/>
    <cellStyle name="40 % - Markeringsfarve6 2 4 3" xfId="907"/>
    <cellStyle name="40 % - Markeringsfarve6 2 4 3 2" xfId="1739"/>
    <cellStyle name="40 % - Markeringsfarve6 2 4 3 2 2" xfId="3404"/>
    <cellStyle name="40 % - Markeringsfarve6 2 4 3 2 2 2" xfId="8392"/>
    <cellStyle name="40 % - Markeringsfarve6 2 4 3 2 2 2 2" xfId="19199"/>
    <cellStyle name="40 % - Markeringsfarve6 2 4 3 2 2 2 3" xfId="30556"/>
    <cellStyle name="40 % - Markeringsfarve6 2 4 3 2 2 3" xfId="14214"/>
    <cellStyle name="40 % - Markeringsfarve6 2 4 3 2 2 4" xfId="25572"/>
    <cellStyle name="40 % - Markeringsfarve6 2 4 3 2 3" xfId="5068"/>
    <cellStyle name="40 % - Markeringsfarve6 2 4 3 2 3 2" xfId="10053"/>
    <cellStyle name="40 % - Markeringsfarve6 2 4 3 2 3 2 2" xfId="20860"/>
    <cellStyle name="40 % - Markeringsfarve6 2 4 3 2 3 2 3" xfId="32217"/>
    <cellStyle name="40 % - Markeringsfarve6 2 4 3 2 3 3" xfId="15875"/>
    <cellStyle name="40 % - Markeringsfarve6 2 4 3 2 3 4" xfId="27233"/>
    <cellStyle name="40 % - Markeringsfarve6 2 4 3 2 4" xfId="6730"/>
    <cellStyle name="40 % - Markeringsfarve6 2 4 3 2 4 2" xfId="17538"/>
    <cellStyle name="40 % - Markeringsfarve6 2 4 3 2 4 3" xfId="28895"/>
    <cellStyle name="40 % - Markeringsfarve6 2 4 3 2 5" xfId="12553"/>
    <cellStyle name="40 % - Markeringsfarve6 2 4 3 2 6" xfId="23911"/>
    <cellStyle name="40 % - Markeringsfarve6 2 4 3 3" xfId="2573"/>
    <cellStyle name="40 % - Markeringsfarve6 2 4 3 3 2" xfId="7561"/>
    <cellStyle name="40 % - Markeringsfarve6 2 4 3 3 2 2" xfId="18368"/>
    <cellStyle name="40 % - Markeringsfarve6 2 4 3 3 2 3" xfId="29725"/>
    <cellStyle name="40 % - Markeringsfarve6 2 4 3 3 3" xfId="13383"/>
    <cellStyle name="40 % - Markeringsfarve6 2 4 3 3 4" xfId="24741"/>
    <cellStyle name="40 % - Markeringsfarve6 2 4 3 4" xfId="4237"/>
    <cellStyle name="40 % - Markeringsfarve6 2 4 3 4 2" xfId="9222"/>
    <cellStyle name="40 % - Markeringsfarve6 2 4 3 4 2 2" xfId="20029"/>
    <cellStyle name="40 % - Markeringsfarve6 2 4 3 4 2 3" xfId="31386"/>
    <cellStyle name="40 % - Markeringsfarve6 2 4 3 4 3" xfId="15044"/>
    <cellStyle name="40 % - Markeringsfarve6 2 4 3 4 4" xfId="26402"/>
    <cellStyle name="40 % - Markeringsfarve6 2 4 3 5" xfId="5899"/>
    <cellStyle name="40 % - Markeringsfarve6 2 4 3 5 2" xfId="16707"/>
    <cellStyle name="40 % - Markeringsfarve6 2 4 3 5 3" xfId="28064"/>
    <cellStyle name="40 % - Markeringsfarve6 2 4 3 6" xfId="10886"/>
    <cellStyle name="40 % - Markeringsfarve6 2 4 3 6 2" xfId="21693"/>
    <cellStyle name="40 % - Markeringsfarve6 2 4 3 6 3" xfId="33050"/>
    <cellStyle name="40 % - Markeringsfarve6 2 4 3 7" xfId="11721"/>
    <cellStyle name="40 % - Markeringsfarve6 2 4 3 8" xfId="23080"/>
    <cellStyle name="40 % - Markeringsfarve6 2 4 4" xfId="1186"/>
    <cellStyle name="40 % - Markeringsfarve6 2 4 4 2" xfId="2851"/>
    <cellStyle name="40 % - Markeringsfarve6 2 4 4 2 2" xfId="7839"/>
    <cellStyle name="40 % - Markeringsfarve6 2 4 4 2 2 2" xfId="18646"/>
    <cellStyle name="40 % - Markeringsfarve6 2 4 4 2 2 3" xfId="30003"/>
    <cellStyle name="40 % - Markeringsfarve6 2 4 4 2 3" xfId="13661"/>
    <cellStyle name="40 % - Markeringsfarve6 2 4 4 2 4" xfId="25019"/>
    <cellStyle name="40 % - Markeringsfarve6 2 4 4 3" xfId="4515"/>
    <cellStyle name="40 % - Markeringsfarve6 2 4 4 3 2" xfId="9500"/>
    <cellStyle name="40 % - Markeringsfarve6 2 4 4 3 2 2" xfId="20307"/>
    <cellStyle name="40 % - Markeringsfarve6 2 4 4 3 2 3" xfId="31664"/>
    <cellStyle name="40 % - Markeringsfarve6 2 4 4 3 3" xfId="15322"/>
    <cellStyle name="40 % - Markeringsfarve6 2 4 4 3 4" xfId="26680"/>
    <cellStyle name="40 % - Markeringsfarve6 2 4 4 4" xfId="6177"/>
    <cellStyle name="40 % - Markeringsfarve6 2 4 4 4 2" xfId="16985"/>
    <cellStyle name="40 % - Markeringsfarve6 2 4 4 4 3" xfId="28342"/>
    <cellStyle name="40 % - Markeringsfarve6 2 4 4 5" xfId="12000"/>
    <cellStyle name="40 % - Markeringsfarve6 2 4 4 6" xfId="23358"/>
    <cellStyle name="40 % - Markeringsfarve6 2 4 5" xfId="2021"/>
    <cellStyle name="40 % - Markeringsfarve6 2 4 5 2" xfId="7009"/>
    <cellStyle name="40 % - Markeringsfarve6 2 4 5 2 2" xfId="17817"/>
    <cellStyle name="40 % - Markeringsfarve6 2 4 5 2 3" xfId="29174"/>
    <cellStyle name="40 % - Markeringsfarve6 2 4 5 3" xfId="12832"/>
    <cellStyle name="40 % - Markeringsfarve6 2 4 5 4" xfId="24190"/>
    <cellStyle name="40 % - Markeringsfarve6 2 4 6" xfId="3686"/>
    <cellStyle name="40 % - Markeringsfarve6 2 4 6 2" xfId="8671"/>
    <cellStyle name="40 % - Markeringsfarve6 2 4 6 2 2" xfId="19478"/>
    <cellStyle name="40 % - Markeringsfarve6 2 4 6 2 3" xfId="30835"/>
    <cellStyle name="40 % - Markeringsfarve6 2 4 6 3" xfId="14493"/>
    <cellStyle name="40 % - Markeringsfarve6 2 4 6 4" xfId="25851"/>
    <cellStyle name="40 % - Markeringsfarve6 2 4 7" xfId="5347"/>
    <cellStyle name="40 % - Markeringsfarve6 2 4 7 2" xfId="16156"/>
    <cellStyle name="40 % - Markeringsfarve6 2 4 7 3" xfId="27513"/>
    <cellStyle name="40 % - Markeringsfarve6 2 4 8" xfId="10332"/>
    <cellStyle name="40 % - Markeringsfarve6 2 4 8 2" xfId="21139"/>
    <cellStyle name="40 % - Markeringsfarve6 2 4 8 3" xfId="32496"/>
    <cellStyle name="40 % - Markeringsfarve6 2 4 9" xfId="11166"/>
    <cellStyle name="40 % - Markeringsfarve6 2 5" xfId="372"/>
    <cellStyle name="40 % - Markeringsfarve6 2 5 10" xfId="22029"/>
    <cellStyle name="40 % - Markeringsfarve6 2 5 11" xfId="22582"/>
    <cellStyle name="40 % - Markeringsfarve6 2 5 12" xfId="33385"/>
    <cellStyle name="40 % - Markeringsfarve6 2 5 13" xfId="33660"/>
    <cellStyle name="40 % - Markeringsfarve6 2 5 14" xfId="33931"/>
    <cellStyle name="40 % - Markeringsfarve6 2 5 2" xfId="689"/>
    <cellStyle name="40 % - Markeringsfarve6 2 5 2 2" xfId="1521"/>
    <cellStyle name="40 % - Markeringsfarve6 2 5 2 2 2" xfId="3186"/>
    <cellStyle name="40 % - Markeringsfarve6 2 5 2 2 2 2" xfId="8174"/>
    <cellStyle name="40 % - Markeringsfarve6 2 5 2 2 2 2 2" xfId="18981"/>
    <cellStyle name="40 % - Markeringsfarve6 2 5 2 2 2 2 3" xfId="30338"/>
    <cellStyle name="40 % - Markeringsfarve6 2 5 2 2 2 3" xfId="13996"/>
    <cellStyle name="40 % - Markeringsfarve6 2 5 2 2 2 4" xfId="25354"/>
    <cellStyle name="40 % - Markeringsfarve6 2 5 2 2 3" xfId="4850"/>
    <cellStyle name="40 % - Markeringsfarve6 2 5 2 2 3 2" xfId="9835"/>
    <cellStyle name="40 % - Markeringsfarve6 2 5 2 2 3 2 2" xfId="20642"/>
    <cellStyle name="40 % - Markeringsfarve6 2 5 2 2 3 2 3" xfId="31999"/>
    <cellStyle name="40 % - Markeringsfarve6 2 5 2 2 3 3" xfId="15657"/>
    <cellStyle name="40 % - Markeringsfarve6 2 5 2 2 3 4" xfId="27015"/>
    <cellStyle name="40 % - Markeringsfarve6 2 5 2 2 4" xfId="6512"/>
    <cellStyle name="40 % - Markeringsfarve6 2 5 2 2 4 2" xfId="17320"/>
    <cellStyle name="40 % - Markeringsfarve6 2 5 2 2 4 3" xfId="28677"/>
    <cellStyle name="40 % - Markeringsfarve6 2 5 2 2 5" xfId="12335"/>
    <cellStyle name="40 % - Markeringsfarve6 2 5 2 2 6" xfId="23693"/>
    <cellStyle name="40 % - Markeringsfarve6 2 5 2 3" xfId="2355"/>
    <cellStyle name="40 % - Markeringsfarve6 2 5 2 3 2" xfId="7343"/>
    <cellStyle name="40 % - Markeringsfarve6 2 5 2 3 2 2" xfId="18150"/>
    <cellStyle name="40 % - Markeringsfarve6 2 5 2 3 2 3" xfId="29507"/>
    <cellStyle name="40 % - Markeringsfarve6 2 5 2 3 3" xfId="13165"/>
    <cellStyle name="40 % - Markeringsfarve6 2 5 2 3 4" xfId="24523"/>
    <cellStyle name="40 % - Markeringsfarve6 2 5 2 4" xfId="4019"/>
    <cellStyle name="40 % - Markeringsfarve6 2 5 2 4 2" xfId="9004"/>
    <cellStyle name="40 % - Markeringsfarve6 2 5 2 4 2 2" xfId="19811"/>
    <cellStyle name="40 % - Markeringsfarve6 2 5 2 4 2 3" xfId="31168"/>
    <cellStyle name="40 % - Markeringsfarve6 2 5 2 4 3" xfId="14826"/>
    <cellStyle name="40 % - Markeringsfarve6 2 5 2 4 4" xfId="26184"/>
    <cellStyle name="40 % - Markeringsfarve6 2 5 2 5" xfId="5681"/>
    <cellStyle name="40 % - Markeringsfarve6 2 5 2 5 2" xfId="16489"/>
    <cellStyle name="40 % - Markeringsfarve6 2 5 2 5 3" xfId="27846"/>
    <cellStyle name="40 % - Markeringsfarve6 2 5 2 6" xfId="10668"/>
    <cellStyle name="40 % - Markeringsfarve6 2 5 2 6 2" xfId="21475"/>
    <cellStyle name="40 % - Markeringsfarve6 2 5 2 6 3" xfId="32832"/>
    <cellStyle name="40 % - Markeringsfarve6 2 5 2 7" xfId="11502"/>
    <cellStyle name="40 % - Markeringsfarve6 2 5 2 8" xfId="22308"/>
    <cellStyle name="40 % - Markeringsfarve6 2 5 2 9" xfId="22862"/>
    <cellStyle name="40 % - Markeringsfarve6 2 5 3" xfId="963"/>
    <cellStyle name="40 % - Markeringsfarve6 2 5 3 2" xfId="1795"/>
    <cellStyle name="40 % - Markeringsfarve6 2 5 3 2 2" xfId="3460"/>
    <cellStyle name="40 % - Markeringsfarve6 2 5 3 2 2 2" xfId="8448"/>
    <cellStyle name="40 % - Markeringsfarve6 2 5 3 2 2 2 2" xfId="19255"/>
    <cellStyle name="40 % - Markeringsfarve6 2 5 3 2 2 2 3" xfId="30612"/>
    <cellStyle name="40 % - Markeringsfarve6 2 5 3 2 2 3" xfId="14270"/>
    <cellStyle name="40 % - Markeringsfarve6 2 5 3 2 2 4" xfId="25628"/>
    <cellStyle name="40 % - Markeringsfarve6 2 5 3 2 3" xfId="5124"/>
    <cellStyle name="40 % - Markeringsfarve6 2 5 3 2 3 2" xfId="10109"/>
    <cellStyle name="40 % - Markeringsfarve6 2 5 3 2 3 2 2" xfId="20916"/>
    <cellStyle name="40 % - Markeringsfarve6 2 5 3 2 3 2 3" xfId="32273"/>
    <cellStyle name="40 % - Markeringsfarve6 2 5 3 2 3 3" xfId="15931"/>
    <cellStyle name="40 % - Markeringsfarve6 2 5 3 2 3 4" xfId="27289"/>
    <cellStyle name="40 % - Markeringsfarve6 2 5 3 2 4" xfId="6786"/>
    <cellStyle name="40 % - Markeringsfarve6 2 5 3 2 4 2" xfId="17594"/>
    <cellStyle name="40 % - Markeringsfarve6 2 5 3 2 4 3" xfId="28951"/>
    <cellStyle name="40 % - Markeringsfarve6 2 5 3 2 5" xfId="12609"/>
    <cellStyle name="40 % - Markeringsfarve6 2 5 3 2 6" xfId="23967"/>
    <cellStyle name="40 % - Markeringsfarve6 2 5 3 3" xfId="2629"/>
    <cellStyle name="40 % - Markeringsfarve6 2 5 3 3 2" xfId="7617"/>
    <cellStyle name="40 % - Markeringsfarve6 2 5 3 3 2 2" xfId="18424"/>
    <cellStyle name="40 % - Markeringsfarve6 2 5 3 3 2 3" xfId="29781"/>
    <cellStyle name="40 % - Markeringsfarve6 2 5 3 3 3" xfId="13439"/>
    <cellStyle name="40 % - Markeringsfarve6 2 5 3 3 4" xfId="24797"/>
    <cellStyle name="40 % - Markeringsfarve6 2 5 3 4" xfId="4293"/>
    <cellStyle name="40 % - Markeringsfarve6 2 5 3 4 2" xfId="9278"/>
    <cellStyle name="40 % - Markeringsfarve6 2 5 3 4 2 2" xfId="20085"/>
    <cellStyle name="40 % - Markeringsfarve6 2 5 3 4 2 3" xfId="31442"/>
    <cellStyle name="40 % - Markeringsfarve6 2 5 3 4 3" xfId="15100"/>
    <cellStyle name="40 % - Markeringsfarve6 2 5 3 4 4" xfId="26458"/>
    <cellStyle name="40 % - Markeringsfarve6 2 5 3 5" xfId="5955"/>
    <cellStyle name="40 % - Markeringsfarve6 2 5 3 5 2" xfId="16763"/>
    <cellStyle name="40 % - Markeringsfarve6 2 5 3 5 3" xfId="28120"/>
    <cellStyle name="40 % - Markeringsfarve6 2 5 3 6" xfId="10942"/>
    <cellStyle name="40 % - Markeringsfarve6 2 5 3 6 2" xfId="21749"/>
    <cellStyle name="40 % - Markeringsfarve6 2 5 3 6 3" xfId="33106"/>
    <cellStyle name="40 % - Markeringsfarve6 2 5 3 7" xfId="11777"/>
    <cellStyle name="40 % - Markeringsfarve6 2 5 3 8" xfId="23136"/>
    <cellStyle name="40 % - Markeringsfarve6 2 5 4" xfId="1242"/>
    <cellStyle name="40 % - Markeringsfarve6 2 5 4 2" xfId="2907"/>
    <cellStyle name="40 % - Markeringsfarve6 2 5 4 2 2" xfId="7895"/>
    <cellStyle name="40 % - Markeringsfarve6 2 5 4 2 2 2" xfId="18702"/>
    <cellStyle name="40 % - Markeringsfarve6 2 5 4 2 2 3" xfId="30059"/>
    <cellStyle name="40 % - Markeringsfarve6 2 5 4 2 3" xfId="13717"/>
    <cellStyle name="40 % - Markeringsfarve6 2 5 4 2 4" xfId="25075"/>
    <cellStyle name="40 % - Markeringsfarve6 2 5 4 3" xfId="4571"/>
    <cellStyle name="40 % - Markeringsfarve6 2 5 4 3 2" xfId="9556"/>
    <cellStyle name="40 % - Markeringsfarve6 2 5 4 3 2 2" xfId="20363"/>
    <cellStyle name="40 % - Markeringsfarve6 2 5 4 3 2 3" xfId="31720"/>
    <cellStyle name="40 % - Markeringsfarve6 2 5 4 3 3" xfId="15378"/>
    <cellStyle name="40 % - Markeringsfarve6 2 5 4 3 4" xfId="26736"/>
    <cellStyle name="40 % - Markeringsfarve6 2 5 4 4" xfId="6233"/>
    <cellStyle name="40 % - Markeringsfarve6 2 5 4 4 2" xfId="17041"/>
    <cellStyle name="40 % - Markeringsfarve6 2 5 4 4 3" xfId="28398"/>
    <cellStyle name="40 % - Markeringsfarve6 2 5 4 5" xfId="12056"/>
    <cellStyle name="40 % - Markeringsfarve6 2 5 4 6" xfId="23414"/>
    <cellStyle name="40 % - Markeringsfarve6 2 5 5" xfId="2077"/>
    <cellStyle name="40 % - Markeringsfarve6 2 5 5 2" xfId="7065"/>
    <cellStyle name="40 % - Markeringsfarve6 2 5 5 2 2" xfId="17873"/>
    <cellStyle name="40 % - Markeringsfarve6 2 5 5 2 3" xfId="29230"/>
    <cellStyle name="40 % - Markeringsfarve6 2 5 5 3" xfId="12888"/>
    <cellStyle name="40 % - Markeringsfarve6 2 5 5 4" xfId="24246"/>
    <cellStyle name="40 % - Markeringsfarve6 2 5 6" xfId="3742"/>
    <cellStyle name="40 % - Markeringsfarve6 2 5 6 2" xfId="8727"/>
    <cellStyle name="40 % - Markeringsfarve6 2 5 6 2 2" xfId="19534"/>
    <cellStyle name="40 % - Markeringsfarve6 2 5 6 2 3" xfId="30891"/>
    <cellStyle name="40 % - Markeringsfarve6 2 5 6 3" xfId="14549"/>
    <cellStyle name="40 % - Markeringsfarve6 2 5 6 4" xfId="25907"/>
    <cellStyle name="40 % - Markeringsfarve6 2 5 7" xfId="5403"/>
    <cellStyle name="40 % - Markeringsfarve6 2 5 7 2" xfId="16212"/>
    <cellStyle name="40 % - Markeringsfarve6 2 5 7 3" xfId="27569"/>
    <cellStyle name="40 % - Markeringsfarve6 2 5 8" xfId="10388"/>
    <cellStyle name="40 % - Markeringsfarve6 2 5 8 2" xfId="21195"/>
    <cellStyle name="40 % - Markeringsfarve6 2 5 8 3" xfId="32552"/>
    <cellStyle name="40 % - Markeringsfarve6 2 5 9" xfId="11222"/>
    <cellStyle name="40 % - Markeringsfarve6 2 6" xfId="472"/>
    <cellStyle name="40 % - Markeringsfarve6 2 6 2" xfId="1302"/>
    <cellStyle name="40 % - Markeringsfarve6 2 6 2 2" xfId="2967"/>
    <cellStyle name="40 % - Markeringsfarve6 2 6 2 2 2" xfId="7955"/>
    <cellStyle name="40 % - Markeringsfarve6 2 6 2 2 2 2" xfId="18762"/>
    <cellStyle name="40 % - Markeringsfarve6 2 6 2 2 2 3" xfId="30119"/>
    <cellStyle name="40 % - Markeringsfarve6 2 6 2 2 3" xfId="13777"/>
    <cellStyle name="40 % - Markeringsfarve6 2 6 2 2 4" xfId="25135"/>
    <cellStyle name="40 % - Markeringsfarve6 2 6 2 3" xfId="4631"/>
    <cellStyle name="40 % - Markeringsfarve6 2 6 2 3 2" xfId="9616"/>
    <cellStyle name="40 % - Markeringsfarve6 2 6 2 3 2 2" xfId="20423"/>
    <cellStyle name="40 % - Markeringsfarve6 2 6 2 3 2 3" xfId="31780"/>
    <cellStyle name="40 % - Markeringsfarve6 2 6 2 3 3" xfId="15438"/>
    <cellStyle name="40 % - Markeringsfarve6 2 6 2 3 4" xfId="26796"/>
    <cellStyle name="40 % - Markeringsfarve6 2 6 2 4" xfId="6293"/>
    <cellStyle name="40 % - Markeringsfarve6 2 6 2 4 2" xfId="17101"/>
    <cellStyle name="40 % - Markeringsfarve6 2 6 2 4 3" xfId="28458"/>
    <cellStyle name="40 % - Markeringsfarve6 2 6 2 5" xfId="12116"/>
    <cellStyle name="40 % - Markeringsfarve6 2 6 2 6" xfId="23474"/>
    <cellStyle name="40 % - Markeringsfarve6 2 6 3" xfId="2138"/>
    <cellStyle name="40 % - Markeringsfarve6 2 6 3 2" xfId="7126"/>
    <cellStyle name="40 % - Markeringsfarve6 2 6 3 2 2" xfId="17933"/>
    <cellStyle name="40 % - Markeringsfarve6 2 6 3 2 3" xfId="29290"/>
    <cellStyle name="40 % - Markeringsfarve6 2 6 3 3" xfId="12948"/>
    <cellStyle name="40 % - Markeringsfarve6 2 6 3 4" xfId="24306"/>
    <cellStyle name="40 % - Markeringsfarve6 2 6 4" xfId="3802"/>
    <cellStyle name="40 % - Markeringsfarve6 2 6 4 2" xfId="8787"/>
    <cellStyle name="40 % - Markeringsfarve6 2 6 4 2 2" xfId="19594"/>
    <cellStyle name="40 % - Markeringsfarve6 2 6 4 2 3" xfId="30951"/>
    <cellStyle name="40 % - Markeringsfarve6 2 6 4 3" xfId="14609"/>
    <cellStyle name="40 % - Markeringsfarve6 2 6 4 4" xfId="25967"/>
    <cellStyle name="40 % - Markeringsfarve6 2 6 5" xfId="5464"/>
    <cellStyle name="40 % - Markeringsfarve6 2 6 5 2" xfId="16272"/>
    <cellStyle name="40 % - Markeringsfarve6 2 6 5 3" xfId="27629"/>
    <cellStyle name="40 % - Markeringsfarve6 2 6 6" xfId="10445"/>
    <cellStyle name="40 % - Markeringsfarve6 2 6 6 2" xfId="21252"/>
    <cellStyle name="40 % - Markeringsfarve6 2 6 6 3" xfId="32609"/>
    <cellStyle name="40 % - Markeringsfarve6 2 6 7" xfId="11283"/>
    <cellStyle name="40 % - Markeringsfarve6 2 6 8" xfId="22089"/>
    <cellStyle name="40 % - Markeringsfarve6 2 6 9" xfId="22643"/>
    <cellStyle name="40 % - Markeringsfarve6 2 7" xfId="744"/>
    <cellStyle name="40 % - Markeringsfarve6 2 7 2" xfId="1576"/>
    <cellStyle name="40 % - Markeringsfarve6 2 7 2 2" xfId="3241"/>
    <cellStyle name="40 % - Markeringsfarve6 2 7 2 2 2" xfId="8229"/>
    <cellStyle name="40 % - Markeringsfarve6 2 7 2 2 2 2" xfId="19036"/>
    <cellStyle name="40 % - Markeringsfarve6 2 7 2 2 2 3" xfId="30393"/>
    <cellStyle name="40 % - Markeringsfarve6 2 7 2 2 3" xfId="14051"/>
    <cellStyle name="40 % - Markeringsfarve6 2 7 2 2 4" xfId="25409"/>
    <cellStyle name="40 % - Markeringsfarve6 2 7 2 3" xfId="4905"/>
    <cellStyle name="40 % - Markeringsfarve6 2 7 2 3 2" xfId="9890"/>
    <cellStyle name="40 % - Markeringsfarve6 2 7 2 3 2 2" xfId="20697"/>
    <cellStyle name="40 % - Markeringsfarve6 2 7 2 3 2 3" xfId="32054"/>
    <cellStyle name="40 % - Markeringsfarve6 2 7 2 3 3" xfId="15712"/>
    <cellStyle name="40 % - Markeringsfarve6 2 7 2 3 4" xfId="27070"/>
    <cellStyle name="40 % - Markeringsfarve6 2 7 2 4" xfId="6567"/>
    <cellStyle name="40 % - Markeringsfarve6 2 7 2 4 2" xfId="17375"/>
    <cellStyle name="40 % - Markeringsfarve6 2 7 2 4 3" xfId="28732"/>
    <cellStyle name="40 % - Markeringsfarve6 2 7 2 5" xfId="12390"/>
    <cellStyle name="40 % - Markeringsfarve6 2 7 2 6" xfId="23748"/>
    <cellStyle name="40 % - Markeringsfarve6 2 7 3" xfId="2410"/>
    <cellStyle name="40 % - Markeringsfarve6 2 7 3 2" xfId="7398"/>
    <cellStyle name="40 % - Markeringsfarve6 2 7 3 2 2" xfId="18205"/>
    <cellStyle name="40 % - Markeringsfarve6 2 7 3 2 3" xfId="29562"/>
    <cellStyle name="40 % - Markeringsfarve6 2 7 3 3" xfId="13220"/>
    <cellStyle name="40 % - Markeringsfarve6 2 7 3 4" xfId="24578"/>
    <cellStyle name="40 % - Markeringsfarve6 2 7 4" xfId="4074"/>
    <cellStyle name="40 % - Markeringsfarve6 2 7 4 2" xfId="9059"/>
    <cellStyle name="40 % - Markeringsfarve6 2 7 4 2 2" xfId="19866"/>
    <cellStyle name="40 % - Markeringsfarve6 2 7 4 2 3" xfId="31223"/>
    <cellStyle name="40 % - Markeringsfarve6 2 7 4 3" xfId="14881"/>
    <cellStyle name="40 % - Markeringsfarve6 2 7 4 4" xfId="26239"/>
    <cellStyle name="40 % - Markeringsfarve6 2 7 5" xfId="5736"/>
    <cellStyle name="40 % - Markeringsfarve6 2 7 5 2" xfId="16544"/>
    <cellStyle name="40 % - Markeringsfarve6 2 7 5 3" xfId="27901"/>
    <cellStyle name="40 % - Markeringsfarve6 2 7 6" xfId="10723"/>
    <cellStyle name="40 % - Markeringsfarve6 2 7 6 2" xfId="21530"/>
    <cellStyle name="40 % - Markeringsfarve6 2 7 6 3" xfId="32887"/>
    <cellStyle name="40 % - Markeringsfarve6 2 7 7" xfId="11558"/>
    <cellStyle name="40 % - Markeringsfarve6 2 7 8" xfId="22917"/>
    <cellStyle name="40 % - Markeringsfarve6 2 8" xfId="1023"/>
    <cellStyle name="40 % - Markeringsfarve6 2 8 2" xfId="2688"/>
    <cellStyle name="40 % - Markeringsfarve6 2 8 2 2" xfId="7676"/>
    <cellStyle name="40 % - Markeringsfarve6 2 8 2 2 2" xfId="18483"/>
    <cellStyle name="40 % - Markeringsfarve6 2 8 2 2 3" xfId="29840"/>
    <cellStyle name="40 % - Markeringsfarve6 2 8 2 3" xfId="13498"/>
    <cellStyle name="40 % - Markeringsfarve6 2 8 2 4" xfId="24856"/>
    <cellStyle name="40 % - Markeringsfarve6 2 8 3" xfId="4352"/>
    <cellStyle name="40 % - Markeringsfarve6 2 8 3 2" xfId="9337"/>
    <cellStyle name="40 % - Markeringsfarve6 2 8 3 2 2" xfId="20144"/>
    <cellStyle name="40 % - Markeringsfarve6 2 8 3 2 3" xfId="31501"/>
    <cellStyle name="40 % - Markeringsfarve6 2 8 3 3" xfId="15159"/>
    <cellStyle name="40 % - Markeringsfarve6 2 8 3 4" xfId="26517"/>
    <cellStyle name="40 % - Markeringsfarve6 2 8 4" xfId="6014"/>
    <cellStyle name="40 % - Markeringsfarve6 2 8 4 2" xfId="16822"/>
    <cellStyle name="40 % - Markeringsfarve6 2 8 4 3" xfId="28179"/>
    <cellStyle name="40 % - Markeringsfarve6 2 8 5" xfId="11837"/>
    <cellStyle name="40 % - Markeringsfarve6 2 8 6" xfId="23195"/>
    <cellStyle name="40 % - Markeringsfarve6 2 9" xfId="1859"/>
    <cellStyle name="40 % - Markeringsfarve6 2 9 2" xfId="6847"/>
    <cellStyle name="40 % - Markeringsfarve6 2 9 2 2" xfId="17655"/>
    <cellStyle name="40 % - Markeringsfarve6 2 9 2 3" xfId="29012"/>
    <cellStyle name="40 % - Markeringsfarve6 2 9 3" xfId="12670"/>
    <cellStyle name="40 % - Markeringsfarve6 2 9 4" xfId="24028"/>
    <cellStyle name="40 % - Markeringsfarve6 20" xfId="33692"/>
    <cellStyle name="40 % - Markeringsfarve6 3" xfId="105"/>
    <cellStyle name="40 % - Markeringsfarve6 3 10" xfId="3543"/>
    <cellStyle name="40 % - Markeringsfarve6 3 10 2" xfId="8528"/>
    <cellStyle name="40 % - Markeringsfarve6 3 10 2 2" xfId="19335"/>
    <cellStyle name="40 % - Markeringsfarve6 3 10 2 3" xfId="30692"/>
    <cellStyle name="40 % - Markeringsfarve6 3 10 3" xfId="14350"/>
    <cellStyle name="40 % - Markeringsfarve6 3 10 4" xfId="25708"/>
    <cellStyle name="40 % - Markeringsfarve6 3 11" xfId="5204"/>
    <cellStyle name="40 % - Markeringsfarve6 3 11 2" xfId="16013"/>
    <cellStyle name="40 % - Markeringsfarve6 3 11 3" xfId="27370"/>
    <cellStyle name="40 % - Markeringsfarve6 3 12" xfId="10188"/>
    <cellStyle name="40 % - Markeringsfarve6 3 12 2" xfId="20995"/>
    <cellStyle name="40 % - Markeringsfarve6 3 12 3" xfId="32352"/>
    <cellStyle name="40 % - Markeringsfarve6 3 13" xfId="11022"/>
    <cellStyle name="40 % - Markeringsfarve6 3 14" xfId="21829"/>
    <cellStyle name="40 % - Markeringsfarve6 3 15" xfId="22382"/>
    <cellStyle name="40 % - Markeringsfarve6 3 16" xfId="33185"/>
    <cellStyle name="40 % - Markeringsfarve6 3 17" xfId="33459"/>
    <cellStyle name="40 % - Markeringsfarve6 3 18" xfId="33730"/>
    <cellStyle name="40 % - Markeringsfarve6 3 2" xfId="225"/>
    <cellStyle name="40 % - Markeringsfarve6 3 2 10" xfId="21883"/>
    <cellStyle name="40 % - Markeringsfarve6 3 2 11" xfId="22436"/>
    <cellStyle name="40 % - Markeringsfarve6 3 2 12" xfId="33239"/>
    <cellStyle name="40 % - Markeringsfarve6 3 2 13" xfId="33514"/>
    <cellStyle name="40 % - Markeringsfarve6 3 2 14" xfId="33785"/>
    <cellStyle name="40 % - Markeringsfarve6 3 2 2" xfId="543"/>
    <cellStyle name="40 % - Markeringsfarve6 3 2 2 2" xfId="1375"/>
    <cellStyle name="40 % - Markeringsfarve6 3 2 2 2 2" xfId="3040"/>
    <cellStyle name="40 % - Markeringsfarve6 3 2 2 2 2 2" xfId="8028"/>
    <cellStyle name="40 % - Markeringsfarve6 3 2 2 2 2 2 2" xfId="18835"/>
    <cellStyle name="40 % - Markeringsfarve6 3 2 2 2 2 2 3" xfId="30192"/>
    <cellStyle name="40 % - Markeringsfarve6 3 2 2 2 2 3" xfId="13850"/>
    <cellStyle name="40 % - Markeringsfarve6 3 2 2 2 2 4" xfId="25208"/>
    <cellStyle name="40 % - Markeringsfarve6 3 2 2 2 3" xfId="4704"/>
    <cellStyle name="40 % - Markeringsfarve6 3 2 2 2 3 2" xfId="9689"/>
    <cellStyle name="40 % - Markeringsfarve6 3 2 2 2 3 2 2" xfId="20496"/>
    <cellStyle name="40 % - Markeringsfarve6 3 2 2 2 3 2 3" xfId="31853"/>
    <cellStyle name="40 % - Markeringsfarve6 3 2 2 2 3 3" xfId="15511"/>
    <cellStyle name="40 % - Markeringsfarve6 3 2 2 2 3 4" xfId="26869"/>
    <cellStyle name="40 % - Markeringsfarve6 3 2 2 2 4" xfId="6366"/>
    <cellStyle name="40 % - Markeringsfarve6 3 2 2 2 4 2" xfId="17174"/>
    <cellStyle name="40 % - Markeringsfarve6 3 2 2 2 4 3" xfId="28531"/>
    <cellStyle name="40 % - Markeringsfarve6 3 2 2 2 5" xfId="12189"/>
    <cellStyle name="40 % - Markeringsfarve6 3 2 2 2 6" xfId="23547"/>
    <cellStyle name="40 % - Markeringsfarve6 3 2 2 3" xfId="2209"/>
    <cellStyle name="40 % - Markeringsfarve6 3 2 2 3 2" xfId="7197"/>
    <cellStyle name="40 % - Markeringsfarve6 3 2 2 3 2 2" xfId="18004"/>
    <cellStyle name="40 % - Markeringsfarve6 3 2 2 3 2 3" xfId="29361"/>
    <cellStyle name="40 % - Markeringsfarve6 3 2 2 3 3" xfId="13019"/>
    <cellStyle name="40 % - Markeringsfarve6 3 2 2 3 4" xfId="24377"/>
    <cellStyle name="40 % - Markeringsfarve6 3 2 2 4" xfId="3873"/>
    <cellStyle name="40 % - Markeringsfarve6 3 2 2 4 2" xfId="8858"/>
    <cellStyle name="40 % - Markeringsfarve6 3 2 2 4 2 2" xfId="19665"/>
    <cellStyle name="40 % - Markeringsfarve6 3 2 2 4 2 3" xfId="31022"/>
    <cellStyle name="40 % - Markeringsfarve6 3 2 2 4 3" xfId="14680"/>
    <cellStyle name="40 % - Markeringsfarve6 3 2 2 4 4" xfId="26038"/>
    <cellStyle name="40 % - Markeringsfarve6 3 2 2 5" xfId="5535"/>
    <cellStyle name="40 % - Markeringsfarve6 3 2 2 5 2" xfId="16343"/>
    <cellStyle name="40 % - Markeringsfarve6 3 2 2 5 3" xfId="27700"/>
    <cellStyle name="40 % - Markeringsfarve6 3 2 2 6" xfId="10522"/>
    <cellStyle name="40 % - Markeringsfarve6 3 2 2 6 2" xfId="21329"/>
    <cellStyle name="40 % - Markeringsfarve6 3 2 2 6 3" xfId="32686"/>
    <cellStyle name="40 % - Markeringsfarve6 3 2 2 7" xfId="11356"/>
    <cellStyle name="40 % - Markeringsfarve6 3 2 2 8" xfId="22162"/>
    <cellStyle name="40 % - Markeringsfarve6 3 2 2 9" xfId="22716"/>
    <cellStyle name="40 % - Markeringsfarve6 3 2 3" xfId="817"/>
    <cellStyle name="40 % - Markeringsfarve6 3 2 3 2" xfId="1649"/>
    <cellStyle name="40 % - Markeringsfarve6 3 2 3 2 2" xfId="3314"/>
    <cellStyle name="40 % - Markeringsfarve6 3 2 3 2 2 2" xfId="8302"/>
    <cellStyle name="40 % - Markeringsfarve6 3 2 3 2 2 2 2" xfId="19109"/>
    <cellStyle name="40 % - Markeringsfarve6 3 2 3 2 2 2 3" xfId="30466"/>
    <cellStyle name="40 % - Markeringsfarve6 3 2 3 2 2 3" xfId="14124"/>
    <cellStyle name="40 % - Markeringsfarve6 3 2 3 2 2 4" xfId="25482"/>
    <cellStyle name="40 % - Markeringsfarve6 3 2 3 2 3" xfId="4978"/>
    <cellStyle name="40 % - Markeringsfarve6 3 2 3 2 3 2" xfId="9963"/>
    <cellStyle name="40 % - Markeringsfarve6 3 2 3 2 3 2 2" xfId="20770"/>
    <cellStyle name="40 % - Markeringsfarve6 3 2 3 2 3 2 3" xfId="32127"/>
    <cellStyle name="40 % - Markeringsfarve6 3 2 3 2 3 3" xfId="15785"/>
    <cellStyle name="40 % - Markeringsfarve6 3 2 3 2 3 4" xfId="27143"/>
    <cellStyle name="40 % - Markeringsfarve6 3 2 3 2 4" xfId="6640"/>
    <cellStyle name="40 % - Markeringsfarve6 3 2 3 2 4 2" xfId="17448"/>
    <cellStyle name="40 % - Markeringsfarve6 3 2 3 2 4 3" xfId="28805"/>
    <cellStyle name="40 % - Markeringsfarve6 3 2 3 2 5" xfId="12463"/>
    <cellStyle name="40 % - Markeringsfarve6 3 2 3 2 6" xfId="23821"/>
    <cellStyle name="40 % - Markeringsfarve6 3 2 3 3" xfId="2483"/>
    <cellStyle name="40 % - Markeringsfarve6 3 2 3 3 2" xfId="7471"/>
    <cellStyle name="40 % - Markeringsfarve6 3 2 3 3 2 2" xfId="18278"/>
    <cellStyle name="40 % - Markeringsfarve6 3 2 3 3 2 3" xfId="29635"/>
    <cellStyle name="40 % - Markeringsfarve6 3 2 3 3 3" xfId="13293"/>
    <cellStyle name="40 % - Markeringsfarve6 3 2 3 3 4" xfId="24651"/>
    <cellStyle name="40 % - Markeringsfarve6 3 2 3 4" xfId="4147"/>
    <cellStyle name="40 % - Markeringsfarve6 3 2 3 4 2" xfId="9132"/>
    <cellStyle name="40 % - Markeringsfarve6 3 2 3 4 2 2" xfId="19939"/>
    <cellStyle name="40 % - Markeringsfarve6 3 2 3 4 2 3" xfId="31296"/>
    <cellStyle name="40 % - Markeringsfarve6 3 2 3 4 3" xfId="14954"/>
    <cellStyle name="40 % - Markeringsfarve6 3 2 3 4 4" xfId="26312"/>
    <cellStyle name="40 % - Markeringsfarve6 3 2 3 5" xfId="5809"/>
    <cellStyle name="40 % - Markeringsfarve6 3 2 3 5 2" xfId="16617"/>
    <cellStyle name="40 % - Markeringsfarve6 3 2 3 5 3" xfId="27974"/>
    <cellStyle name="40 % - Markeringsfarve6 3 2 3 6" xfId="10796"/>
    <cellStyle name="40 % - Markeringsfarve6 3 2 3 6 2" xfId="21603"/>
    <cellStyle name="40 % - Markeringsfarve6 3 2 3 6 3" xfId="32960"/>
    <cellStyle name="40 % - Markeringsfarve6 3 2 3 7" xfId="11631"/>
    <cellStyle name="40 % - Markeringsfarve6 3 2 3 8" xfId="22990"/>
    <cellStyle name="40 % - Markeringsfarve6 3 2 4" xfId="1096"/>
    <cellStyle name="40 % - Markeringsfarve6 3 2 4 2" xfId="2761"/>
    <cellStyle name="40 % - Markeringsfarve6 3 2 4 2 2" xfId="7749"/>
    <cellStyle name="40 % - Markeringsfarve6 3 2 4 2 2 2" xfId="18556"/>
    <cellStyle name="40 % - Markeringsfarve6 3 2 4 2 2 3" xfId="29913"/>
    <cellStyle name="40 % - Markeringsfarve6 3 2 4 2 3" xfId="13571"/>
    <cellStyle name="40 % - Markeringsfarve6 3 2 4 2 4" xfId="24929"/>
    <cellStyle name="40 % - Markeringsfarve6 3 2 4 3" xfId="4425"/>
    <cellStyle name="40 % - Markeringsfarve6 3 2 4 3 2" xfId="9410"/>
    <cellStyle name="40 % - Markeringsfarve6 3 2 4 3 2 2" xfId="20217"/>
    <cellStyle name="40 % - Markeringsfarve6 3 2 4 3 2 3" xfId="31574"/>
    <cellStyle name="40 % - Markeringsfarve6 3 2 4 3 3" xfId="15232"/>
    <cellStyle name="40 % - Markeringsfarve6 3 2 4 3 4" xfId="26590"/>
    <cellStyle name="40 % - Markeringsfarve6 3 2 4 4" xfId="6087"/>
    <cellStyle name="40 % - Markeringsfarve6 3 2 4 4 2" xfId="16895"/>
    <cellStyle name="40 % - Markeringsfarve6 3 2 4 4 3" xfId="28252"/>
    <cellStyle name="40 % - Markeringsfarve6 3 2 4 5" xfId="11910"/>
    <cellStyle name="40 % - Markeringsfarve6 3 2 4 6" xfId="23268"/>
    <cellStyle name="40 % - Markeringsfarve6 3 2 5" xfId="1931"/>
    <cellStyle name="40 % - Markeringsfarve6 3 2 5 2" xfId="6919"/>
    <cellStyle name="40 % - Markeringsfarve6 3 2 5 2 2" xfId="17727"/>
    <cellStyle name="40 % - Markeringsfarve6 3 2 5 2 3" xfId="29084"/>
    <cellStyle name="40 % - Markeringsfarve6 3 2 5 3" xfId="12742"/>
    <cellStyle name="40 % - Markeringsfarve6 3 2 5 4" xfId="24100"/>
    <cellStyle name="40 % - Markeringsfarve6 3 2 6" xfId="3596"/>
    <cellStyle name="40 % - Markeringsfarve6 3 2 6 2" xfId="8581"/>
    <cellStyle name="40 % - Markeringsfarve6 3 2 6 2 2" xfId="19388"/>
    <cellStyle name="40 % - Markeringsfarve6 3 2 6 2 3" xfId="30745"/>
    <cellStyle name="40 % - Markeringsfarve6 3 2 6 3" xfId="14403"/>
    <cellStyle name="40 % - Markeringsfarve6 3 2 6 4" xfId="25761"/>
    <cellStyle name="40 % - Markeringsfarve6 3 2 7" xfId="5257"/>
    <cellStyle name="40 % - Markeringsfarve6 3 2 7 2" xfId="16066"/>
    <cellStyle name="40 % - Markeringsfarve6 3 2 7 3" xfId="27423"/>
    <cellStyle name="40 % - Markeringsfarve6 3 2 8" xfId="10242"/>
    <cellStyle name="40 % - Markeringsfarve6 3 2 8 2" xfId="21049"/>
    <cellStyle name="40 % - Markeringsfarve6 3 2 8 3" xfId="32406"/>
    <cellStyle name="40 % - Markeringsfarve6 3 2 9" xfId="11076"/>
    <cellStyle name="40 % - Markeringsfarve6 3 3" xfId="280"/>
    <cellStyle name="40 % - Markeringsfarve6 3 3 10" xfId="21937"/>
    <cellStyle name="40 % - Markeringsfarve6 3 3 11" xfId="22490"/>
    <cellStyle name="40 % - Markeringsfarve6 3 3 12" xfId="33293"/>
    <cellStyle name="40 % - Markeringsfarve6 3 3 13" xfId="33568"/>
    <cellStyle name="40 % - Markeringsfarve6 3 3 14" xfId="33839"/>
    <cellStyle name="40 % - Markeringsfarve6 3 3 2" xfId="597"/>
    <cellStyle name="40 % - Markeringsfarve6 3 3 2 2" xfId="1429"/>
    <cellStyle name="40 % - Markeringsfarve6 3 3 2 2 2" xfId="3094"/>
    <cellStyle name="40 % - Markeringsfarve6 3 3 2 2 2 2" xfId="8082"/>
    <cellStyle name="40 % - Markeringsfarve6 3 3 2 2 2 2 2" xfId="18889"/>
    <cellStyle name="40 % - Markeringsfarve6 3 3 2 2 2 2 3" xfId="30246"/>
    <cellStyle name="40 % - Markeringsfarve6 3 3 2 2 2 3" xfId="13904"/>
    <cellStyle name="40 % - Markeringsfarve6 3 3 2 2 2 4" xfId="25262"/>
    <cellStyle name="40 % - Markeringsfarve6 3 3 2 2 3" xfId="4758"/>
    <cellStyle name="40 % - Markeringsfarve6 3 3 2 2 3 2" xfId="9743"/>
    <cellStyle name="40 % - Markeringsfarve6 3 3 2 2 3 2 2" xfId="20550"/>
    <cellStyle name="40 % - Markeringsfarve6 3 3 2 2 3 2 3" xfId="31907"/>
    <cellStyle name="40 % - Markeringsfarve6 3 3 2 2 3 3" xfId="15565"/>
    <cellStyle name="40 % - Markeringsfarve6 3 3 2 2 3 4" xfId="26923"/>
    <cellStyle name="40 % - Markeringsfarve6 3 3 2 2 4" xfId="6420"/>
    <cellStyle name="40 % - Markeringsfarve6 3 3 2 2 4 2" xfId="17228"/>
    <cellStyle name="40 % - Markeringsfarve6 3 3 2 2 4 3" xfId="28585"/>
    <cellStyle name="40 % - Markeringsfarve6 3 3 2 2 5" xfId="12243"/>
    <cellStyle name="40 % - Markeringsfarve6 3 3 2 2 6" xfId="23601"/>
    <cellStyle name="40 % - Markeringsfarve6 3 3 2 3" xfId="2263"/>
    <cellStyle name="40 % - Markeringsfarve6 3 3 2 3 2" xfId="7251"/>
    <cellStyle name="40 % - Markeringsfarve6 3 3 2 3 2 2" xfId="18058"/>
    <cellStyle name="40 % - Markeringsfarve6 3 3 2 3 2 3" xfId="29415"/>
    <cellStyle name="40 % - Markeringsfarve6 3 3 2 3 3" xfId="13073"/>
    <cellStyle name="40 % - Markeringsfarve6 3 3 2 3 4" xfId="24431"/>
    <cellStyle name="40 % - Markeringsfarve6 3 3 2 4" xfId="3927"/>
    <cellStyle name="40 % - Markeringsfarve6 3 3 2 4 2" xfId="8912"/>
    <cellStyle name="40 % - Markeringsfarve6 3 3 2 4 2 2" xfId="19719"/>
    <cellStyle name="40 % - Markeringsfarve6 3 3 2 4 2 3" xfId="31076"/>
    <cellStyle name="40 % - Markeringsfarve6 3 3 2 4 3" xfId="14734"/>
    <cellStyle name="40 % - Markeringsfarve6 3 3 2 4 4" xfId="26092"/>
    <cellStyle name="40 % - Markeringsfarve6 3 3 2 5" xfId="5589"/>
    <cellStyle name="40 % - Markeringsfarve6 3 3 2 5 2" xfId="16397"/>
    <cellStyle name="40 % - Markeringsfarve6 3 3 2 5 3" xfId="27754"/>
    <cellStyle name="40 % - Markeringsfarve6 3 3 2 6" xfId="10576"/>
    <cellStyle name="40 % - Markeringsfarve6 3 3 2 6 2" xfId="21383"/>
    <cellStyle name="40 % - Markeringsfarve6 3 3 2 6 3" xfId="32740"/>
    <cellStyle name="40 % - Markeringsfarve6 3 3 2 7" xfId="11410"/>
    <cellStyle name="40 % - Markeringsfarve6 3 3 2 8" xfId="22216"/>
    <cellStyle name="40 % - Markeringsfarve6 3 3 2 9" xfId="22770"/>
    <cellStyle name="40 % - Markeringsfarve6 3 3 3" xfId="871"/>
    <cellStyle name="40 % - Markeringsfarve6 3 3 3 2" xfId="1703"/>
    <cellStyle name="40 % - Markeringsfarve6 3 3 3 2 2" xfId="3368"/>
    <cellStyle name="40 % - Markeringsfarve6 3 3 3 2 2 2" xfId="8356"/>
    <cellStyle name="40 % - Markeringsfarve6 3 3 3 2 2 2 2" xfId="19163"/>
    <cellStyle name="40 % - Markeringsfarve6 3 3 3 2 2 2 3" xfId="30520"/>
    <cellStyle name="40 % - Markeringsfarve6 3 3 3 2 2 3" xfId="14178"/>
    <cellStyle name="40 % - Markeringsfarve6 3 3 3 2 2 4" xfId="25536"/>
    <cellStyle name="40 % - Markeringsfarve6 3 3 3 2 3" xfId="5032"/>
    <cellStyle name="40 % - Markeringsfarve6 3 3 3 2 3 2" xfId="10017"/>
    <cellStyle name="40 % - Markeringsfarve6 3 3 3 2 3 2 2" xfId="20824"/>
    <cellStyle name="40 % - Markeringsfarve6 3 3 3 2 3 2 3" xfId="32181"/>
    <cellStyle name="40 % - Markeringsfarve6 3 3 3 2 3 3" xfId="15839"/>
    <cellStyle name="40 % - Markeringsfarve6 3 3 3 2 3 4" xfId="27197"/>
    <cellStyle name="40 % - Markeringsfarve6 3 3 3 2 4" xfId="6694"/>
    <cellStyle name="40 % - Markeringsfarve6 3 3 3 2 4 2" xfId="17502"/>
    <cellStyle name="40 % - Markeringsfarve6 3 3 3 2 4 3" xfId="28859"/>
    <cellStyle name="40 % - Markeringsfarve6 3 3 3 2 5" xfId="12517"/>
    <cellStyle name="40 % - Markeringsfarve6 3 3 3 2 6" xfId="23875"/>
    <cellStyle name="40 % - Markeringsfarve6 3 3 3 3" xfId="2537"/>
    <cellStyle name="40 % - Markeringsfarve6 3 3 3 3 2" xfId="7525"/>
    <cellStyle name="40 % - Markeringsfarve6 3 3 3 3 2 2" xfId="18332"/>
    <cellStyle name="40 % - Markeringsfarve6 3 3 3 3 2 3" xfId="29689"/>
    <cellStyle name="40 % - Markeringsfarve6 3 3 3 3 3" xfId="13347"/>
    <cellStyle name="40 % - Markeringsfarve6 3 3 3 3 4" xfId="24705"/>
    <cellStyle name="40 % - Markeringsfarve6 3 3 3 4" xfId="4201"/>
    <cellStyle name="40 % - Markeringsfarve6 3 3 3 4 2" xfId="9186"/>
    <cellStyle name="40 % - Markeringsfarve6 3 3 3 4 2 2" xfId="19993"/>
    <cellStyle name="40 % - Markeringsfarve6 3 3 3 4 2 3" xfId="31350"/>
    <cellStyle name="40 % - Markeringsfarve6 3 3 3 4 3" xfId="15008"/>
    <cellStyle name="40 % - Markeringsfarve6 3 3 3 4 4" xfId="26366"/>
    <cellStyle name="40 % - Markeringsfarve6 3 3 3 5" xfId="5863"/>
    <cellStyle name="40 % - Markeringsfarve6 3 3 3 5 2" xfId="16671"/>
    <cellStyle name="40 % - Markeringsfarve6 3 3 3 5 3" xfId="28028"/>
    <cellStyle name="40 % - Markeringsfarve6 3 3 3 6" xfId="10850"/>
    <cellStyle name="40 % - Markeringsfarve6 3 3 3 6 2" xfId="21657"/>
    <cellStyle name="40 % - Markeringsfarve6 3 3 3 6 3" xfId="33014"/>
    <cellStyle name="40 % - Markeringsfarve6 3 3 3 7" xfId="11685"/>
    <cellStyle name="40 % - Markeringsfarve6 3 3 3 8" xfId="23044"/>
    <cellStyle name="40 % - Markeringsfarve6 3 3 4" xfId="1150"/>
    <cellStyle name="40 % - Markeringsfarve6 3 3 4 2" xfId="2815"/>
    <cellStyle name="40 % - Markeringsfarve6 3 3 4 2 2" xfId="7803"/>
    <cellStyle name="40 % - Markeringsfarve6 3 3 4 2 2 2" xfId="18610"/>
    <cellStyle name="40 % - Markeringsfarve6 3 3 4 2 2 3" xfId="29967"/>
    <cellStyle name="40 % - Markeringsfarve6 3 3 4 2 3" xfId="13625"/>
    <cellStyle name="40 % - Markeringsfarve6 3 3 4 2 4" xfId="24983"/>
    <cellStyle name="40 % - Markeringsfarve6 3 3 4 3" xfId="4479"/>
    <cellStyle name="40 % - Markeringsfarve6 3 3 4 3 2" xfId="9464"/>
    <cellStyle name="40 % - Markeringsfarve6 3 3 4 3 2 2" xfId="20271"/>
    <cellStyle name="40 % - Markeringsfarve6 3 3 4 3 2 3" xfId="31628"/>
    <cellStyle name="40 % - Markeringsfarve6 3 3 4 3 3" xfId="15286"/>
    <cellStyle name="40 % - Markeringsfarve6 3 3 4 3 4" xfId="26644"/>
    <cellStyle name="40 % - Markeringsfarve6 3 3 4 4" xfId="6141"/>
    <cellStyle name="40 % - Markeringsfarve6 3 3 4 4 2" xfId="16949"/>
    <cellStyle name="40 % - Markeringsfarve6 3 3 4 4 3" xfId="28306"/>
    <cellStyle name="40 % - Markeringsfarve6 3 3 4 5" xfId="11964"/>
    <cellStyle name="40 % - Markeringsfarve6 3 3 4 6" xfId="23322"/>
    <cellStyle name="40 % - Markeringsfarve6 3 3 5" xfId="1985"/>
    <cellStyle name="40 % - Markeringsfarve6 3 3 5 2" xfId="6973"/>
    <cellStyle name="40 % - Markeringsfarve6 3 3 5 2 2" xfId="17781"/>
    <cellStyle name="40 % - Markeringsfarve6 3 3 5 2 3" xfId="29138"/>
    <cellStyle name="40 % - Markeringsfarve6 3 3 5 3" xfId="12796"/>
    <cellStyle name="40 % - Markeringsfarve6 3 3 5 4" xfId="24154"/>
    <cellStyle name="40 % - Markeringsfarve6 3 3 6" xfId="3650"/>
    <cellStyle name="40 % - Markeringsfarve6 3 3 6 2" xfId="8635"/>
    <cellStyle name="40 % - Markeringsfarve6 3 3 6 2 2" xfId="19442"/>
    <cellStyle name="40 % - Markeringsfarve6 3 3 6 2 3" xfId="30799"/>
    <cellStyle name="40 % - Markeringsfarve6 3 3 6 3" xfId="14457"/>
    <cellStyle name="40 % - Markeringsfarve6 3 3 6 4" xfId="25815"/>
    <cellStyle name="40 % - Markeringsfarve6 3 3 7" xfId="5311"/>
    <cellStyle name="40 % - Markeringsfarve6 3 3 7 2" xfId="16120"/>
    <cellStyle name="40 % - Markeringsfarve6 3 3 7 3" xfId="27477"/>
    <cellStyle name="40 % - Markeringsfarve6 3 3 8" xfId="10296"/>
    <cellStyle name="40 % - Markeringsfarve6 3 3 8 2" xfId="21103"/>
    <cellStyle name="40 % - Markeringsfarve6 3 3 8 3" xfId="32460"/>
    <cellStyle name="40 % - Markeringsfarve6 3 3 9" xfId="11130"/>
    <cellStyle name="40 % - Markeringsfarve6 3 4" xfId="335"/>
    <cellStyle name="40 % - Markeringsfarve6 3 4 10" xfId="21992"/>
    <cellStyle name="40 % - Markeringsfarve6 3 4 11" xfId="22545"/>
    <cellStyle name="40 % - Markeringsfarve6 3 4 12" xfId="33348"/>
    <cellStyle name="40 % - Markeringsfarve6 3 4 13" xfId="33623"/>
    <cellStyle name="40 % - Markeringsfarve6 3 4 14" xfId="33894"/>
    <cellStyle name="40 % - Markeringsfarve6 3 4 2" xfId="652"/>
    <cellStyle name="40 % - Markeringsfarve6 3 4 2 2" xfId="1484"/>
    <cellStyle name="40 % - Markeringsfarve6 3 4 2 2 2" xfId="3149"/>
    <cellStyle name="40 % - Markeringsfarve6 3 4 2 2 2 2" xfId="8137"/>
    <cellStyle name="40 % - Markeringsfarve6 3 4 2 2 2 2 2" xfId="18944"/>
    <cellStyle name="40 % - Markeringsfarve6 3 4 2 2 2 2 3" xfId="30301"/>
    <cellStyle name="40 % - Markeringsfarve6 3 4 2 2 2 3" xfId="13959"/>
    <cellStyle name="40 % - Markeringsfarve6 3 4 2 2 2 4" xfId="25317"/>
    <cellStyle name="40 % - Markeringsfarve6 3 4 2 2 3" xfId="4813"/>
    <cellStyle name="40 % - Markeringsfarve6 3 4 2 2 3 2" xfId="9798"/>
    <cellStyle name="40 % - Markeringsfarve6 3 4 2 2 3 2 2" xfId="20605"/>
    <cellStyle name="40 % - Markeringsfarve6 3 4 2 2 3 2 3" xfId="31962"/>
    <cellStyle name="40 % - Markeringsfarve6 3 4 2 2 3 3" xfId="15620"/>
    <cellStyle name="40 % - Markeringsfarve6 3 4 2 2 3 4" xfId="26978"/>
    <cellStyle name="40 % - Markeringsfarve6 3 4 2 2 4" xfId="6475"/>
    <cellStyle name="40 % - Markeringsfarve6 3 4 2 2 4 2" xfId="17283"/>
    <cellStyle name="40 % - Markeringsfarve6 3 4 2 2 4 3" xfId="28640"/>
    <cellStyle name="40 % - Markeringsfarve6 3 4 2 2 5" xfId="12298"/>
    <cellStyle name="40 % - Markeringsfarve6 3 4 2 2 6" xfId="23656"/>
    <cellStyle name="40 % - Markeringsfarve6 3 4 2 3" xfId="2318"/>
    <cellStyle name="40 % - Markeringsfarve6 3 4 2 3 2" xfId="7306"/>
    <cellStyle name="40 % - Markeringsfarve6 3 4 2 3 2 2" xfId="18113"/>
    <cellStyle name="40 % - Markeringsfarve6 3 4 2 3 2 3" xfId="29470"/>
    <cellStyle name="40 % - Markeringsfarve6 3 4 2 3 3" xfId="13128"/>
    <cellStyle name="40 % - Markeringsfarve6 3 4 2 3 4" xfId="24486"/>
    <cellStyle name="40 % - Markeringsfarve6 3 4 2 4" xfId="3982"/>
    <cellStyle name="40 % - Markeringsfarve6 3 4 2 4 2" xfId="8967"/>
    <cellStyle name="40 % - Markeringsfarve6 3 4 2 4 2 2" xfId="19774"/>
    <cellStyle name="40 % - Markeringsfarve6 3 4 2 4 2 3" xfId="31131"/>
    <cellStyle name="40 % - Markeringsfarve6 3 4 2 4 3" xfId="14789"/>
    <cellStyle name="40 % - Markeringsfarve6 3 4 2 4 4" xfId="26147"/>
    <cellStyle name="40 % - Markeringsfarve6 3 4 2 5" xfId="5644"/>
    <cellStyle name="40 % - Markeringsfarve6 3 4 2 5 2" xfId="16452"/>
    <cellStyle name="40 % - Markeringsfarve6 3 4 2 5 3" xfId="27809"/>
    <cellStyle name="40 % - Markeringsfarve6 3 4 2 6" xfId="10631"/>
    <cellStyle name="40 % - Markeringsfarve6 3 4 2 6 2" xfId="21438"/>
    <cellStyle name="40 % - Markeringsfarve6 3 4 2 6 3" xfId="32795"/>
    <cellStyle name="40 % - Markeringsfarve6 3 4 2 7" xfId="11465"/>
    <cellStyle name="40 % - Markeringsfarve6 3 4 2 8" xfId="22271"/>
    <cellStyle name="40 % - Markeringsfarve6 3 4 2 9" xfId="22825"/>
    <cellStyle name="40 % - Markeringsfarve6 3 4 3" xfId="926"/>
    <cellStyle name="40 % - Markeringsfarve6 3 4 3 2" xfId="1758"/>
    <cellStyle name="40 % - Markeringsfarve6 3 4 3 2 2" xfId="3423"/>
    <cellStyle name="40 % - Markeringsfarve6 3 4 3 2 2 2" xfId="8411"/>
    <cellStyle name="40 % - Markeringsfarve6 3 4 3 2 2 2 2" xfId="19218"/>
    <cellStyle name="40 % - Markeringsfarve6 3 4 3 2 2 2 3" xfId="30575"/>
    <cellStyle name="40 % - Markeringsfarve6 3 4 3 2 2 3" xfId="14233"/>
    <cellStyle name="40 % - Markeringsfarve6 3 4 3 2 2 4" xfId="25591"/>
    <cellStyle name="40 % - Markeringsfarve6 3 4 3 2 3" xfId="5087"/>
    <cellStyle name="40 % - Markeringsfarve6 3 4 3 2 3 2" xfId="10072"/>
    <cellStyle name="40 % - Markeringsfarve6 3 4 3 2 3 2 2" xfId="20879"/>
    <cellStyle name="40 % - Markeringsfarve6 3 4 3 2 3 2 3" xfId="32236"/>
    <cellStyle name="40 % - Markeringsfarve6 3 4 3 2 3 3" xfId="15894"/>
    <cellStyle name="40 % - Markeringsfarve6 3 4 3 2 3 4" xfId="27252"/>
    <cellStyle name="40 % - Markeringsfarve6 3 4 3 2 4" xfId="6749"/>
    <cellStyle name="40 % - Markeringsfarve6 3 4 3 2 4 2" xfId="17557"/>
    <cellStyle name="40 % - Markeringsfarve6 3 4 3 2 4 3" xfId="28914"/>
    <cellStyle name="40 % - Markeringsfarve6 3 4 3 2 5" xfId="12572"/>
    <cellStyle name="40 % - Markeringsfarve6 3 4 3 2 6" xfId="23930"/>
    <cellStyle name="40 % - Markeringsfarve6 3 4 3 3" xfId="2592"/>
    <cellStyle name="40 % - Markeringsfarve6 3 4 3 3 2" xfId="7580"/>
    <cellStyle name="40 % - Markeringsfarve6 3 4 3 3 2 2" xfId="18387"/>
    <cellStyle name="40 % - Markeringsfarve6 3 4 3 3 2 3" xfId="29744"/>
    <cellStyle name="40 % - Markeringsfarve6 3 4 3 3 3" xfId="13402"/>
    <cellStyle name="40 % - Markeringsfarve6 3 4 3 3 4" xfId="24760"/>
    <cellStyle name="40 % - Markeringsfarve6 3 4 3 4" xfId="4256"/>
    <cellStyle name="40 % - Markeringsfarve6 3 4 3 4 2" xfId="9241"/>
    <cellStyle name="40 % - Markeringsfarve6 3 4 3 4 2 2" xfId="20048"/>
    <cellStyle name="40 % - Markeringsfarve6 3 4 3 4 2 3" xfId="31405"/>
    <cellStyle name="40 % - Markeringsfarve6 3 4 3 4 3" xfId="15063"/>
    <cellStyle name="40 % - Markeringsfarve6 3 4 3 4 4" xfId="26421"/>
    <cellStyle name="40 % - Markeringsfarve6 3 4 3 5" xfId="5918"/>
    <cellStyle name="40 % - Markeringsfarve6 3 4 3 5 2" xfId="16726"/>
    <cellStyle name="40 % - Markeringsfarve6 3 4 3 5 3" xfId="28083"/>
    <cellStyle name="40 % - Markeringsfarve6 3 4 3 6" xfId="10905"/>
    <cellStyle name="40 % - Markeringsfarve6 3 4 3 6 2" xfId="21712"/>
    <cellStyle name="40 % - Markeringsfarve6 3 4 3 6 3" xfId="33069"/>
    <cellStyle name="40 % - Markeringsfarve6 3 4 3 7" xfId="11740"/>
    <cellStyle name="40 % - Markeringsfarve6 3 4 3 8" xfId="23099"/>
    <cellStyle name="40 % - Markeringsfarve6 3 4 4" xfId="1205"/>
    <cellStyle name="40 % - Markeringsfarve6 3 4 4 2" xfId="2870"/>
    <cellStyle name="40 % - Markeringsfarve6 3 4 4 2 2" xfId="7858"/>
    <cellStyle name="40 % - Markeringsfarve6 3 4 4 2 2 2" xfId="18665"/>
    <cellStyle name="40 % - Markeringsfarve6 3 4 4 2 2 3" xfId="30022"/>
    <cellStyle name="40 % - Markeringsfarve6 3 4 4 2 3" xfId="13680"/>
    <cellStyle name="40 % - Markeringsfarve6 3 4 4 2 4" xfId="25038"/>
    <cellStyle name="40 % - Markeringsfarve6 3 4 4 3" xfId="4534"/>
    <cellStyle name="40 % - Markeringsfarve6 3 4 4 3 2" xfId="9519"/>
    <cellStyle name="40 % - Markeringsfarve6 3 4 4 3 2 2" xfId="20326"/>
    <cellStyle name="40 % - Markeringsfarve6 3 4 4 3 2 3" xfId="31683"/>
    <cellStyle name="40 % - Markeringsfarve6 3 4 4 3 3" xfId="15341"/>
    <cellStyle name="40 % - Markeringsfarve6 3 4 4 3 4" xfId="26699"/>
    <cellStyle name="40 % - Markeringsfarve6 3 4 4 4" xfId="6196"/>
    <cellStyle name="40 % - Markeringsfarve6 3 4 4 4 2" xfId="17004"/>
    <cellStyle name="40 % - Markeringsfarve6 3 4 4 4 3" xfId="28361"/>
    <cellStyle name="40 % - Markeringsfarve6 3 4 4 5" xfId="12019"/>
    <cellStyle name="40 % - Markeringsfarve6 3 4 4 6" xfId="23377"/>
    <cellStyle name="40 % - Markeringsfarve6 3 4 5" xfId="2040"/>
    <cellStyle name="40 % - Markeringsfarve6 3 4 5 2" xfId="7028"/>
    <cellStyle name="40 % - Markeringsfarve6 3 4 5 2 2" xfId="17836"/>
    <cellStyle name="40 % - Markeringsfarve6 3 4 5 2 3" xfId="29193"/>
    <cellStyle name="40 % - Markeringsfarve6 3 4 5 3" xfId="12851"/>
    <cellStyle name="40 % - Markeringsfarve6 3 4 5 4" xfId="24209"/>
    <cellStyle name="40 % - Markeringsfarve6 3 4 6" xfId="3705"/>
    <cellStyle name="40 % - Markeringsfarve6 3 4 6 2" xfId="8690"/>
    <cellStyle name="40 % - Markeringsfarve6 3 4 6 2 2" xfId="19497"/>
    <cellStyle name="40 % - Markeringsfarve6 3 4 6 2 3" xfId="30854"/>
    <cellStyle name="40 % - Markeringsfarve6 3 4 6 3" xfId="14512"/>
    <cellStyle name="40 % - Markeringsfarve6 3 4 6 4" xfId="25870"/>
    <cellStyle name="40 % - Markeringsfarve6 3 4 7" xfId="5366"/>
    <cellStyle name="40 % - Markeringsfarve6 3 4 7 2" xfId="16175"/>
    <cellStyle name="40 % - Markeringsfarve6 3 4 7 3" xfId="27532"/>
    <cellStyle name="40 % - Markeringsfarve6 3 4 8" xfId="10351"/>
    <cellStyle name="40 % - Markeringsfarve6 3 4 8 2" xfId="21158"/>
    <cellStyle name="40 % - Markeringsfarve6 3 4 8 3" xfId="32515"/>
    <cellStyle name="40 % - Markeringsfarve6 3 4 9" xfId="11185"/>
    <cellStyle name="40 % - Markeringsfarve6 3 5" xfId="391"/>
    <cellStyle name="40 % - Markeringsfarve6 3 5 10" xfId="22048"/>
    <cellStyle name="40 % - Markeringsfarve6 3 5 11" xfId="22601"/>
    <cellStyle name="40 % - Markeringsfarve6 3 5 12" xfId="33404"/>
    <cellStyle name="40 % - Markeringsfarve6 3 5 13" xfId="33679"/>
    <cellStyle name="40 % - Markeringsfarve6 3 5 14" xfId="33950"/>
    <cellStyle name="40 % - Markeringsfarve6 3 5 2" xfId="708"/>
    <cellStyle name="40 % - Markeringsfarve6 3 5 2 2" xfId="1540"/>
    <cellStyle name="40 % - Markeringsfarve6 3 5 2 2 2" xfId="3205"/>
    <cellStyle name="40 % - Markeringsfarve6 3 5 2 2 2 2" xfId="8193"/>
    <cellStyle name="40 % - Markeringsfarve6 3 5 2 2 2 2 2" xfId="19000"/>
    <cellStyle name="40 % - Markeringsfarve6 3 5 2 2 2 2 3" xfId="30357"/>
    <cellStyle name="40 % - Markeringsfarve6 3 5 2 2 2 3" xfId="14015"/>
    <cellStyle name="40 % - Markeringsfarve6 3 5 2 2 2 4" xfId="25373"/>
    <cellStyle name="40 % - Markeringsfarve6 3 5 2 2 3" xfId="4869"/>
    <cellStyle name="40 % - Markeringsfarve6 3 5 2 2 3 2" xfId="9854"/>
    <cellStyle name="40 % - Markeringsfarve6 3 5 2 2 3 2 2" xfId="20661"/>
    <cellStyle name="40 % - Markeringsfarve6 3 5 2 2 3 2 3" xfId="32018"/>
    <cellStyle name="40 % - Markeringsfarve6 3 5 2 2 3 3" xfId="15676"/>
    <cellStyle name="40 % - Markeringsfarve6 3 5 2 2 3 4" xfId="27034"/>
    <cellStyle name="40 % - Markeringsfarve6 3 5 2 2 4" xfId="6531"/>
    <cellStyle name="40 % - Markeringsfarve6 3 5 2 2 4 2" xfId="17339"/>
    <cellStyle name="40 % - Markeringsfarve6 3 5 2 2 4 3" xfId="28696"/>
    <cellStyle name="40 % - Markeringsfarve6 3 5 2 2 5" xfId="12354"/>
    <cellStyle name="40 % - Markeringsfarve6 3 5 2 2 6" xfId="23712"/>
    <cellStyle name="40 % - Markeringsfarve6 3 5 2 3" xfId="2374"/>
    <cellStyle name="40 % - Markeringsfarve6 3 5 2 3 2" xfId="7362"/>
    <cellStyle name="40 % - Markeringsfarve6 3 5 2 3 2 2" xfId="18169"/>
    <cellStyle name="40 % - Markeringsfarve6 3 5 2 3 2 3" xfId="29526"/>
    <cellStyle name="40 % - Markeringsfarve6 3 5 2 3 3" xfId="13184"/>
    <cellStyle name="40 % - Markeringsfarve6 3 5 2 3 4" xfId="24542"/>
    <cellStyle name="40 % - Markeringsfarve6 3 5 2 4" xfId="4038"/>
    <cellStyle name="40 % - Markeringsfarve6 3 5 2 4 2" xfId="9023"/>
    <cellStyle name="40 % - Markeringsfarve6 3 5 2 4 2 2" xfId="19830"/>
    <cellStyle name="40 % - Markeringsfarve6 3 5 2 4 2 3" xfId="31187"/>
    <cellStyle name="40 % - Markeringsfarve6 3 5 2 4 3" xfId="14845"/>
    <cellStyle name="40 % - Markeringsfarve6 3 5 2 4 4" xfId="26203"/>
    <cellStyle name="40 % - Markeringsfarve6 3 5 2 5" xfId="5700"/>
    <cellStyle name="40 % - Markeringsfarve6 3 5 2 5 2" xfId="16508"/>
    <cellStyle name="40 % - Markeringsfarve6 3 5 2 5 3" xfId="27865"/>
    <cellStyle name="40 % - Markeringsfarve6 3 5 2 6" xfId="10687"/>
    <cellStyle name="40 % - Markeringsfarve6 3 5 2 6 2" xfId="21494"/>
    <cellStyle name="40 % - Markeringsfarve6 3 5 2 6 3" xfId="32851"/>
    <cellStyle name="40 % - Markeringsfarve6 3 5 2 7" xfId="11521"/>
    <cellStyle name="40 % - Markeringsfarve6 3 5 2 8" xfId="22327"/>
    <cellStyle name="40 % - Markeringsfarve6 3 5 2 9" xfId="22881"/>
    <cellStyle name="40 % - Markeringsfarve6 3 5 3" xfId="982"/>
    <cellStyle name="40 % - Markeringsfarve6 3 5 3 2" xfId="1814"/>
    <cellStyle name="40 % - Markeringsfarve6 3 5 3 2 2" xfId="3479"/>
    <cellStyle name="40 % - Markeringsfarve6 3 5 3 2 2 2" xfId="8467"/>
    <cellStyle name="40 % - Markeringsfarve6 3 5 3 2 2 2 2" xfId="19274"/>
    <cellStyle name="40 % - Markeringsfarve6 3 5 3 2 2 2 3" xfId="30631"/>
    <cellStyle name="40 % - Markeringsfarve6 3 5 3 2 2 3" xfId="14289"/>
    <cellStyle name="40 % - Markeringsfarve6 3 5 3 2 2 4" xfId="25647"/>
    <cellStyle name="40 % - Markeringsfarve6 3 5 3 2 3" xfId="5143"/>
    <cellStyle name="40 % - Markeringsfarve6 3 5 3 2 3 2" xfId="10128"/>
    <cellStyle name="40 % - Markeringsfarve6 3 5 3 2 3 2 2" xfId="20935"/>
    <cellStyle name="40 % - Markeringsfarve6 3 5 3 2 3 2 3" xfId="32292"/>
    <cellStyle name="40 % - Markeringsfarve6 3 5 3 2 3 3" xfId="15950"/>
    <cellStyle name="40 % - Markeringsfarve6 3 5 3 2 3 4" xfId="27308"/>
    <cellStyle name="40 % - Markeringsfarve6 3 5 3 2 4" xfId="6805"/>
    <cellStyle name="40 % - Markeringsfarve6 3 5 3 2 4 2" xfId="17613"/>
    <cellStyle name="40 % - Markeringsfarve6 3 5 3 2 4 3" xfId="28970"/>
    <cellStyle name="40 % - Markeringsfarve6 3 5 3 2 5" xfId="12628"/>
    <cellStyle name="40 % - Markeringsfarve6 3 5 3 2 6" xfId="23986"/>
    <cellStyle name="40 % - Markeringsfarve6 3 5 3 3" xfId="2648"/>
    <cellStyle name="40 % - Markeringsfarve6 3 5 3 3 2" xfId="7636"/>
    <cellStyle name="40 % - Markeringsfarve6 3 5 3 3 2 2" xfId="18443"/>
    <cellStyle name="40 % - Markeringsfarve6 3 5 3 3 2 3" xfId="29800"/>
    <cellStyle name="40 % - Markeringsfarve6 3 5 3 3 3" xfId="13458"/>
    <cellStyle name="40 % - Markeringsfarve6 3 5 3 3 4" xfId="24816"/>
    <cellStyle name="40 % - Markeringsfarve6 3 5 3 4" xfId="4312"/>
    <cellStyle name="40 % - Markeringsfarve6 3 5 3 4 2" xfId="9297"/>
    <cellStyle name="40 % - Markeringsfarve6 3 5 3 4 2 2" xfId="20104"/>
    <cellStyle name="40 % - Markeringsfarve6 3 5 3 4 2 3" xfId="31461"/>
    <cellStyle name="40 % - Markeringsfarve6 3 5 3 4 3" xfId="15119"/>
    <cellStyle name="40 % - Markeringsfarve6 3 5 3 4 4" xfId="26477"/>
    <cellStyle name="40 % - Markeringsfarve6 3 5 3 5" xfId="5974"/>
    <cellStyle name="40 % - Markeringsfarve6 3 5 3 5 2" xfId="16782"/>
    <cellStyle name="40 % - Markeringsfarve6 3 5 3 5 3" xfId="28139"/>
    <cellStyle name="40 % - Markeringsfarve6 3 5 3 6" xfId="10961"/>
    <cellStyle name="40 % - Markeringsfarve6 3 5 3 6 2" xfId="21768"/>
    <cellStyle name="40 % - Markeringsfarve6 3 5 3 6 3" xfId="33125"/>
    <cellStyle name="40 % - Markeringsfarve6 3 5 3 7" xfId="11796"/>
    <cellStyle name="40 % - Markeringsfarve6 3 5 3 8" xfId="23155"/>
    <cellStyle name="40 % - Markeringsfarve6 3 5 4" xfId="1261"/>
    <cellStyle name="40 % - Markeringsfarve6 3 5 4 2" xfId="2926"/>
    <cellStyle name="40 % - Markeringsfarve6 3 5 4 2 2" xfId="7914"/>
    <cellStyle name="40 % - Markeringsfarve6 3 5 4 2 2 2" xfId="18721"/>
    <cellStyle name="40 % - Markeringsfarve6 3 5 4 2 2 3" xfId="30078"/>
    <cellStyle name="40 % - Markeringsfarve6 3 5 4 2 3" xfId="13736"/>
    <cellStyle name="40 % - Markeringsfarve6 3 5 4 2 4" xfId="25094"/>
    <cellStyle name="40 % - Markeringsfarve6 3 5 4 3" xfId="4590"/>
    <cellStyle name="40 % - Markeringsfarve6 3 5 4 3 2" xfId="9575"/>
    <cellStyle name="40 % - Markeringsfarve6 3 5 4 3 2 2" xfId="20382"/>
    <cellStyle name="40 % - Markeringsfarve6 3 5 4 3 2 3" xfId="31739"/>
    <cellStyle name="40 % - Markeringsfarve6 3 5 4 3 3" xfId="15397"/>
    <cellStyle name="40 % - Markeringsfarve6 3 5 4 3 4" xfId="26755"/>
    <cellStyle name="40 % - Markeringsfarve6 3 5 4 4" xfId="6252"/>
    <cellStyle name="40 % - Markeringsfarve6 3 5 4 4 2" xfId="17060"/>
    <cellStyle name="40 % - Markeringsfarve6 3 5 4 4 3" xfId="28417"/>
    <cellStyle name="40 % - Markeringsfarve6 3 5 4 5" xfId="12075"/>
    <cellStyle name="40 % - Markeringsfarve6 3 5 4 6" xfId="23433"/>
    <cellStyle name="40 % - Markeringsfarve6 3 5 5" xfId="2096"/>
    <cellStyle name="40 % - Markeringsfarve6 3 5 5 2" xfId="7084"/>
    <cellStyle name="40 % - Markeringsfarve6 3 5 5 2 2" xfId="17892"/>
    <cellStyle name="40 % - Markeringsfarve6 3 5 5 2 3" xfId="29249"/>
    <cellStyle name="40 % - Markeringsfarve6 3 5 5 3" xfId="12907"/>
    <cellStyle name="40 % - Markeringsfarve6 3 5 5 4" xfId="24265"/>
    <cellStyle name="40 % - Markeringsfarve6 3 5 6" xfId="3761"/>
    <cellStyle name="40 % - Markeringsfarve6 3 5 6 2" xfId="8746"/>
    <cellStyle name="40 % - Markeringsfarve6 3 5 6 2 2" xfId="19553"/>
    <cellStyle name="40 % - Markeringsfarve6 3 5 6 2 3" xfId="30910"/>
    <cellStyle name="40 % - Markeringsfarve6 3 5 6 3" xfId="14568"/>
    <cellStyle name="40 % - Markeringsfarve6 3 5 6 4" xfId="25926"/>
    <cellStyle name="40 % - Markeringsfarve6 3 5 7" xfId="5422"/>
    <cellStyle name="40 % - Markeringsfarve6 3 5 7 2" xfId="16231"/>
    <cellStyle name="40 % - Markeringsfarve6 3 5 7 3" xfId="27588"/>
    <cellStyle name="40 % - Markeringsfarve6 3 5 8" xfId="10407"/>
    <cellStyle name="40 % - Markeringsfarve6 3 5 8 2" xfId="21214"/>
    <cellStyle name="40 % - Markeringsfarve6 3 5 8 3" xfId="32571"/>
    <cellStyle name="40 % - Markeringsfarve6 3 5 9" xfId="11241"/>
    <cellStyle name="40 % - Markeringsfarve6 3 6" xfId="491"/>
    <cellStyle name="40 % - Markeringsfarve6 3 6 2" xfId="1321"/>
    <cellStyle name="40 % - Markeringsfarve6 3 6 2 2" xfId="2986"/>
    <cellStyle name="40 % - Markeringsfarve6 3 6 2 2 2" xfId="7974"/>
    <cellStyle name="40 % - Markeringsfarve6 3 6 2 2 2 2" xfId="18781"/>
    <cellStyle name="40 % - Markeringsfarve6 3 6 2 2 2 3" xfId="30138"/>
    <cellStyle name="40 % - Markeringsfarve6 3 6 2 2 3" xfId="13796"/>
    <cellStyle name="40 % - Markeringsfarve6 3 6 2 2 4" xfId="25154"/>
    <cellStyle name="40 % - Markeringsfarve6 3 6 2 3" xfId="4650"/>
    <cellStyle name="40 % - Markeringsfarve6 3 6 2 3 2" xfId="9635"/>
    <cellStyle name="40 % - Markeringsfarve6 3 6 2 3 2 2" xfId="20442"/>
    <cellStyle name="40 % - Markeringsfarve6 3 6 2 3 2 3" xfId="31799"/>
    <cellStyle name="40 % - Markeringsfarve6 3 6 2 3 3" xfId="15457"/>
    <cellStyle name="40 % - Markeringsfarve6 3 6 2 3 4" xfId="26815"/>
    <cellStyle name="40 % - Markeringsfarve6 3 6 2 4" xfId="6312"/>
    <cellStyle name="40 % - Markeringsfarve6 3 6 2 4 2" xfId="17120"/>
    <cellStyle name="40 % - Markeringsfarve6 3 6 2 4 3" xfId="28477"/>
    <cellStyle name="40 % - Markeringsfarve6 3 6 2 5" xfId="12135"/>
    <cellStyle name="40 % - Markeringsfarve6 3 6 2 6" xfId="23493"/>
    <cellStyle name="40 % - Markeringsfarve6 3 6 3" xfId="2157"/>
    <cellStyle name="40 % - Markeringsfarve6 3 6 3 2" xfId="7145"/>
    <cellStyle name="40 % - Markeringsfarve6 3 6 3 2 2" xfId="17952"/>
    <cellStyle name="40 % - Markeringsfarve6 3 6 3 2 3" xfId="29309"/>
    <cellStyle name="40 % - Markeringsfarve6 3 6 3 3" xfId="12967"/>
    <cellStyle name="40 % - Markeringsfarve6 3 6 3 4" xfId="24325"/>
    <cellStyle name="40 % - Markeringsfarve6 3 6 4" xfId="3821"/>
    <cellStyle name="40 % - Markeringsfarve6 3 6 4 2" xfId="8806"/>
    <cellStyle name="40 % - Markeringsfarve6 3 6 4 2 2" xfId="19613"/>
    <cellStyle name="40 % - Markeringsfarve6 3 6 4 2 3" xfId="30970"/>
    <cellStyle name="40 % - Markeringsfarve6 3 6 4 3" xfId="14628"/>
    <cellStyle name="40 % - Markeringsfarve6 3 6 4 4" xfId="25986"/>
    <cellStyle name="40 % - Markeringsfarve6 3 6 5" xfId="5483"/>
    <cellStyle name="40 % - Markeringsfarve6 3 6 5 2" xfId="16291"/>
    <cellStyle name="40 % - Markeringsfarve6 3 6 5 3" xfId="27648"/>
    <cellStyle name="40 % - Markeringsfarve6 3 6 6" xfId="10468"/>
    <cellStyle name="40 % - Markeringsfarve6 3 6 6 2" xfId="21275"/>
    <cellStyle name="40 % - Markeringsfarve6 3 6 6 3" xfId="32632"/>
    <cellStyle name="40 % - Markeringsfarve6 3 6 7" xfId="11302"/>
    <cellStyle name="40 % - Markeringsfarve6 3 6 8" xfId="22108"/>
    <cellStyle name="40 % - Markeringsfarve6 3 6 9" xfId="22662"/>
    <cellStyle name="40 % - Markeringsfarve6 3 7" xfId="763"/>
    <cellStyle name="40 % - Markeringsfarve6 3 7 2" xfId="1595"/>
    <cellStyle name="40 % - Markeringsfarve6 3 7 2 2" xfId="3260"/>
    <cellStyle name="40 % - Markeringsfarve6 3 7 2 2 2" xfId="8248"/>
    <cellStyle name="40 % - Markeringsfarve6 3 7 2 2 2 2" xfId="19055"/>
    <cellStyle name="40 % - Markeringsfarve6 3 7 2 2 2 3" xfId="30412"/>
    <cellStyle name="40 % - Markeringsfarve6 3 7 2 2 3" xfId="14070"/>
    <cellStyle name="40 % - Markeringsfarve6 3 7 2 2 4" xfId="25428"/>
    <cellStyle name="40 % - Markeringsfarve6 3 7 2 3" xfId="4924"/>
    <cellStyle name="40 % - Markeringsfarve6 3 7 2 3 2" xfId="9909"/>
    <cellStyle name="40 % - Markeringsfarve6 3 7 2 3 2 2" xfId="20716"/>
    <cellStyle name="40 % - Markeringsfarve6 3 7 2 3 2 3" xfId="32073"/>
    <cellStyle name="40 % - Markeringsfarve6 3 7 2 3 3" xfId="15731"/>
    <cellStyle name="40 % - Markeringsfarve6 3 7 2 3 4" xfId="27089"/>
    <cellStyle name="40 % - Markeringsfarve6 3 7 2 4" xfId="6586"/>
    <cellStyle name="40 % - Markeringsfarve6 3 7 2 4 2" xfId="17394"/>
    <cellStyle name="40 % - Markeringsfarve6 3 7 2 4 3" xfId="28751"/>
    <cellStyle name="40 % - Markeringsfarve6 3 7 2 5" xfId="12409"/>
    <cellStyle name="40 % - Markeringsfarve6 3 7 2 6" xfId="23767"/>
    <cellStyle name="40 % - Markeringsfarve6 3 7 3" xfId="2429"/>
    <cellStyle name="40 % - Markeringsfarve6 3 7 3 2" xfId="7417"/>
    <cellStyle name="40 % - Markeringsfarve6 3 7 3 2 2" xfId="18224"/>
    <cellStyle name="40 % - Markeringsfarve6 3 7 3 2 3" xfId="29581"/>
    <cellStyle name="40 % - Markeringsfarve6 3 7 3 3" xfId="13239"/>
    <cellStyle name="40 % - Markeringsfarve6 3 7 3 4" xfId="24597"/>
    <cellStyle name="40 % - Markeringsfarve6 3 7 4" xfId="4093"/>
    <cellStyle name="40 % - Markeringsfarve6 3 7 4 2" xfId="9078"/>
    <cellStyle name="40 % - Markeringsfarve6 3 7 4 2 2" xfId="19885"/>
    <cellStyle name="40 % - Markeringsfarve6 3 7 4 2 3" xfId="31242"/>
    <cellStyle name="40 % - Markeringsfarve6 3 7 4 3" xfId="14900"/>
    <cellStyle name="40 % - Markeringsfarve6 3 7 4 4" xfId="26258"/>
    <cellStyle name="40 % - Markeringsfarve6 3 7 5" xfId="5755"/>
    <cellStyle name="40 % - Markeringsfarve6 3 7 5 2" xfId="16563"/>
    <cellStyle name="40 % - Markeringsfarve6 3 7 5 3" xfId="27920"/>
    <cellStyle name="40 % - Markeringsfarve6 3 7 6" xfId="10742"/>
    <cellStyle name="40 % - Markeringsfarve6 3 7 6 2" xfId="21549"/>
    <cellStyle name="40 % - Markeringsfarve6 3 7 6 3" xfId="32906"/>
    <cellStyle name="40 % - Markeringsfarve6 3 7 7" xfId="11577"/>
    <cellStyle name="40 % - Markeringsfarve6 3 7 8" xfId="22936"/>
    <cellStyle name="40 % - Markeringsfarve6 3 8" xfId="1042"/>
    <cellStyle name="40 % - Markeringsfarve6 3 8 2" xfId="2707"/>
    <cellStyle name="40 % - Markeringsfarve6 3 8 2 2" xfId="7695"/>
    <cellStyle name="40 % - Markeringsfarve6 3 8 2 2 2" xfId="18502"/>
    <cellStyle name="40 % - Markeringsfarve6 3 8 2 2 3" xfId="29859"/>
    <cellStyle name="40 % - Markeringsfarve6 3 8 2 3" xfId="13517"/>
    <cellStyle name="40 % - Markeringsfarve6 3 8 2 4" xfId="24875"/>
    <cellStyle name="40 % - Markeringsfarve6 3 8 3" xfId="4371"/>
    <cellStyle name="40 % - Markeringsfarve6 3 8 3 2" xfId="9356"/>
    <cellStyle name="40 % - Markeringsfarve6 3 8 3 2 2" xfId="20163"/>
    <cellStyle name="40 % - Markeringsfarve6 3 8 3 2 3" xfId="31520"/>
    <cellStyle name="40 % - Markeringsfarve6 3 8 3 3" xfId="15178"/>
    <cellStyle name="40 % - Markeringsfarve6 3 8 3 4" xfId="26536"/>
    <cellStyle name="40 % - Markeringsfarve6 3 8 4" xfId="6033"/>
    <cellStyle name="40 % - Markeringsfarve6 3 8 4 2" xfId="16841"/>
    <cellStyle name="40 % - Markeringsfarve6 3 8 4 3" xfId="28198"/>
    <cellStyle name="40 % - Markeringsfarve6 3 8 5" xfId="11856"/>
    <cellStyle name="40 % - Markeringsfarve6 3 8 6" xfId="23214"/>
    <cellStyle name="40 % - Markeringsfarve6 3 9" xfId="1878"/>
    <cellStyle name="40 % - Markeringsfarve6 3 9 2" xfId="6866"/>
    <cellStyle name="40 % - Markeringsfarve6 3 9 2 2" xfId="17674"/>
    <cellStyle name="40 % - Markeringsfarve6 3 9 2 3" xfId="29031"/>
    <cellStyle name="40 % - Markeringsfarve6 3 9 3" xfId="12689"/>
    <cellStyle name="40 % - Markeringsfarve6 3 9 4" xfId="24047"/>
    <cellStyle name="40 % - Markeringsfarve6 4" xfId="188"/>
    <cellStyle name="40 % - Markeringsfarve6 4 10" xfId="21846"/>
    <cellStyle name="40 % - Markeringsfarve6 4 11" xfId="22399"/>
    <cellStyle name="40 % - Markeringsfarve6 4 12" xfId="33202"/>
    <cellStyle name="40 % - Markeringsfarve6 4 13" xfId="33475"/>
    <cellStyle name="40 % - Markeringsfarve6 4 14" xfId="33746"/>
    <cellStyle name="40 % - Markeringsfarve6 4 2" xfId="508"/>
    <cellStyle name="40 % - Markeringsfarve6 4 2 2" xfId="1338"/>
    <cellStyle name="40 % - Markeringsfarve6 4 2 2 2" xfId="3003"/>
    <cellStyle name="40 % - Markeringsfarve6 4 2 2 2 2" xfId="7991"/>
    <cellStyle name="40 % - Markeringsfarve6 4 2 2 2 2 2" xfId="18798"/>
    <cellStyle name="40 % - Markeringsfarve6 4 2 2 2 2 3" xfId="30155"/>
    <cellStyle name="40 % - Markeringsfarve6 4 2 2 2 3" xfId="13813"/>
    <cellStyle name="40 % - Markeringsfarve6 4 2 2 2 4" xfId="25171"/>
    <cellStyle name="40 % - Markeringsfarve6 4 2 2 3" xfId="4667"/>
    <cellStyle name="40 % - Markeringsfarve6 4 2 2 3 2" xfId="9652"/>
    <cellStyle name="40 % - Markeringsfarve6 4 2 2 3 2 2" xfId="20459"/>
    <cellStyle name="40 % - Markeringsfarve6 4 2 2 3 2 3" xfId="31816"/>
    <cellStyle name="40 % - Markeringsfarve6 4 2 2 3 3" xfId="15474"/>
    <cellStyle name="40 % - Markeringsfarve6 4 2 2 3 4" xfId="26832"/>
    <cellStyle name="40 % - Markeringsfarve6 4 2 2 4" xfId="6329"/>
    <cellStyle name="40 % - Markeringsfarve6 4 2 2 4 2" xfId="17137"/>
    <cellStyle name="40 % - Markeringsfarve6 4 2 2 4 3" xfId="28494"/>
    <cellStyle name="40 % - Markeringsfarve6 4 2 2 5" xfId="12152"/>
    <cellStyle name="40 % - Markeringsfarve6 4 2 2 6" xfId="23510"/>
    <cellStyle name="40 % - Markeringsfarve6 4 2 3" xfId="2174"/>
    <cellStyle name="40 % - Markeringsfarve6 4 2 3 2" xfId="7162"/>
    <cellStyle name="40 % - Markeringsfarve6 4 2 3 2 2" xfId="17969"/>
    <cellStyle name="40 % - Markeringsfarve6 4 2 3 2 3" xfId="29326"/>
    <cellStyle name="40 % - Markeringsfarve6 4 2 3 3" xfId="12984"/>
    <cellStyle name="40 % - Markeringsfarve6 4 2 3 4" xfId="24342"/>
    <cellStyle name="40 % - Markeringsfarve6 4 2 4" xfId="3838"/>
    <cellStyle name="40 % - Markeringsfarve6 4 2 4 2" xfId="8823"/>
    <cellStyle name="40 % - Markeringsfarve6 4 2 4 2 2" xfId="19630"/>
    <cellStyle name="40 % - Markeringsfarve6 4 2 4 2 3" xfId="30987"/>
    <cellStyle name="40 % - Markeringsfarve6 4 2 4 3" xfId="14645"/>
    <cellStyle name="40 % - Markeringsfarve6 4 2 4 4" xfId="26003"/>
    <cellStyle name="40 % - Markeringsfarve6 4 2 5" xfId="5500"/>
    <cellStyle name="40 % - Markeringsfarve6 4 2 5 2" xfId="16308"/>
    <cellStyle name="40 % - Markeringsfarve6 4 2 5 3" xfId="27665"/>
    <cellStyle name="40 % - Markeringsfarve6 4 2 6" xfId="10485"/>
    <cellStyle name="40 % - Markeringsfarve6 4 2 6 2" xfId="21292"/>
    <cellStyle name="40 % - Markeringsfarve6 4 2 6 3" xfId="32649"/>
    <cellStyle name="40 % - Markeringsfarve6 4 2 7" xfId="11319"/>
    <cellStyle name="40 % - Markeringsfarve6 4 2 8" xfId="22125"/>
    <cellStyle name="40 % - Markeringsfarve6 4 2 9" xfId="22679"/>
    <cellStyle name="40 % - Markeringsfarve6 4 3" xfId="780"/>
    <cellStyle name="40 % - Markeringsfarve6 4 3 2" xfId="1612"/>
    <cellStyle name="40 % - Markeringsfarve6 4 3 2 2" xfId="3277"/>
    <cellStyle name="40 % - Markeringsfarve6 4 3 2 2 2" xfId="8265"/>
    <cellStyle name="40 % - Markeringsfarve6 4 3 2 2 2 2" xfId="19072"/>
    <cellStyle name="40 % - Markeringsfarve6 4 3 2 2 2 3" xfId="30429"/>
    <cellStyle name="40 % - Markeringsfarve6 4 3 2 2 3" xfId="14087"/>
    <cellStyle name="40 % - Markeringsfarve6 4 3 2 2 4" xfId="25445"/>
    <cellStyle name="40 % - Markeringsfarve6 4 3 2 3" xfId="4941"/>
    <cellStyle name="40 % - Markeringsfarve6 4 3 2 3 2" xfId="9926"/>
    <cellStyle name="40 % - Markeringsfarve6 4 3 2 3 2 2" xfId="20733"/>
    <cellStyle name="40 % - Markeringsfarve6 4 3 2 3 2 3" xfId="32090"/>
    <cellStyle name="40 % - Markeringsfarve6 4 3 2 3 3" xfId="15748"/>
    <cellStyle name="40 % - Markeringsfarve6 4 3 2 3 4" xfId="27106"/>
    <cellStyle name="40 % - Markeringsfarve6 4 3 2 4" xfId="6603"/>
    <cellStyle name="40 % - Markeringsfarve6 4 3 2 4 2" xfId="17411"/>
    <cellStyle name="40 % - Markeringsfarve6 4 3 2 4 3" xfId="28768"/>
    <cellStyle name="40 % - Markeringsfarve6 4 3 2 5" xfId="12426"/>
    <cellStyle name="40 % - Markeringsfarve6 4 3 2 6" xfId="23784"/>
    <cellStyle name="40 % - Markeringsfarve6 4 3 3" xfId="2446"/>
    <cellStyle name="40 % - Markeringsfarve6 4 3 3 2" xfId="7434"/>
    <cellStyle name="40 % - Markeringsfarve6 4 3 3 2 2" xfId="18241"/>
    <cellStyle name="40 % - Markeringsfarve6 4 3 3 2 3" xfId="29598"/>
    <cellStyle name="40 % - Markeringsfarve6 4 3 3 3" xfId="13256"/>
    <cellStyle name="40 % - Markeringsfarve6 4 3 3 4" xfId="24614"/>
    <cellStyle name="40 % - Markeringsfarve6 4 3 4" xfId="4110"/>
    <cellStyle name="40 % - Markeringsfarve6 4 3 4 2" xfId="9095"/>
    <cellStyle name="40 % - Markeringsfarve6 4 3 4 2 2" xfId="19902"/>
    <cellStyle name="40 % - Markeringsfarve6 4 3 4 2 3" xfId="31259"/>
    <cellStyle name="40 % - Markeringsfarve6 4 3 4 3" xfId="14917"/>
    <cellStyle name="40 % - Markeringsfarve6 4 3 4 4" xfId="26275"/>
    <cellStyle name="40 % - Markeringsfarve6 4 3 5" xfId="5772"/>
    <cellStyle name="40 % - Markeringsfarve6 4 3 5 2" xfId="16580"/>
    <cellStyle name="40 % - Markeringsfarve6 4 3 5 3" xfId="27937"/>
    <cellStyle name="40 % - Markeringsfarve6 4 3 6" xfId="10759"/>
    <cellStyle name="40 % - Markeringsfarve6 4 3 6 2" xfId="21566"/>
    <cellStyle name="40 % - Markeringsfarve6 4 3 6 3" xfId="32923"/>
    <cellStyle name="40 % - Markeringsfarve6 4 3 7" xfId="11594"/>
    <cellStyle name="40 % - Markeringsfarve6 4 3 8" xfId="22953"/>
    <cellStyle name="40 % - Markeringsfarve6 4 4" xfId="1059"/>
    <cellStyle name="40 % - Markeringsfarve6 4 4 2" xfId="2724"/>
    <cellStyle name="40 % - Markeringsfarve6 4 4 2 2" xfId="7712"/>
    <cellStyle name="40 % - Markeringsfarve6 4 4 2 2 2" xfId="18519"/>
    <cellStyle name="40 % - Markeringsfarve6 4 4 2 2 3" xfId="29876"/>
    <cellStyle name="40 % - Markeringsfarve6 4 4 2 3" xfId="13534"/>
    <cellStyle name="40 % - Markeringsfarve6 4 4 2 4" xfId="24892"/>
    <cellStyle name="40 % - Markeringsfarve6 4 4 3" xfId="4388"/>
    <cellStyle name="40 % - Markeringsfarve6 4 4 3 2" xfId="9373"/>
    <cellStyle name="40 % - Markeringsfarve6 4 4 3 2 2" xfId="20180"/>
    <cellStyle name="40 % - Markeringsfarve6 4 4 3 2 3" xfId="31537"/>
    <cellStyle name="40 % - Markeringsfarve6 4 4 3 3" xfId="15195"/>
    <cellStyle name="40 % - Markeringsfarve6 4 4 3 4" xfId="26553"/>
    <cellStyle name="40 % - Markeringsfarve6 4 4 4" xfId="6050"/>
    <cellStyle name="40 % - Markeringsfarve6 4 4 4 2" xfId="16858"/>
    <cellStyle name="40 % - Markeringsfarve6 4 4 4 3" xfId="28215"/>
    <cellStyle name="40 % - Markeringsfarve6 4 4 5" xfId="11873"/>
    <cellStyle name="40 % - Markeringsfarve6 4 4 6" xfId="23231"/>
    <cellStyle name="40 % - Markeringsfarve6 4 5" xfId="1894"/>
    <cellStyle name="40 % - Markeringsfarve6 4 5 2" xfId="6882"/>
    <cellStyle name="40 % - Markeringsfarve6 4 5 2 2" xfId="17690"/>
    <cellStyle name="40 % - Markeringsfarve6 4 5 2 3" xfId="29047"/>
    <cellStyle name="40 % - Markeringsfarve6 4 5 3" xfId="12705"/>
    <cellStyle name="40 % - Markeringsfarve6 4 5 4" xfId="24063"/>
    <cellStyle name="40 % - Markeringsfarve6 4 6" xfId="3559"/>
    <cellStyle name="40 % - Markeringsfarve6 4 6 2" xfId="8544"/>
    <cellStyle name="40 % - Markeringsfarve6 4 6 2 2" xfId="19351"/>
    <cellStyle name="40 % - Markeringsfarve6 4 6 2 3" xfId="30708"/>
    <cellStyle name="40 % - Markeringsfarve6 4 6 3" xfId="14366"/>
    <cellStyle name="40 % - Markeringsfarve6 4 6 4" xfId="25724"/>
    <cellStyle name="40 % - Markeringsfarve6 4 7" xfId="5220"/>
    <cellStyle name="40 % - Markeringsfarve6 4 7 2" xfId="16029"/>
    <cellStyle name="40 % - Markeringsfarve6 4 7 3" xfId="27386"/>
    <cellStyle name="40 % - Markeringsfarve6 4 8" xfId="10205"/>
    <cellStyle name="40 % - Markeringsfarve6 4 8 2" xfId="21012"/>
    <cellStyle name="40 % - Markeringsfarve6 4 8 3" xfId="32369"/>
    <cellStyle name="40 % - Markeringsfarve6 4 9" xfId="11039"/>
    <cellStyle name="40 % - Markeringsfarve6 5" xfId="241"/>
    <cellStyle name="40 % - Markeringsfarve6 5 10" xfId="21899"/>
    <cellStyle name="40 % - Markeringsfarve6 5 11" xfId="22452"/>
    <cellStyle name="40 % - Markeringsfarve6 5 12" xfId="33255"/>
    <cellStyle name="40 % - Markeringsfarve6 5 13" xfId="33530"/>
    <cellStyle name="40 % - Markeringsfarve6 5 14" xfId="33801"/>
    <cellStyle name="40 % - Markeringsfarve6 5 2" xfId="559"/>
    <cellStyle name="40 % - Markeringsfarve6 5 2 2" xfId="1391"/>
    <cellStyle name="40 % - Markeringsfarve6 5 2 2 2" xfId="3056"/>
    <cellStyle name="40 % - Markeringsfarve6 5 2 2 2 2" xfId="8044"/>
    <cellStyle name="40 % - Markeringsfarve6 5 2 2 2 2 2" xfId="18851"/>
    <cellStyle name="40 % - Markeringsfarve6 5 2 2 2 2 3" xfId="30208"/>
    <cellStyle name="40 % - Markeringsfarve6 5 2 2 2 3" xfId="13866"/>
    <cellStyle name="40 % - Markeringsfarve6 5 2 2 2 4" xfId="25224"/>
    <cellStyle name="40 % - Markeringsfarve6 5 2 2 3" xfId="4720"/>
    <cellStyle name="40 % - Markeringsfarve6 5 2 2 3 2" xfId="9705"/>
    <cellStyle name="40 % - Markeringsfarve6 5 2 2 3 2 2" xfId="20512"/>
    <cellStyle name="40 % - Markeringsfarve6 5 2 2 3 2 3" xfId="31869"/>
    <cellStyle name="40 % - Markeringsfarve6 5 2 2 3 3" xfId="15527"/>
    <cellStyle name="40 % - Markeringsfarve6 5 2 2 3 4" xfId="26885"/>
    <cellStyle name="40 % - Markeringsfarve6 5 2 2 4" xfId="6382"/>
    <cellStyle name="40 % - Markeringsfarve6 5 2 2 4 2" xfId="17190"/>
    <cellStyle name="40 % - Markeringsfarve6 5 2 2 4 3" xfId="28547"/>
    <cellStyle name="40 % - Markeringsfarve6 5 2 2 5" xfId="12205"/>
    <cellStyle name="40 % - Markeringsfarve6 5 2 2 6" xfId="23563"/>
    <cellStyle name="40 % - Markeringsfarve6 5 2 3" xfId="2225"/>
    <cellStyle name="40 % - Markeringsfarve6 5 2 3 2" xfId="7213"/>
    <cellStyle name="40 % - Markeringsfarve6 5 2 3 2 2" xfId="18020"/>
    <cellStyle name="40 % - Markeringsfarve6 5 2 3 2 3" xfId="29377"/>
    <cellStyle name="40 % - Markeringsfarve6 5 2 3 3" xfId="13035"/>
    <cellStyle name="40 % - Markeringsfarve6 5 2 3 4" xfId="24393"/>
    <cellStyle name="40 % - Markeringsfarve6 5 2 4" xfId="3889"/>
    <cellStyle name="40 % - Markeringsfarve6 5 2 4 2" xfId="8874"/>
    <cellStyle name="40 % - Markeringsfarve6 5 2 4 2 2" xfId="19681"/>
    <cellStyle name="40 % - Markeringsfarve6 5 2 4 2 3" xfId="31038"/>
    <cellStyle name="40 % - Markeringsfarve6 5 2 4 3" xfId="14696"/>
    <cellStyle name="40 % - Markeringsfarve6 5 2 4 4" xfId="26054"/>
    <cellStyle name="40 % - Markeringsfarve6 5 2 5" xfId="5551"/>
    <cellStyle name="40 % - Markeringsfarve6 5 2 5 2" xfId="16359"/>
    <cellStyle name="40 % - Markeringsfarve6 5 2 5 3" xfId="27716"/>
    <cellStyle name="40 % - Markeringsfarve6 5 2 6" xfId="10538"/>
    <cellStyle name="40 % - Markeringsfarve6 5 2 6 2" xfId="21345"/>
    <cellStyle name="40 % - Markeringsfarve6 5 2 6 3" xfId="32702"/>
    <cellStyle name="40 % - Markeringsfarve6 5 2 7" xfId="11372"/>
    <cellStyle name="40 % - Markeringsfarve6 5 2 8" xfId="22178"/>
    <cellStyle name="40 % - Markeringsfarve6 5 2 9" xfId="22732"/>
    <cellStyle name="40 % - Markeringsfarve6 5 3" xfId="833"/>
    <cellStyle name="40 % - Markeringsfarve6 5 3 2" xfId="1665"/>
    <cellStyle name="40 % - Markeringsfarve6 5 3 2 2" xfId="3330"/>
    <cellStyle name="40 % - Markeringsfarve6 5 3 2 2 2" xfId="8318"/>
    <cellStyle name="40 % - Markeringsfarve6 5 3 2 2 2 2" xfId="19125"/>
    <cellStyle name="40 % - Markeringsfarve6 5 3 2 2 2 3" xfId="30482"/>
    <cellStyle name="40 % - Markeringsfarve6 5 3 2 2 3" xfId="14140"/>
    <cellStyle name="40 % - Markeringsfarve6 5 3 2 2 4" xfId="25498"/>
    <cellStyle name="40 % - Markeringsfarve6 5 3 2 3" xfId="4994"/>
    <cellStyle name="40 % - Markeringsfarve6 5 3 2 3 2" xfId="9979"/>
    <cellStyle name="40 % - Markeringsfarve6 5 3 2 3 2 2" xfId="20786"/>
    <cellStyle name="40 % - Markeringsfarve6 5 3 2 3 2 3" xfId="32143"/>
    <cellStyle name="40 % - Markeringsfarve6 5 3 2 3 3" xfId="15801"/>
    <cellStyle name="40 % - Markeringsfarve6 5 3 2 3 4" xfId="27159"/>
    <cellStyle name="40 % - Markeringsfarve6 5 3 2 4" xfId="6656"/>
    <cellStyle name="40 % - Markeringsfarve6 5 3 2 4 2" xfId="17464"/>
    <cellStyle name="40 % - Markeringsfarve6 5 3 2 4 3" xfId="28821"/>
    <cellStyle name="40 % - Markeringsfarve6 5 3 2 5" xfId="12479"/>
    <cellStyle name="40 % - Markeringsfarve6 5 3 2 6" xfId="23837"/>
    <cellStyle name="40 % - Markeringsfarve6 5 3 3" xfId="2499"/>
    <cellStyle name="40 % - Markeringsfarve6 5 3 3 2" xfId="7487"/>
    <cellStyle name="40 % - Markeringsfarve6 5 3 3 2 2" xfId="18294"/>
    <cellStyle name="40 % - Markeringsfarve6 5 3 3 2 3" xfId="29651"/>
    <cellStyle name="40 % - Markeringsfarve6 5 3 3 3" xfId="13309"/>
    <cellStyle name="40 % - Markeringsfarve6 5 3 3 4" xfId="24667"/>
    <cellStyle name="40 % - Markeringsfarve6 5 3 4" xfId="4163"/>
    <cellStyle name="40 % - Markeringsfarve6 5 3 4 2" xfId="9148"/>
    <cellStyle name="40 % - Markeringsfarve6 5 3 4 2 2" xfId="19955"/>
    <cellStyle name="40 % - Markeringsfarve6 5 3 4 2 3" xfId="31312"/>
    <cellStyle name="40 % - Markeringsfarve6 5 3 4 3" xfId="14970"/>
    <cellStyle name="40 % - Markeringsfarve6 5 3 4 4" xfId="26328"/>
    <cellStyle name="40 % - Markeringsfarve6 5 3 5" xfId="5825"/>
    <cellStyle name="40 % - Markeringsfarve6 5 3 5 2" xfId="16633"/>
    <cellStyle name="40 % - Markeringsfarve6 5 3 5 3" xfId="27990"/>
    <cellStyle name="40 % - Markeringsfarve6 5 3 6" xfId="10812"/>
    <cellStyle name="40 % - Markeringsfarve6 5 3 6 2" xfId="21619"/>
    <cellStyle name="40 % - Markeringsfarve6 5 3 6 3" xfId="32976"/>
    <cellStyle name="40 % - Markeringsfarve6 5 3 7" xfId="11647"/>
    <cellStyle name="40 % - Markeringsfarve6 5 3 8" xfId="23006"/>
    <cellStyle name="40 % - Markeringsfarve6 5 4" xfId="1112"/>
    <cellStyle name="40 % - Markeringsfarve6 5 4 2" xfId="2777"/>
    <cellStyle name="40 % - Markeringsfarve6 5 4 2 2" xfId="7765"/>
    <cellStyle name="40 % - Markeringsfarve6 5 4 2 2 2" xfId="18572"/>
    <cellStyle name="40 % - Markeringsfarve6 5 4 2 2 3" xfId="29929"/>
    <cellStyle name="40 % - Markeringsfarve6 5 4 2 3" xfId="13587"/>
    <cellStyle name="40 % - Markeringsfarve6 5 4 2 4" xfId="24945"/>
    <cellStyle name="40 % - Markeringsfarve6 5 4 3" xfId="4441"/>
    <cellStyle name="40 % - Markeringsfarve6 5 4 3 2" xfId="9426"/>
    <cellStyle name="40 % - Markeringsfarve6 5 4 3 2 2" xfId="20233"/>
    <cellStyle name="40 % - Markeringsfarve6 5 4 3 2 3" xfId="31590"/>
    <cellStyle name="40 % - Markeringsfarve6 5 4 3 3" xfId="15248"/>
    <cellStyle name="40 % - Markeringsfarve6 5 4 3 4" xfId="26606"/>
    <cellStyle name="40 % - Markeringsfarve6 5 4 4" xfId="6103"/>
    <cellStyle name="40 % - Markeringsfarve6 5 4 4 2" xfId="16911"/>
    <cellStyle name="40 % - Markeringsfarve6 5 4 4 3" xfId="28268"/>
    <cellStyle name="40 % - Markeringsfarve6 5 4 5" xfId="11926"/>
    <cellStyle name="40 % - Markeringsfarve6 5 4 6" xfId="23284"/>
    <cellStyle name="40 % - Markeringsfarve6 5 5" xfId="1947"/>
    <cellStyle name="40 % - Markeringsfarve6 5 5 2" xfId="6935"/>
    <cellStyle name="40 % - Markeringsfarve6 5 5 2 2" xfId="17743"/>
    <cellStyle name="40 % - Markeringsfarve6 5 5 2 3" xfId="29100"/>
    <cellStyle name="40 % - Markeringsfarve6 5 5 3" xfId="12758"/>
    <cellStyle name="40 % - Markeringsfarve6 5 5 4" xfId="24116"/>
    <cellStyle name="40 % - Markeringsfarve6 5 6" xfId="3612"/>
    <cellStyle name="40 % - Markeringsfarve6 5 6 2" xfId="8597"/>
    <cellStyle name="40 % - Markeringsfarve6 5 6 2 2" xfId="19404"/>
    <cellStyle name="40 % - Markeringsfarve6 5 6 2 3" xfId="30761"/>
    <cellStyle name="40 % - Markeringsfarve6 5 6 3" xfId="14419"/>
    <cellStyle name="40 % - Markeringsfarve6 5 6 4" xfId="25777"/>
    <cellStyle name="40 % - Markeringsfarve6 5 7" xfId="5273"/>
    <cellStyle name="40 % - Markeringsfarve6 5 7 2" xfId="16082"/>
    <cellStyle name="40 % - Markeringsfarve6 5 7 3" xfId="27439"/>
    <cellStyle name="40 % - Markeringsfarve6 5 8" xfId="10258"/>
    <cellStyle name="40 % - Markeringsfarve6 5 8 2" xfId="21065"/>
    <cellStyle name="40 % - Markeringsfarve6 5 8 3" xfId="32422"/>
    <cellStyle name="40 % - Markeringsfarve6 5 9" xfId="11092"/>
    <cellStyle name="40 % - Markeringsfarve6 6" xfId="297"/>
    <cellStyle name="40 % - Markeringsfarve6 6 10" xfId="21954"/>
    <cellStyle name="40 % - Markeringsfarve6 6 11" xfId="22507"/>
    <cellStyle name="40 % - Markeringsfarve6 6 12" xfId="33310"/>
    <cellStyle name="40 % - Markeringsfarve6 6 13" xfId="33585"/>
    <cellStyle name="40 % - Markeringsfarve6 6 14" xfId="33856"/>
    <cellStyle name="40 % - Markeringsfarve6 6 2" xfId="614"/>
    <cellStyle name="40 % - Markeringsfarve6 6 2 2" xfId="1446"/>
    <cellStyle name="40 % - Markeringsfarve6 6 2 2 2" xfId="3111"/>
    <cellStyle name="40 % - Markeringsfarve6 6 2 2 2 2" xfId="8099"/>
    <cellStyle name="40 % - Markeringsfarve6 6 2 2 2 2 2" xfId="18906"/>
    <cellStyle name="40 % - Markeringsfarve6 6 2 2 2 2 3" xfId="30263"/>
    <cellStyle name="40 % - Markeringsfarve6 6 2 2 2 3" xfId="13921"/>
    <cellStyle name="40 % - Markeringsfarve6 6 2 2 2 4" xfId="25279"/>
    <cellStyle name="40 % - Markeringsfarve6 6 2 2 3" xfId="4775"/>
    <cellStyle name="40 % - Markeringsfarve6 6 2 2 3 2" xfId="9760"/>
    <cellStyle name="40 % - Markeringsfarve6 6 2 2 3 2 2" xfId="20567"/>
    <cellStyle name="40 % - Markeringsfarve6 6 2 2 3 2 3" xfId="31924"/>
    <cellStyle name="40 % - Markeringsfarve6 6 2 2 3 3" xfId="15582"/>
    <cellStyle name="40 % - Markeringsfarve6 6 2 2 3 4" xfId="26940"/>
    <cellStyle name="40 % - Markeringsfarve6 6 2 2 4" xfId="6437"/>
    <cellStyle name="40 % - Markeringsfarve6 6 2 2 4 2" xfId="17245"/>
    <cellStyle name="40 % - Markeringsfarve6 6 2 2 4 3" xfId="28602"/>
    <cellStyle name="40 % - Markeringsfarve6 6 2 2 5" xfId="12260"/>
    <cellStyle name="40 % - Markeringsfarve6 6 2 2 6" xfId="23618"/>
    <cellStyle name="40 % - Markeringsfarve6 6 2 3" xfId="2280"/>
    <cellStyle name="40 % - Markeringsfarve6 6 2 3 2" xfId="7268"/>
    <cellStyle name="40 % - Markeringsfarve6 6 2 3 2 2" xfId="18075"/>
    <cellStyle name="40 % - Markeringsfarve6 6 2 3 2 3" xfId="29432"/>
    <cellStyle name="40 % - Markeringsfarve6 6 2 3 3" xfId="13090"/>
    <cellStyle name="40 % - Markeringsfarve6 6 2 3 4" xfId="24448"/>
    <cellStyle name="40 % - Markeringsfarve6 6 2 4" xfId="3944"/>
    <cellStyle name="40 % - Markeringsfarve6 6 2 4 2" xfId="8929"/>
    <cellStyle name="40 % - Markeringsfarve6 6 2 4 2 2" xfId="19736"/>
    <cellStyle name="40 % - Markeringsfarve6 6 2 4 2 3" xfId="31093"/>
    <cellStyle name="40 % - Markeringsfarve6 6 2 4 3" xfId="14751"/>
    <cellStyle name="40 % - Markeringsfarve6 6 2 4 4" xfId="26109"/>
    <cellStyle name="40 % - Markeringsfarve6 6 2 5" xfId="5606"/>
    <cellStyle name="40 % - Markeringsfarve6 6 2 5 2" xfId="16414"/>
    <cellStyle name="40 % - Markeringsfarve6 6 2 5 3" xfId="27771"/>
    <cellStyle name="40 % - Markeringsfarve6 6 2 6" xfId="10593"/>
    <cellStyle name="40 % - Markeringsfarve6 6 2 6 2" xfId="21400"/>
    <cellStyle name="40 % - Markeringsfarve6 6 2 6 3" xfId="32757"/>
    <cellStyle name="40 % - Markeringsfarve6 6 2 7" xfId="11427"/>
    <cellStyle name="40 % - Markeringsfarve6 6 2 8" xfId="22233"/>
    <cellStyle name="40 % - Markeringsfarve6 6 2 9" xfId="22787"/>
    <cellStyle name="40 % - Markeringsfarve6 6 3" xfId="888"/>
    <cellStyle name="40 % - Markeringsfarve6 6 3 2" xfId="1720"/>
    <cellStyle name="40 % - Markeringsfarve6 6 3 2 2" xfId="3385"/>
    <cellStyle name="40 % - Markeringsfarve6 6 3 2 2 2" xfId="8373"/>
    <cellStyle name="40 % - Markeringsfarve6 6 3 2 2 2 2" xfId="19180"/>
    <cellStyle name="40 % - Markeringsfarve6 6 3 2 2 2 3" xfId="30537"/>
    <cellStyle name="40 % - Markeringsfarve6 6 3 2 2 3" xfId="14195"/>
    <cellStyle name="40 % - Markeringsfarve6 6 3 2 2 4" xfId="25553"/>
    <cellStyle name="40 % - Markeringsfarve6 6 3 2 3" xfId="5049"/>
    <cellStyle name="40 % - Markeringsfarve6 6 3 2 3 2" xfId="10034"/>
    <cellStyle name="40 % - Markeringsfarve6 6 3 2 3 2 2" xfId="20841"/>
    <cellStyle name="40 % - Markeringsfarve6 6 3 2 3 2 3" xfId="32198"/>
    <cellStyle name="40 % - Markeringsfarve6 6 3 2 3 3" xfId="15856"/>
    <cellStyle name="40 % - Markeringsfarve6 6 3 2 3 4" xfId="27214"/>
    <cellStyle name="40 % - Markeringsfarve6 6 3 2 4" xfId="6711"/>
    <cellStyle name="40 % - Markeringsfarve6 6 3 2 4 2" xfId="17519"/>
    <cellStyle name="40 % - Markeringsfarve6 6 3 2 4 3" xfId="28876"/>
    <cellStyle name="40 % - Markeringsfarve6 6 3 2 5" xfId="12534"/>
    <cellStyle name="40 % - Markeringsfarve6 6 3 2 6" xfId="23892"/>
    <cellStyle name="40 % - Markeringsfarve6 6 3 3" xfId="2554"/>
    <cellStyle name="40 % - Markeringsfarve6 6 3 3 2" xfId="7542"/>
    <cellStyle name="40 % - Markeringsfarve6 6 3 3 2 2" xfId="18349"/>
    <cellStyle name="40 % - Markeringsfarve6 6 3 3 2 3" xfId="29706"/>
    <cellStyle name="40 % - Markeringsfarve6 6 3 3 3" xfId="13364"/>
    <cellStyle name="40 % - Markeringsfarve6 6 3 3 4" xfId="24722"/>
    <cellStyle name="40 % - Markeringsfarve6 6 3 4" xfId="4218"/>
    <cellStyle name="40 % - Markeringsfarve6 6 3 4 2" xfId="9203"/>
    <cellStyle name="40 % - Markeringsfarve6 6 3 4 2 2" xfId="20010"/>
    <cellStyle name="40 % - Markeringsfarve6 6 3 4 2 3" xfId="31367"/>
    <cellStyle name="40 % - Markeringsfarve6 6 3 4 3" xfId="15025"/>
    <cellStyle name="40 % - Markeringsfarve6 6 3 4 4" xfId="26383"/>
    <cellStyle name="40 % - Markeringsfarve6 6 3 5" xfId="5880"/>
    <cellStyle name="40 % - Markeringsfarve6 6 3 5 2" xfId="16688"/>
    <cellStyle name="40 % - Markeringsfarve6 6 3 5 3" xfId="28045"/>
    <cellStyle name="40 % - Markeringsfarve6 6 3 6" xfId="10867"/>
    <cellStyle name="40 % - Markeringsfarve6 6 3 6 2" xfId="21674"/>
    <cellStyle name="40 % - Markeringsfarve6 6 3 6 3" xfId="33031"/>
    <cellStyle name="40 % - Markeringsfarve6 6 3 7" xfId="11702"/>
    <cellStyle name="40 % - Markeringsfarve6 6 3 8" xfId="23061"/>
    <cellStyle name="40 % - Markeringsfarve6 6 4" xfId="1167"/>
    <cellStyle name="40 % - Markeringsfarve6 6 4 2" xfId="2832"/>
    <cellStyle name="40 % - Markeringsfarve6 6 4 2 2" xfId="7820"/>
    <cellStyle name="40 % - Markeringsfarve6 6 4 2 2 2" xfId="18627"/>
    <cellStyle name="40 % - Markeringsfarve6 6 4 2 2 3" xfId="29984"/>
    <cellStyle name="40 % - Markeringsfarve6 6 4 2 3" xfId="13642"/>
    <cellStyle name="40 % - Markeringsfarve6 6 4 2 4" xfId="25000"/>
    <cellStyle name="40 % - Markeringsfarve6 6 4 3" xfId="4496"/>
    <cellStyle name="40 % - Markeringsfarve6 6 4 3 2" xfId="9481"/>
    <cellStyle name="40 % - Markeringsfarve6 6 4 3 2 2" xfId="20288"/>
    <cellStyle name="40 % - Markeringsfarve6 6 4 3 2 3" xfId="31645"/>
    <cellStyle name="40 % - Markeringsfarve6 6 4 3 3" xfId="15303"/>
    <cellStyle name="40 % - Markeringsfarve6 6 4 3 4" xfId="26661"/>
    <cellStyle name="40 % - Markeringsfarve6 6 4 4" xfId="6158"/>
    <cellStyle name="40 % - Markeringsfarve6 6 4 4 2" xfId="16966"/>
    <cellStyle name="40 % - Markeringsfarve6 6 4 4 3" xfId="28323"/>
    <cellStyle name="40 % - Markeringsfarve6 6 4 5" xfId="11981"/>
    <cellStyle name="40 % - Markeringsfarve6 6 4 6" xfId="23339"/>
    <cellStyle name="40 % - Markeringsfarve6 6 5" xfId="2002"/>
    <cellStyle name="40 % - Markeringsfarve6 6 5 2" xfId="6990"/>
    <cellStyle name="40 % - Markeringsfarve6 6 5 2 2" xfId="17798"/>
    <cellStyle name="40 % - Markeringsfarve6 6 5 2 3" xfId="29155"/>
    <cellStyle name="40 % - Markeringsfarve6 6 5 3" xfId="12813"/>
    <cellStyle name="40 % - Markeringsfarve6 6 5 4" xfId="24171"/>
    <cellStyle name="40 % - Markeringsfarve6 6 6" xfId="3667"/>
    <cellStyle name="40 % - Markeringsfarve6 6 6 2" xfId="8652"/>
    <cellStyle name="40 % - Markeringsfarve6 6 6 2 2" xfId="19459"/>
    <cellStyle name="40 % - Markeringsfarve6 6 6 2 3" xfId="30816"/>
    <cellStyle name="40 % - Markeringsfarve6 6 6 3" xfId="14474"/>
    <cellStyle name="40 % - Markeringsfarve6 6 6 4" xfId="25832"/>
    <cellStyle name="40 % - Markeringsfarve6 6 7" xfId="5328"/>
    <cellStyle name="40 % - Markeringsfarve6 6 7 2" xfId="16137"/>
    <cellStyle name="40 % - Markeringsfarve6 6 7 3" xfId="27494"/>
    <cellStyle name="40 % - Markeringsfarve6 6 8" xfId="10313"/>
    <cellStyle name="40 % - Markeringsfarve6 6 8 2" xfId="21120"/>
    <cellStyle name="40 % - Markeringsfarve6 6 8 3" xfId="32477"/>
    <cellStyle name="40 % - Markeringsfarve6 6 9" xfId="11147"/>
    <cellStyle name="40 % - Markeringsfarve6 7" xfId="352"/>
    <cellStyle name="40 % - Markeringsfarve6 7 10" xfId="22009"/>
    <cellStyle name="40 % - Markeringsfarve6 7 11" xfId="22562"/>
    <cellStyle name="40 % - Markeringsfarve6 7 12" xfId="33365"/>
    <cellStyle name="40 % - Markeringsfarve6 7 13" xfId="33640"/>
    <cellStyle name="40 % - Markeringsfarve6 7 14" xfId="33911"/>
    <cellStyle name="40 % - Markeringsfarve6 7 2" xfId="669"/>
    <cellStyle name="40 % - Markeringsfarve6 7 2 2" xfId="1501"/>
    <cellStyle name="40 % - Markeringsfarve6 7 2 2 2" xfId="3166"/>
    <cellStyle name="40 % - Markeringsfarve6 7 2 2 2 2" xfId="8154"/>
    <cellStyle name="40 % - Markeringsfarve6 7 2 2 2 2 2" xfId="18961"/>
    <cellStyle name="40 % - Markeringsfarve6 7 2 2 2 2 3" xfId="30318"/>
    <cellStyle name="40 % - Markeringsfarve6 7 2 2 2 3" xfId="13976"/>
    <cellStyle name="40 % - Markeringsfarve6 7 2 2 2 4" xfId="25334"/>
    <cellStyle name="40 % - Markeringsfarve6 7 2 2 3" xfId="4830"/>
    <cellStyle name="40 % - Markeringsfarve6 7 2 2 3 2" xfId="9815"/>
    <cellStyle name="40 % - Markeringsfarve6 7 2 2 3 2 2" xfId="20622"/>
    <cellStyle name="40 % - Markeringsfarve6 7 2 2 3 2 3" xfId="31979"/>
    <cellStyle name="40 % - Markeringsfarve6 7 2 2 3 3" xfId="15637"/>
    <cellStyle name="40 % - Markeringsfarve6 7 2 2 3 4" xfId="26995"/>
    <cellStyle name="40 % - Markeringsfarve6 7 2 2 4" xfId="6492"/>
    <cellStyle name="40 % - Markeringsfarve6 7 2 2 4 2" xfId="17300"/>
    <cellStyle name="40 % - Markeringsfarve6 7 2 2 4 3" xfId="28657"/>
    <cellStyle name="40 % - Markeringsfarve6 7 2 2 5" xfId="12315"/>
    <cellStyle name="40 % - Markeringsfarve6 7 2 2 6" xfId="23673"/>
    <cellStyle name="40 % - Markeringsfarve6 7 2 3" xfId="2335"/>
    <cellStyle name="40 % - Markeringsfarve6 7 2 3 2" xfId="7323"/>
    <cellStyle name="40 % - Markeringsfarve6 7 2 3 2 2" xfId="18130"/>
    <cellStyle name="40 % - Markeringsfarve6 7 2 3 2 3" xfId="29487"/>
    <cellStyle name="40 % - Markeringsfarve6 7 2 3 3" xfId="13145"/>
    <cellStyle name="40 % - Markeringsfarve6 7 2 3 4" xfId="24503"/>
    <cellStyle name="40 % - Markeringsfarve6 7 2 4" xfId="3999"/>
    <cellStyle name="40 % - Markeringsfarve6 7 2 4 2" xfId="8984"/>
    <cellStyle name="40 % - Markeringsfarve6 7 2 4 2 2" xfId="19791"/>
    <cellStyle name="40 % - Markeringsfarve6 7 2 4 2 3" xfId="31148"/>
    <cellStyle name="40 % - Markeringsfarve6 7 2 4 3" xfId="14806"/>
    <cellStyle name="40 % - Markeringsfarve6 7 2 4 4" xfId="26164"/>
    <cellStyle name="40 % - Markeringsfarve6 7 2 5" xfId="5661"/>
    <cellStyle name="40 % - Markeringsfarve6 7 2 5 2" xfId="16469"/>
    <cellStyle name="40 % - Markeringsfarve6 7 2 5 3" xfId="27826"/>
    <cellStyle name="40 % - Markeringsfarve6 7 2 6" xfId="10648"/>
    <cellStyle name="40 % - Markeringsfarve6 7 2 6 2" xfId="21455"/>
    <cellStyle name="40 % - Markeringsfarve6 7 2 6 3" xfId="32812"/>
    <cellStyle name="40 % - Markeringsfarve6 7 2 7" xfId="11482"/>
    <cellStyle name="40 % - Markeringsfarve6 7 2 8" xfId="22288"/>
    <cellStyle name="40 % - Markeringsfarve6 7 2 9" xfId="22842"/>
    <cellStyle name="40 % - Markeringsfarve6 7 3" xfId="943"/>
    <cellStyle name="40 % - Markeringsfarve6 7 3 2" xfId="1775"/>
    <cellStyle name="40 % - Markeringsfarve6 7 3 2 2" xfId="3440"/>
    <cellStyle name="40 % - Markeringsfarve6 7 3 2 2 2" xfId="8428"/>
    <cellStyle name="40 % - Markeringsfarve6 7 3 2 2 2 2" xfId="19235"/>
    <cellStyle name="40 % - Markeringsfarve6 7 3 2 2 2 3" xfId="30592"/>
    <cellStyle name="40 % - Markeringsfarve6 7 3 2 2 3" xfId="14250"/>
    <cellStyle name="40 % - Markeringsfarve6 7 3 2 2 4" xfId="25608"/>
    <cellStyle name="40 % - Markeringsfarve6 7 3 2 3" xfId="5104"/>
    <cellStyle name="40 % - Markeringsfarve6 7 3 2 3 2" xfId="10089"/>
    <cellStyle name="40 % - Markeringsfarve6 7 3 2 3 2 2" xfId="20896"/>
    <cellStyle name="40 % - Markeringsfarve6 7 3 2 3 2 3" xfId="32253"/>
    <cellStyle name="40 % - Markeringsfarve6 7 3 2 3 3" xfId="15911"/>
    <cellStyle name="40 % - Markeringsfarve6 7 3 2 3 4" xfId="27269"/>
    <cellStyle name="40 % - Markeringsfarve6 7 3 2 4" xfId="6766"/>
    <cellStyle name="40 % - Markeringsfarve6 7 3 2 4 2" xfId="17574"/>
    <cellStyle name="40 % - Markeringsfarve6 7 3 2 4 3" xfId="28931"/>
    <cellStyle name="40 % - Markeringsfarve6 7 3 2 5" xfId="12589"/>
    <cellStyle name="40 % - Markeringsfarve6 7 3 2 6" xfId="23947"/>
    <cellStyle name="40 % - Markeringsfarve6 7 3 3" xfId="2609"/>
    <cellStyle name="40 % - Markeringsfarve6 7 3 3 2" xfId="7597"/>
    <cellStyle name="40 % - Markeringsfarve6 7 3 3 2 2" xfId="18404"/>
    <cellStyle name="40 % - Markeringsfarve6 7 3 3 2 3" xfId="29761"/>
    <cellStyle name="40 % - Markeringsfarve6 7 3 3 3" xfId="13419"/>
    <cellStyle name="40 % - Markeringsfarve6 7 3 3 4" xfId="24777"/>
    <cellStyle name="40 % - Markeringsfarve6 7 3 4" xfId="4273"/>
    <cellStyle name="40 % - Markeringsfarve6 7 3 4 2" xfId="9258"/>
    <cellStyle name="40 % - Markeringsfarve6 7 3 4 2 2" xfId="20065"/>
    <cellStyle name="40 % - Markeringsfarve6 7 3 4 2 3" xfId="31422"/>
    <cellStyle name="40 % - Markeringsfarve6 7 3 4 3" xfId="15080"/>
    <cellStyle name="40 % - Markeringsfarve6 7 3 4 4" xfId="26438"/>
    <cellStyle name="40 % - Markeringsfarve6 7 3 5" xfId="5935"/>
    <cellStyle name="40 % - Markeringsfarve6 7 3 5 2" xfId="16743"/>
    <cellStyle name="40 % - Markeringsfarve6 7 3 5 3" xfId="28100"/>
    <cellStyle name="40 % - Markeringsfarve6 7 3 6" xfId="10922"/>
    <cellStyle name="40 % - Markeringsfarve6 7 3 6 2" xfId="21729"/>
    <cellStyle name="40 % - Markeringsfarve6 7 3 6 3" xfId="33086"/>
    <cellStyle name="40 % - Markeringsfarve6 7 3 7" xfId="11757"/>
    <cellStyle name="40 % - Markeringsfarve6 7 3 8" xfId="23116"/>
    <cellStyle name="40 % - Markeringsfarve6 7 4" xfId="1222"/>
    <cellStyle name="40 % - Markeringsfarve6 7 4 2" xfId="2887"/>
    <cellStyle name="40 % - Markeringsfarve6 7 4 2 2" xfId="7875"/>
    <cellStyle name="40 % - Markeringsfarve6 7 4 2 2 2" xfId="18682"/>
    <cellStyle name="40 % - Markeringsfarve6 7 4 2 2 3" xfId="30039"/>
    <cellStyle name="40 % - Markeringsfarve6 7 4 2 3" xfId="13697"/>
    <cellStyle name="40 % - Markeringsfarve6 7 4 2 4" xfId="25055"/>
    <cellStyle name="40 % - Markeringsfarve6 7 4 3" xfId="4551"/>
    <cellStyle name="40 % - Markeringsfarve6 7 4 3 2" xfId="9536"/>
    <cellStyle name="40 % - Markeringsfarve6 7 4 3 2 2" xfId="20343"/>
    <cellStyle name="40 % - Markeringsfarve6 7 4 3 2 3" xfId="31700"/>
    <cellStyle name="40 % - Markeringsfarve6 7 4 3 3" xfId="15358"/>
    <cellStyle name="40 % - Markeringsfarve6 7 4 3 4" xfId="26716"/>
    <cellStyle name="40 % - Markeringsfarve6 7 4 4" xfId="6213"/>
    <cellStyle name="40 % - Markeringsfarve6 7 4 4 2" xfId="17021"/>
    <cellStyle name="40 % - Markeringsfarve6 7 4 4 3" xfId="28378"/>
    <cellStyle name="40 % - Markeringsfarve6 7 4 5" xfId="12036"/>
    <cellStyle name="40 % - Markeringsfarve6 7 4 6" xfId="23394"/>
    <cellStyle name="40 % - Markeringsfarve6 7 5" xfId="2057"/>
    <cellStyle name="40 % - Markeringsfarve6 7 5 2" xfId="7045"/>
    <cellStyle name="40 % - Markeringsfarve6 7 5 2 2" xfId="17853"/>
    <cellStyle name="40 % - Markeringsfarve6 7 5 2 3" xfId="29210"/>
    <cellStyle name="40 % - Markeringsfarve6 7 5 3" xfId="12868"/>
    <cellStyle name="40 % - Markeringsfarve6 7 5 4" xfId="24226"/>
    <cellStyle name="40 % - Markeringsfarve6 7 6" xfId="3722"/>
    <cellStyle name="40 % - Markeringsfarve6 7 6 2" xfId="8707"/>
    <cellStyle name="40 % - Markeringsfarve6 7 6 2 2" xfId="19514"/>
    <cellStyle name="40 % - Markeringsfarve6 7 6 2 3" xfId="30871"/>
    <cellStyle name="40 % - Markeringsfarve6 7 6 3" xfId="14529"/>
    <cellStyle name="40 % - Markeringsfarve6 7 6 4" xfId="25887"/>
    <cellStyle name="40 % - Markeringsfarve6 7 7" xfId="5383"/>
    <cellStyle name="40 % - Markeringsfarve6 7 7 2" xfId="16192"/>
    <cellStyle name="40 % - Markeringsfarve6 7 7 3" xfId="27549"/>
    <cellStyle name="40 % - Markeringsfarve6 7 8" xfId="10368"/>
    <cellStyle name="40 % - Markeringsfarve6 7 8 2" xfId="21175"/>
    <cellStyle name="40 % - Markeringsfarve6 7 8 3" xfId="32532"/>
    <cellStyle name="40 % - Markeringsfarve6 7 9" xfId="11202"/>
    <cellStyle name="40 % - Markeringsfarve6 8" xfId="453"/>
    <cellStyle name="40 % - Markeringsfarve6 8 2" xfId="1283"/>
    <cellStyle name="40 % - Markeringsfarve6 8 2 2" xfId="2948"/>
    <cellStyle name="40 % - Markeringsfarve6 8 2 2 2" xfId="7936"/>
    <cellStyle name="40 % - Markeringsfarve6 8 2 2 2 2" xfId="18743"/>
    <cellStyle name="40 % - Markeringsfarve6 8 2 2 2 3" xfId="30100"/>
    <cellStyle name="40 % - Markeringsfarve6 8 2 2 3" xfId="13758"/>
    <cellStyle name="40 % - Markeringsfarve6 8 2 2 4" xfId="25116"/>
    <cellStyle name="40 % - Markeringsfarve6 8 2 3" xfId="4612"/>
    <cellStyle name="40 % - Markeringsfarve6 8 2 3 2" xfId="9597"/>
    <cellStyle name="40 % - Markeringsfarve6 8 2 3 2 2" xfId="20404"/>
    <cellStyle name="40 % - Markeringsfarve6 8 2 3 2 3" xfId="31761"/>
    <cellStyle name="40 % - Markeringsfarve6 8 2 3 3" xfId="15419"/>
    <cellStyle name="40 % - Markeringsfarve6 8 2 3 4" xfId="26777"/>
    <cellStyle name="40 % - Markeringsfarve6 8 2 4" xfId="6274"/>
    <cellStyle name="40 % - Markeringsfarve6 8 2 4 2" xfId="17082"/>
    <cellStyle name="40 % - Markeringsfarve6 8 2 4 3" xfId="28439"/>
    <cellStyle name="40 % - Markeringsfarve6 8 2 5" xfId="12097"/>
    <cellStyle name="40 % - Markeringsfarve6 8 2 6" xfId="23455"/>
    <cellStyle name="40 % - Markeringsfarve6 8 3" xfId="2119"/>
    <cellStyle name="40 % - Markeringsfarve6 8 3 2" xfId="7107"/>
    <cellStyle name="40 % - Markeringsfarve6 8 3 2 2" xfId="17914"/>
    <cellStyle name="40 % - Markeringsfarve6 8 3 2 3" xfId="29271"/>
    <cellStyle name="40 % - Markeringsfarve6 8 3 3" xfId="12929"/>
    <cellStyle name="40 % - Markeringsfarve6 8 3 4" xfId="24287"/>
    <cellStyle name="40 % - Markeringsfarve6 8 4" xfId="3783"/>
    <cellStyle name="40 % - Markeringsfarve6 8 4 2" xfId="8768"/>
    <cellStyle name="40 % - Markeringsfarve6 8 4 2 2" xfId="19575"/>
    <cellStyle name="40 % - Markeringsfarve6 8 4 2 3" xfId="30932"/>
    <cellStyle name="40 % - Markeringsfarve6 8 4 3" xfId="14590"/>
    <cellStyle name="40 % - Markeringsfarve6 8 4 4" xfId="25948"/>
    <cellStyle name="40 % - Markeringsfarve6 8 5" xfId="5445"/>
    <cellStyle name="40 % - Markeringsfarve6 8 5 2" xfId="16253"/>
    <cellStyle name="40 % - Markeringsfarve6 8 5 3" xfId="27610"/>
    <cellStyle name="40 % - Markeringsfarve6 8 6" xfId="10444"/>
    <cellStyle name="40 % - Markeringsfarve6 8 6 2" xfId="21251"/>
    <cellStyle name="40 % - Markeringsfarve6 8 6 3" xfId="32608"/>
    <cellStyle name="40 % - Markeringsfarve6 8 7" xfId="11264"/>
    <cellStyle name="40 % - Markeringsfarve6 8 8" xfId="22070"/>
    <cellStyle name="40 % - Markeringsfarve6 8 9" xfId="22624"/>
    <cellStyle name="40 % - Markeringsfarve6 9" xfId="725"/>
    <cellStyle name="40 % - Markeringsfarve6 9 2" xfId="1557"/>
    <cellStyle name="40 % - Markeringsfarve6 9 2 2" xfId="3222"/>
    <cellStyle name="40 % - Markeringsfarve6 9 2 2 2" xfId="8210"/>
    <cellStyle name="40 % - Markeringsfarve6 9 2 2 2 2" xfId="19017"/>
    <cellStyle name="40 % - Markeringsfarve6 9 2 2 2 3" xfId="30374"/>
    <cellStyle name="40 % - Markeringsfarve6 9 2 2 3" xfId="14032"/>
    <cellStyle name="40 % - Markeringsfarve6 9 2 2 4" xfId="25390"/>
    <cellStyle name="40 % - Markeringsfarve6 9 2 3" xfId="4886"/>
    <cellStyle name="40 % - Markeringsfarve6 9 2 3 2" xfId="9871"/>
    <cellStyle name="40 % - Markeringsfarve6 9 2 3 2 2" xfId="20678"/>
    <cellStyle name="40 % - Markeringsfarve6 9 2 3 2 3" xfId="32035"/>
    <cellStyle name="40 % - Markeringsfarve6 9 2 3 3" xfId="15693"/>
    <cellStyle name="40 % - Markeringsfarve6 9 2 3 4" xfId="27051"/>
    <cellStyle name="40 % - Markeringsfarve6 9 2 4" xfId="6548"/>
    <cellStyle name="40 % - Markeringsfarve6 9 2 4 2" xfId="17356"/>
    <cellStyle name="40 % - Markeringsfarve6 9 2 4 3" xfId="28713"/>
    <cellStyle name="40 % - Markeringsfarve6 9 2 5" xfId="12371"/>
    <cellStyle name="40 % - Markeringsfarve6 9 2 6" xfId="23729"/>
    <cellStyle name="40 % - Markeringsfarve6 9 3" xfId="2391"/>
    <cellStyle name="40 % - Markeringsfarve6 9 3 2" xfId="7379"/>
    <cellStyle name="40 % - Markeringsfarve6 9 3 2 2" xfId="18186"/>
    <cellStyle name="40 % - Markeringsfarve6 9 3 2 3" xfId="29543"/>
    <cellStyle name="40 % - Markeringsfarve6 9 3 3" xfId="13201"/>
    <cellStyle name="40 % - Markeringsfarve6 9 3 4" xfId="24559"/>
    <cellStyle name="40 % - Markeringsfarve6 9 4" xfId="4055"/>
    <cellStyle name="40 % - Markeringsfarve6 9 4 2" xfId="9040"/>
    <cellStyle name="40 % - Markeringsfarve6 9 4 2 2" xfId="19847"/>
    <cellStyle name="40 % - Markeringsfarve6 9 4 2 3" xfId="31204"/>
    <cellStyle name="40 % - Markeringsfarve6 9 4 3" xfId="14862"/>
    <cellStyle name="40 % - Markeringsfarve6 9 4 4" xfId="26220"/>
    <cellStyle name="40 % - Markeringsfarve6 9 5" xfId="5717"/>
    <cellStyle name="40 % - Markeringsfarve6 9 5 2" xfId="16525"/>
    <cellStyle name="40 % - Markeringsfarve6 9 5 3" xfId="27882"/>
    <cellStyle name="40 % - Markeringsfarve6 9 6" xfId="10704"/>
    <cellStyle name="40 % - Markeringsfarve6 9 6 2" xfId="21511"/>
    <cellStyle name="40 % - Markeringsfarve6 9 6 3" xfId="32868"/>
    <cellStyle name="40 % - Markeringsfarve6 9 7" xfId="11539"/>
    <cellStyle name="40 % - Markeringsfarve6 9 8" xfId="22898"/>
    <cellStyle name="40% - Accent1" xfId="127"/>
    <cellStyle name="40% - Accent2" xfId="128"/>
    <cellStyle name="40% - Accent3" xfId="129"/>
    <cellStyle name="40% - Accent4" xfId="130"/>
    <cellStyle name="40% - Accent5" xfId="131"/>
    <cellStyle name="40% - Accent6" xfId="132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3 2" xfId="56"/>
    <cellStyle name="60 % - Markeringsfarve4" xfId="35" builtinId="44" customBuiltin="1"/>
    <cellStyle name="60 % - Markeringsfarve4 2" xfId="57"/>
    <cellStyle name="60 % - Markeringsfarve5" xfId="39" builtinId="48" customBuiltin="1"/>
    <cellStyle name="60 % - Markeringsfarve6" xfId="43" builtinId="52" customBuiltin="1"/>
    <cellStyle name="60 % - Markeringsfarve6 2" xfId="58"/>
    <cellStyle name="60% - Accent1" xfId="133"/>
    <cellStyle name="60% - Accent2" xfId="134"/>
    <cellStyle name="60% - Accent3" xfId="135"/>
    <cellStyle name="60% - Accent4" xfId="136"/>
    <cellStyle name="60% - Accent5" xfId="137"/>
    <cellStyle name="60% - Accent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dvarselstekst" xfId="16" builtinId="11" customBuiltin="1"/>
    <cellStyle name="Bad" xfId="145"/>
    <cellStyle name="Beløb" xfId="109"/>
    <cellStyle name="Beløb (negative)" xfId="110"/>
    <cellStyle name="Beløb 1000" xfId="111"/>
    <cellStyle name="Beløb 1000 (negative)" xfId="112"/>
    <cellStyle name="Bemærk!" xfId="17" builtinId="10" customBuiltin="1"/>
    <cellStyle name="Bemærk! 10" xfId="992"/>
    <cellStyle name="Bemærk! 10 2" xfId="2657"/>
    <cellStyle name="Bemærk! 10 2 2" xfId="7645"/>
    <cellStyle name="Bemærk! 10 2 2 2" xfId="18452"/>
    <cellStyle name="Bemærk! 10 2 2 3" xfId="29809"/>
    <cellStyle name="Bemærk! 10 2 3" xfId="13467"/>
    <cellStyle name="Bemærk! 10 2 4" xfId="24825"/>
    <cellStyle name="Bemærk! 10 3" xfId="4321"/>
    <cellStyle name="Bemærk! 10 3 2" xfId="9306"/>
    <cellStyle name="Bemærk! 10 3 2 2" xfId="20113"/>
    <cellStyle name="Bemærk! 10 3 2 3" xfId="31470"/>
    <cellStyle name="Bemærk! 10 3 3" xfId="15128"/>
    <cellStyle name="Bemærk! 10 3 4" xfId="26486"/>
    <cellStyle name="Bemærk! 10 4" xfId="5983"/>
    <cellStyle name="Bemærk! 10 4 2" xfId="16791"/>
    <cellStyle name="Bemærk! 10 4 3" xfId="28148"/>
    <cellStyle name="Bemærk! 10 5" xfId="11806"/>
    <cellStyle name="Bemærk! 10 6" xfId="23164"/>
    <cellStyle name="Bemærk! 11" xfId="1827"/>
    <cellStyle name="Bemærk! 11 2" xfId="6815"/>
    <cellStyle name="Bemærk! 11 2 2" xfId="17623"/>
    <cellStyle name="Bemærk! 11 2 3" xfId="28980"/>
    <cellStyle name="Bemærk! 11 3" xfId="12638"/>
    <cellStyle name="Bemærk! 11 4" xfId="23996"/>
    <cellStyle name="Bemærk! 12" xfId="3492"/>
    <cellStyle name="Bemærk! 12 2" xfId="8477"/>
    <cellStyle name="Bemærk! 12 2 2" xfId="19284"/>
    <cellStyle name="Bemærk! 12 2 3" xfId="30641"/>
    <cellStyle name="Bemærk! 12 3" xfId="14299"/>
    <cellStyle name="Bemærk! 12 4" xfId="25657"/>
    <cellStyle name="Bemærk! 13" xfId="5153"/>
    <cellStyle name="Bemærk! 13 2" xfId="15962"/>
    <cellStyle name="Bemærk! 13 3" xfId="27319"/>
    <cellStyle name="Bemærk! 14" xfId="10138"/>
    <cellStyle name="Bemærk! 14 2" xfId="20945"/>
    <cellStyle name="Bemærk! 14 3" xfId="32302"/>
    <cellStyle name="Bemærk! 15" xfId="10972"/>
    <cellStyle name="Bemærk! 16" xfId="21779"/>
    <cellStyle name="Bemærk! 17" xfId="22332"/>
    <cellStyle name="Bemærk! 18" xfId="33135"/>
    <cellStyle name="Bemærk! 2" xfId="59"/>
    <cellStyle name="Bemærk! 2 10" xfId="1846"/>
    <cellStyle name="Bemærk! 2 10 2" xfId="6834"/>
    <cellStyle name="Bemærk! 2 10 2 2" xfId="17642"/>
    <cellStyle name="Bemærk! 2 10 2 3" xfId="28999"/>
    <cellStyle name="Bemærk! 2 10 3" xfId="12657"/>
    <cellStyle name="Bemærk! 2 10 4" xfId="24015"/>
    <cellStyle name="Bemærk! 2 11" xfId="3511"/>
    <cellStyle name="Bemærk! 2 11 2" xfId="8496"/>
    <cellStyle name="Bemærk! 2 11 2 2" xfId="19303"/>
    <cellStyle name="Bemærk! 2 11 2 3" xfId="30660"/>
    <cellStyle name="Bemærk! 2 11 3" xfId="14318"/>
    <cellStyle name="Bemærk! 2 11 4" xfId="25676"/>
    <cellStyle name="Bemærk! 2 12" xfId="5172"/>
    <cellStyle name="Bemærk! 2 12 2" xfId="15981"/>
    <cellStyle name="Bemærk! 2 12 3" xfId="27338"/>
    <cellStyle name="Bemærk! 2 13" xfId="10157"/>
    <cellStyle name="Bemærk! 2 13 2" xfId="20964"/>
    <cellStyle name="Bemærk! 2 13 3" xfId="32321"/>
    <cellStyle name="Bemærk! 2 14" xfId="10991"/>
    <cellStyle name="Bemærk! 2 15" xfId="21798"/>
    <cellStyle name="Bemærk! 2 16" xfId="22351"/>
    <cellStyle name="Bemærk! 2 17" xfId="33154"/>
    <cellStyle name="Bemærk! 2 18" xfId="33422"/>
    <cellStyle name="Bemærk! 2 19" xfId="33693"/>
    <cellStyle name="Bemærk! 2 2" xfId="84"/>
    <cellStyle name="Bemærk! 2 2 10" xfId="3530"/>
    <cellStyle name="Bemærk! 2 2 10 2" xfId="8515"/>
    <cellStyle name="Bemærk! 2 2 10 2 2" xfId="19322"/>
    <cellStyle name="Bemærk! 2 2 10 2 3" xfId="30679"/>
    <cellStyle name="Bemærk! 2 2 10 3" xfId="14337"/>
    <cellStyle name="Bemærk! 2 2 10 4" xfId="25695"/>
    <cellStyle name="Bemærk! 2 2 11" xfId="5191"/>
    <cellStyle name="Bemærk! 2 2 11 2" xfId="16000"/>
    <cellStyle name="Bemærk! 2 2 11 3" xfId="27357"/>
    <cellStyle name="Bemærk! 2 2 12" xfId="10175"/>
    <cellStyle name="Bemærk! 2 2 12 2" xfId="20982"/>
    <cellStyle name="Bemærk! 2 2 12 3" xfId="32339"/>
    <cellStyle name="Bemærk! 2 2 13" xfId="11009"/>
    <cellStyle name="Bemærk! 2 2 14" xfId="21816"/>
    <cellStyle name="Bemærk! 2 2 15" xfId="22369"/>
    <cellStyle name="Bemærk! 2 2 16" xfId="33172"/>
    <cellStyle name="Bemærk! 2 2 17" xfId="33441"/>
    <cellStyle name="Bemærk! 2 2 18" xfId="33712"/>
    <cellStyle name="Bemærk! 2 2 2" xfId="212"/>
    <cellStyle name="Bemærk! 2 2 2 10" xfId="21870"/>
    <cellStyle name="Bemærk! 2 2 2 11" xfId="22423"/>
    <cellStyle name="Bemærk! 2 2 2 12" xfId="33226"/>
    <cellStyle name="Bemærk! 2 2 2 13" xfId="33501"/>
    <cellStyle name="Bemærk! 2 2 2 14" xfId="33772"/>
    <cellStyle name="Bemærk! 2 2 2 2" xfId="530"/>
    <cellStyle name="Bemærk! 2 2 2 2 2" xfId="1362"/>
    <cellStyle name="Bemærk! 2 2 2 2 2 2" xfId="3027"/>
    <cellStyle name="Bemærk! 2 2 2 2 2 2 2" xfId="8015"/>
    <cellStyle name="Bemærk! 2 2 2 2 2 2 2 2" xfId="18822"/>
    <cellStyle name="Bemærk! 2 2 2 2 2 2 2 3" xfId="30179"/>
    <cellStyle name="Bemærk! 2 2 2 2 2 2 3" xfId="13837"/>
    <cellStyle name="Bemærk! 2 2 2 2 2 2 4" xfId="25195"/>
    <cellStyle name="Bemærk! 2 2 2 2 2 3" xfId="4691"/>
    <cellStyle name="Bemærk! 2 2 2 2 2 3 2" xfId="9676"/>
    <cellStyle name="Bemærk! 2 2 2 2 2 3 2 2" xfId="20483"/>
    <cellStyle name="Bemærk! 2 2 2 2 2 3 2 3" xfId="31840"/>
    <cellStyle name="Bemærk! 2 2 2 2 2 3 3" xfId="15498"/>
    <cellStyle name="Bemærk! 2 2 2 2 2 3 4" xfId="26856"/>
    <cellStyle name="Bemærk! 2 2 2 2 2 4" xfId="6353"/>
    <cellStyle name="Bemærk! 2 2 2 2 2 4 2" xfId="17161"/>
    <cellStyle name="Bemærk! 2 2 2 2 2 4 3" xfId="28518"/>
    <cellStyle name="Bemærk! 2 2 2 2 2 5" xfId="12176"/>
    <cellStyle name="Bemærk! 2 2 2 2 2 6" xfId="23534"/>
    <cellStyle name="Bemærk! 2 2 2 2 3" xfId="2196"/>
    <cellStyle name="Bemærk! 2 2 2 2 3 2" xfId="7184"/>
    <cellStyle name="Bemærk! 2 2 2 2 3 2 2" xfId="17991"/>
    <cellStyle name="Bemærk! 2 2 2 2 3 2 3" xfId="29348"/>
    <cellStyle name="Bemærk! 2 2 2 2 3 3" xfId="13006"/>
    <cellStyle name="Bemærk! 2 2 2 2 3 4" xfId="24364"/>
    <cellStyle name="Bemærk! 2 2 2 2 4" xfId="3860"/>
    <cellStyle name="Bemærk! 2 2 2 2 4 2" xfId="8845"/>
    <cellStyle name="Bemærk! 2 2 2 2 4 2 2" xfId="19652"/>
    <cellStyle name="Bemærk! 2 2 2 2 4 2 3" xfId="31009"/>
    <cellStyle name="Bemærk! 2 2 2 2 4 3" xfId="14667"/>
    <cellStyle name="Bemærk! 2 2 2 2 4 4" xfId="26025"/>
    <cellStyle name="Bemærk! 2 2 2 2 5" xfId="5522"/>
    <cellStyle name="Bemærk! 2 2 2 2 5 2" xfId="16330"/>
    <cellStyle name="Bemærk! 2 2 2 2 5 3" xfId="27687"/>
    <cellStyle name="Bemærk! 2 2 2 2 6" xfId="10509"/>
    <cellStyle name="Bemærk! 2 2 2 2 6 2" xfId="21316"/>
    <cellStyle name="Bemærk! 2 2 2 2 6 3" xfId="32673"/>
    <cellStyle name="Bemærk! 2 2 2 2 7" xfId="11343"/>
    <cellStyle name="Bemærk! 2 2 2 2 8" xfId="22149"/>
    <cellStyle name="Bemærk! 2 2 2 2 9" xfId="22703"/>
    <cellStyle name="Bemærk! 2 2 2 3" xfId="804"/>
    <cellStyle name="Bemærk! 2 2 2 3 2" xfId="1636"/>
    <cellStyle name="Bemærk! 2 2 2 3 2 2" xfId="3301"/>
    <cellStyle name="Bemærk! 2 2 2 3 2 2 2" xfId="8289"/>
    <cellStyle name="Bemærk! 2 2 2 3 2 2 2 2" xfId="19096"/>
    <cellStyle name="Bemærk! 2 2 2 3 2 2 2 3" xfId="30453"/>
    <cellStyle name="Bemærk! 2 2 2 3 2 2 3" xfId="14111"/>
    <cellStyle name="Bemærk! 2 2 2 3 2 2 4" xfId="25469"/>
    <cellStyle name="Bemærk! 2 2 2 3 2 3" xfId="4965"/>
    <cellStyle name="Bemærk! 2 2 2 3 2 3 2" xfId="9950"/>
    <cellStyle name="Bemærk! 2 2 2 3 2 3 2 2" xfId="20757"/>
    <cellStyle name="Bemærk! 2 2 2 3 2 3 2 3" xfId="32114"/>
    <cellStyle name="Bemærk! 2 2 2 3 2 3 3" xfId="15772"/>
    <cellStyle name="Bemærk! 2 2 2 3 2 3 4" xfId="27130"/>
    <cellStyle name="Bemærk! 2 2 2 3 2 4" xfId="6627"/>
    <cellStyle name="Bemærk! 2 2 2 3 2 4 2" xfId="17435"/>
    <cellStyle name="Bemærk! 2 2 2 3 2 4 3" xfId="28792"/>
    <cellStyle name="Bemærk! 2 2 2 3 2 5" xfId="12450"/>
    <cellStyle name="Bemærk! 2 2 2 3 2 6" xfId="23808"/>
    <cellStyle name="Bemærk! 2 2 2 3 3" xfId="2470"/>
    <cellStyle name="Bemærk! 2 2 2 3 3 2" xfId="7458"/>
    <cellStyle name="Bemærk! 2 2 2 3 3 2 2" xfId="18265"/>
    <cellStyle name="Bemærk! 2 2 2 3 3 2 3" xfId="29622"/>
    <cellStyle name="Bemærk! 2 2 2 3 3 3" xfId="13280"/>
    <cellStyle name="Bemærk! 2 2 2 3 3 4" xfId="24638"/>
    <cellStyle name="Bemærk! 2 2 2 3 4" xfId="4134"/>
    <cellStyle name="Bemærk! 2 2 2 3 4 2" xfId="9119"/>
    <cellStyle name="Bemærk! 2 2 2 3 4 2 2" xfId="19926"/>
    <cellStyle name="Bemærk! 2 2 2 3 4 2 3" xfId="31283"/>
    <cellStyle name="Bemærk! 2 2 2 3 4 3" xfId="14941"/>
    <cellStyle name="Bemærk! 2 2 2 3 4 4" xfId="26299"/>
    <cellStyle name="Bemærk! 2 2 2 3 5" xfId="5796"/>
    <cellStyle name="Bemærk! 2 2 2 3 5 2" xfId="16604"/>
    <cellStyle name="Bemærk! 2 2 2 3 5 3" xfId="27961"/>
    <cellStyle name="Bemærk! 2 2 2 3 6" xfId="10783"/>
    <cellStyle name="Bemærk! 2 2 2 3 6 2" xfId="21590"/>
    <cellStyle name="Bemærk! 2 2 2 3 6 3" xfId="32947"/>
    <cellStyle name="Bemærk! 2 2 2 3 7" xfId="11618"/>
    <cellStyle name="Bemærk! 2 2 2 3 8" xfId="22977"/>
    <cellStyle name="Bemærk! 2 2 2 4" xfId="1083"/>
    <cellStyle name="Bemærk! 2 2 2 4 2" xfId="2748"/>
    <cellStyle name="Bemærk! 2 2 2 4 2 2" xfId="7736"/>
    <cellStyle name="Bemærk! 2 2 2 4 2 2 2" xfId="18543"/>
    <cellStyle name="Bemærk! 2 2 2 4 2 2 3" xfId="29900"/>
    <cellStyle name="Bemærk! 2 2 2 4 2 3" xfId="13558"/>
    <cellStyle name="Bemærk! 2 2 2 4 2 4" xfId="24916"/>
    <cellStyle name="Bemærk! 2 2 2 4 3" xfId="4412"/>
    <cellStyle name="Bemærk! 2 2 2 4 3 2" xfId="9397"/>
    <cellStyle name="Bemærk! 2 2 2 4 3 2 2" xfId="20204"/>
    <cellStyle name="Bemærk! 2 2 2 4 3 2 3" xfId="31561"/>
    <cellStyle name="Bemærk! 2 2 2 4 3 3" xfId="15219"/>
    <cellStyle name="Bemærk! 2 2 2 4 3 4" xfId="26577"/>
    <cellStyle name="Bemærk! 2 2 2 4 4" xfId="6074"/>
    <cellStyle name="Bemærk! 2 2 2 4 4 2" xfId="16882"/>
    <cellStyle name="Bemærk! 2 2 2 4 4 3" xfId="28239"/>
    <cellStyle name="Bemærk! 2 2 2 4 5" xfId="11897"/>
    <cellStyle name="Bemærk! 2 2 2 4 6" xfId="23255"/>
    <cellStyle name="Bemærk! 2 2 2 5" xfId="1918"/>
    <cellStyle name="Bemærk! 2 2 2 5 2" xfId="6906"/>
    <cellStyle name="Bemærk! 2 2 2 5 2 2" xfId="17714"/>
    <cellStyle name="Bemærk! 2 2 2 5 2 3" xfId="29071"/>
    <cellStyle name="Bemærk! 2 2 2 5 3" xfId="12729"/>
    <cellStyle name="Bemærk! 2 2 2 5 4" xfId="24087"/>
    <cellStyle name="Bemærk! 2 2 2 6" xfId="3583"/>
    <cellStyle name="Bemærk! 2 2 2 6 2" xfId="8568"/>
    <cellStyle name="Bemærk! 2 2 2 6 2 2" xfId="19375"/>
    <cellStyle name="Bemærk! 2 2 2 6 2 3" xfId="30732"/>
    <cellStyle name="Bemærk! 2 2 2 6 3" xfId="14390"/>
    <cellStyle name="Bemærk! 2 2 2 6 4" xfId="25748"/>
    <cellStyle name="Bemærk! 2 2 2 7" xfId="5244"/>
    <cellStyle name="Bemærk! 2 2 2 7 2" xfId="16053"/>
    <cellStyle name="Bemærk! 2 2 2 7 3" xfId="27410"/>
    <cellStyle name="Bemærk! 2 2 2 8" xfId="10229"/>
    <cellStyle name="Bemærk! 2 2 2 8 2" xfId="21036"/>
    <cellStyle name="Bemærk! 2 2 2 8 3" xfId="32393"/>
    <cellStyle name="Bemærk! 2 2 2 9" xfId="11063"/>
    <cellStyle name="Bemærk! 2 2 3" xfId="267"/>
    <cellStyle name="Bemærk! 2 2 3 10" xfId="21924"/>
    <cellStyle name="Bemærk! 2 2 3 11" xfId="22477"/>
    <cellStyle name="Bemærk! 2 2 3 12" xfId="33280"/>
    <cellStyle name="Bemærk! 2 2 3 13" xfId="33555"/>
    <cellStyle name="Bemærk! 2 2 3 14" xfId="33826"/>
    <cellStyle name="Bemærk! 2 2 3 2" xfId="584"/>
    <cellStyle name="Bemærk! 2 2 3 2 2" xfId="1416"/>
    <cellStyle name="Bemærk! 2 2 3 2 2 2" xfId="3081"/>
    <cellStyle name="Bemærk! 2 2 3 2 2 2 2" xfId="8069"/>
    <cellStyle name="Bemærk! 2 2 3 2 2 2 2 2" xfId="18876"/>
    <cellStyle name="Bemærk! 2 2 3 2 2 2 2 3" xfId="30233"/>
    <cellStyle name="Bemærk! 2 2 3 2 2 2 3" xfId="13891"/>
    <cellStyle name="Bemærk! 2 2 3 2 2 2 4" xfId="25249"/>
    <cellStyle name="Bemærk! 2 2 3 2 2 3" xfId="4745"/>
    <cellStyle name="Bemærk! 2 2 3 2 2 3 2" xfId="9730"/>
    <cellStyle name="Bemærk! 2 2 3 2 2 3 2 2" xfId="20537"/>
    <cellStyle name="Bemærk! 2 2 3 2 2 3 2 3" xfId="31894"/>
    <cellStyle name="Bemærk! 2 2 3 2 2 3 3" xfId="15552"/>
    <cellStyle name="Bemærk! 2 2 3 2 2 3 4" xfId="26910"/>
    <cellStyle name="Bemærk! 2 2 3 2 2 4" xfId="6407"/>
    <cellStyle name="Bemærk! 2 2 3 2 2 4 2" xfId="17215"/>
    <cellStyle name="Bemærk! 2 2 3 2 2 4 3" xfId="28572"/>
    <cellStyle name="Bemærk! 2 2 3 2 2 5" xfId="12230"/>
    <cellStyle name="Bemærk! 2 2 3 2 2 6" xfId="23588"/>
    <cellStyle name="Bemærk! 2 2 3 2 3" xfId="2250"/>
    <cellStyle name="Bemærk! 2 2 3 2 3 2" xfId="7238"/>
    <cellStyle name="Bemærk! 2 2 3 2 3 2 2" xfId="18045"/>
    <cellStyle name="Bemærk! 2 2 3 2 3 2 3" xfId="29402"/>
    <cellStyle name="Bemærk! 2 2 3 2 3 3" xfId="13060"/>
    <cellStyle name="Bemærk! 2 2 3 2 3 4" xfId="24418"/>
    <cellStyle name="Bemærk! 2 2 3 2 4" xfId="3914"/>
    <cellStyle name="Bemærk! 2 2 3 2 4 2" xfId="8899"/>
    <cellStyle name="Bemærk! 2 2 3 2 4 2 2" xfId="19706"/>
    <cellStyle name="Bemærk! 2 2 3 2 4 2 3" xfId="31063"/>
    <cellStyle name="Bemærk! 2 2 3 2 4 3" xfId="14721"/>
    <cellStyle name="Bemærk! 2 2 3 2 4 4" xfId="26079"/>
    <cellStyle name="Bemærk! 2 2 3 2 5" xfId="5576"/>
    <cellStyle name="Bemærk! 2 2 3 2 5 2" xfId="16384"/>
    <cellStyle name="Bemærk! 2 2 3 2 5 3" xfId="27741"/>
    <cellStyle name="Bemærk! 2 2 3 2 6" xfId="10563"/>
    <cellStyle name="Bemærk! 2 2 3 2 6 2" xfId="21370"/>
    <cellStyle name="Bemærk! 2 2 3 2 6 3" xfId="32727"/>
    <cellStyle name="Bemærk! 2 2 3 2 7" xfId="11397"/>
    <cellStyle name="Bemærk! 2 2 3 2 8" xfId="22203"/>
    <cellStyle name="Bemærk! 2 2 3 2 9" xfId="22757"/>
    <cellStyle name="Bemærk! 2 2 3 3" xfId="858"/>
    <cellStyle name="Bemærk! 2 2 3 3 2" xfId="1690"/>
    <cellStyle name="Bemærk! 2 2 3 3 2 2" xfId="3355"/>
    <cellStyle name="Bemærk! 2 2 3 3 2 2 2" xfId="8343"/>
    <cellStyle name="Bemærk! 2 2 3 3 2 2 2 2" xfId="19150"/>
    <cellStyle name="Bemærk! 2 2 3 3 2 2 2 3" xfId="30507"/>
    <cellStyle name="Bemærk! 2 2 3 3 2 2 3" xfId="14165"/>
    <cellStyle name="Bemærk! 2 2 3 3 2 2 4" xfId="25523"/>
    <cellStyle name="Bemærk! 2 2 3 3 2 3" xfId="5019"/>
    <cellStyle name="Bemærk! 2 2 3 3 2 3 2" xfId="10004"/>
    <cellStyle name="Bemærk! 2 2 3 3 2 3 2 2" xfId="20811"/>
    <cellStyle name="Bemærk! 2 2 3 3 2 3 2 3" xfId="32168"/>
    <cellStyle name="Bemærk! 2 2 3 3 2 3 3" xfId="15826"/>
    <cellStyle name="Bemærk! 2 2 3 3 2 3 4" xfId="27184"/>
    <cellStyle name="Bemærk! 2 2 3 3 2 4" xfId="6681"/>
    <cellStyle name="Bemærk! 2 2 3 3 2 4 2" xfId="17489"/>
    <cellStyle name="Bemærk! 2 2 3 3 2 4 3" xfId="28846"/>
    <cellStyle name="Bemærk! 2 2 3 3 2 5" xfId="12504"/>
    <cellStyle name="Bemærk! 2 2 3 3 2 6" xfId="23862"/>
    <cellStyle name="Bemærk! 2 2 3 3 3" xfId="2524"/>
    <cellStyle name="Bemærk! 2 2 3 3 3 2" xfId="7512"/>
    <cellStyle name="Bemærk! 2 2 3 3 3 2 2" xfId="18319"/>
    <cellStyle name="Bemærk! 2 2 3 3 3 2 3" xfId="29676"/>
    <cellStyle name="Bemærk! 2 2 3 3 3 3" xfId="13334"/>
    <cellStyle name="Bemærk! 2 2 3 3 3 4" xfId="24692"/>
    <cellStyle name="Bemærk! 2 2 3 3 4" xfId="4188"/>
    <cellStyle name="Bemærk! 2 2 3 3 4 2" xfId="9173"/>
    <cellStyle name="Bemærk! 2 2 3 3 4 2 2" xfId="19980"/>
    <cellStyle name="Bemærk! 2 2 3 3 4 2 3" xfId="31337"/>
    <cellStyle name="Bemærk! 2 2 3 3 4 3" xfId="14995"/>
    <cellStyle name="Bemærk! 2 2 3 3 4 4" xfId="26353"/>
    <cellStyle name="Bemærk! 2 2 3 3 5" xfId="5850"/>
    <cellStyle name="Bemærk! 2 2 3 3 5 2" xfId="16658"/>
    <cellStyle name="Bemærk! 2 2 3 3 5 3" xfId="28015"/>
    <cellStyle name="Bemærk! 2 2 3 3 6" xfId="10837"/>
    <cellStyle name="Bemærk! 2 2 3 3 6 2" xfId="21644"/>
    <cellStyle name="Bemærk! 2 2 3 3 6 3" xfId="33001"/>
    <cellStyle name="Bemærk! 2 2 3 3 7" xfId="11672"/>
    <cellStyle name="Bemærk! 2 2 3 3 8" xfId="23031"/>
    <cellStyle name="Bemærk! 2 2 3 4" xfId="1137"/>
    <cellStyle name="Bemærk! 2 2 3 4 2" xfId="2802"/>
    <cellStyle name="Bemærk! 2 2 3 4 2 2" xfId="7790"/>
    <cellStyle name="Bemærk! 2 2 3 4 2 2 2" xfId="18597"/>
    <cellStyle name="Bemærk! 2 2 3 4 2 2 3" xfId="29954"/>
    <cellStyle name="Bemærk! 2 2 3 4 2 3" xfId="13612"/>
    <cellStyle name="Bemærk! 2 2 3 4 2 4" xfId="24970"/>
    <cellStyle name="Bemærk! 2 2 3 4 3" xfId="4466"/>
    <cellStyle name="Bemærk! 2 2 3 4 3 2" xfId="9451"/>
    <cellStyle name="Bemærk! 2 2 3 4 3 2 2" xfId="20258"/>
    <cellStyle name="Bemærk! 2 2 3 4 3 2 3" xfId="31615"/>
    <cellStyle name="Bemærk! 2 2 3 4 3 3" xfId="15273"/>
    <cellStyle name="Bemærk! 2 2 3 4 3 4" xfId="26631"/>
    <cellStyle name="Bemærk! 2 2 3 4 4" xfId="6128"/>
    <cellStyle name="Bemærk! 2 2 3 4 4 2" xfId="16936"/>
    <cellStyle name="Bemærk! 2 2 3 4 4 3" xfId="28293"/>
    <cellStyle name="Bemærk! 2 2 3 4 5" xfId="11951"/>
    <cellStyle name="Bemærk! 2 2 3 4 6" xfId="23309"/>
    <cellStyle name="Bemærk! 2 2 3 5" xfId="1972"/>
    <cellStyle name="Bemærk! 2 2 3 5 2" xfId="6960"/>
    <cellStyle name="Bemærk! 2 2 3 5 2 2" xfId="17768"/>
    <cellStyle name="Bemærk! 2 2 3 5 2 3" xfId="29125"/>
    <cellStyle name="Bemærk! 2 2 3 5 3" xfId="12783"/>
    <cellStyle name="Bemærk! 2 2 3 5 4" xfId="24141"/>
    <cellStyle name="Bemærk! 2 2 3 6" xfId="3637"/>
    <cellStyle name="Bemærk! 2 2 3 6 2" xfId="8622"/>
    <cellStyle name="Bemærk! 2 2 3 6 2 2" xfId="19429"/>
    <cellStyle name="Bemærk! 2 2 3 6 2 3" xfId="30786"/>
    <cellStyle name="Bemærk! 2 2 3 6 3" xfId="14444"/>
    <cellStyle name="Bemærk! 2 2 3 6 4" xfId="25802"/>
    <cellStyle name="Bemærk! 2 2 3 7" xfId="5298"/>
    <cellStyle name="Bemærk! 2 2 3 7 2" xfId="16107"/>
    <cellStyle name="Bemærk! 2 2 3 7 3" xfId="27464"/>
    <cellStyle name="Bemærk! 2 2 3 8" xfId="10283"/>
    <cellStyle name="Bemærk! 2 2 3 8 2" xfId="21090"/>
    <cellStyle name="Bemærk! 2 2 3 8 3" xfId="32447"/>
    <cellStyle name="Bemærk! 2 2 3 9" xfId="11117"/>
    <cellStyle name="Bemærk! 2 2 4" xfId="322"/>
    <cellStyle name="Bemærk! 2 2 4 10" xfId="21979"/>
    <cellStyle name="Bemærk! 2 2 4 11" xfId="22532"/>
    <cellStyle name="Bemærk! 2 2 4 12" xfId="33335"/>
    <cellStyle name="Bemærk! 2 2 4 13" xfId="33610"/>
    <cellStyle name="Bemærk! 2 2 4 14" xfId="33881"/>
    <cellStyle name="Bemærk! 2 2 4 2" xfId="639"/>
    <cellStyle name="Bemærk! 2 2 4 2 2" xfId="1471"/>
    <cellStyle name="Bemærk! 2 2 4 2 2 2" xfId="3136"/>
    <cellStyle name="Bemærk! 2 2 4 2 2 2 2" xfId="8124"/>
    <cellStyle name="Bemærk! 2 2 4 2 2 2 2 2" xfId="18931"/>
    <cellStyle name="Bemærk! 2 2 4 2 2 2 2 3" xfId="30288"/>
    <cellStyle name="Bemærk! 2 2 4 2 2 2 3" xfId="13946"/>
    <cellStyle name="Bemærk! 2 2 4 2 2 2 4" xfId="25304"/>
    <cellStyle name="Bemærk! 2 2 4 2 2 3" xfId="4800"/>
    <cellStyle name="Bemærk! 2 2 4 2 2 3 2" xfId="9785"/>
    <cellStyle name="Bemærk! 2 2 4 2 2 3 2 2" xfId="20592"/>
    <cellStyle name="Bemærk! 2 2 4 2 2 3 2 3" xfId="31949"/>
    <cellStyle name="Bemærk! 2 2 4 2 2 3 3" xfId="15607"/>
    <cellStyle name="Bemærk! 2 2 4 2 2 3 4" xfId="26965"/>
    <cellStyle name="Bemærk! 2 2 4 2 2 4" xfId="6462"/>
    <cellStyle name="Bemærk! 2 2 4 2 2 4 2" xfId="17270"/>
    <cellStyle name="Bemærk! 2 2 4 2 2 4 3" xfId="28627"/>
    <cellStyle name="Bemærk! 2 2 4 2 2 5" xfId="12285"/>
    <cellStyle name="Bemærk! 2 2 4 2 2 6" xfId="23643"/>
    <cellStyle name="Bemærk! 2 2 4 2 3" xfId="2305"/>
    <cellStyle name="Bemærk! 2 2 4 2 3 2" xfId="7293"/>
    <cellStyle name="Bemærk! 2 2 4 2 3 2 2" xfId="18100"/>
    <cellStyle name="Bemærk! 2 2 4 2 3 2 3" xfId="29457"/>
    <cellStyle name="Bemærk! 2 2 4 2 3 3" xfId="13115"/>
    <cellStyle name="Bemærk! 2 2 4 2 3 4" xfId="24473"/>
    <cellStyle name="Bemærk! 2 2 4 2 4" xfId="3969"/>
    <cellStyle name="Bemærk! 2 2 4 2 4 2" xfId="8954"/>
    <cellStyle name="Bemærk! 2 2 4 2 4 2 2" xfId="19761"/>
    <cellStyle name="Bemærk! 2 2 4 2 4 2 3" xfId="31118"/>
    <cellStyle name="Bemærk! 2 2 4 2 4 3" xfId="14776"/>
    <cellStyle name="Bemærk! 2 2 4 2 4 4" xfId="26134"/>
    <cellStyle name="Bemærk! 2 2 4 2 5" xfId="5631"/>
    <cellStyle name="Bemærk! 2 2 4 2 5 2" xfId="16439"/>
    <cellStyle name="Bemærk! 2 2 4 2 5 3" xfId="27796"/>
    <cellStyle name="Bemærk! 2 2 4 2 6" xfId="10618"/>
    <cellStyle name="Bemærk! 2 2 4 2 6 2" xfId="21425"/>
    <cellStyle name="Bemærk! 2 2 4 2 6 3" xfId="32782"/>
    <cellStyle name="Bemærk! 2 2 4 2 7" xfId="11452"/>
    <cellStyle name="Bemærk! 2 2 4 2 8" xfId="22258"/>
    <cellStyle name="Bemærk! 2 2 4 2 9" xfId="22812"/>
    <cellStyle name="Bemærk! 2 2 4 3" xfId="913"/>
    <cellStyle name="Bemærk! 2 2 4 3 2" xfId="1745"/>
    <cellStyle name="Bemærk! 2 2 4 3 2 2" xfId="3410"/>
    <cellStyle name="Bemærk! 2 2 4 3 2 2 2" xfId="8398"/>
    <cellStyle name="Bemærk! 2 2 4 3 2 2 2 2" xfId="19205"/>
    <cellStyle name="Bemærk! 2 2 4 3 2 2 2 3" xfId="30562"/>
    <cellStyle name="Bemærk! 2 2 4 3 2 2 3" xfId="14220"/>
    <cellStyle name="Bemærk! 2 2 4 3 2 2 4" xfId="25578"/>
    <cellStyle name="Bemærk! 2 2 4 3 2 3" xfId="5074"/>
    <cellStyle name="Bemærk! 2 2 4 3 2 3 2" xfId="10059"/>
    <cellStyle name="Bemærk! 2 2 4 3 2 3 2 2" xfId="20866"/>
    <cellStyle name="Bemærk! 2 2 4 3 2 3 2 3" xfId="32223"/>
    <cellStyle name="Bemærk! 2 2 4 3 2 3 3" xfId="15881"/>
    <cellStyle name="Bemærk! 2 2 4 3 2 3 4" xfId="27239"/>
    <cellStyle name="Bemærk! 2 2 4 3 2 4" xfId="6736"/>
    <cellStyle name="Bemærk! 2 2 4 3 2 4 2" xfId="17544"/>
    <cellStyle name="Bemærk! 2 2 4 3 2 4 3" xfId="28901"/>
    <cellStyle name="Bemærk! 2 2 4 3 2 5" xfId="12559"/>
    <cellStyle name="Bemærk! 2 2 4 3 2 6" xfId="23917"/>
    <cellStyle name="Bemærk! 2 2 4 3 3" xfId="2579"/>
    <cellStyle name="Bemærk! 2 2 4 3 3 2" xfId="7567"/>
    <cellStyle name="Bemærk! 2 2 4 3 3 2 2" xfId="18374"/>
    <cellStyle name="Bemærk! 2 2 4 3 3 2 3" xfId="29731"/>
    <cellStyle name="Bemærk! 2 2 4 3 3 3" xfId="13389"/>
    <cellStyle name="Bemærk! 2 2 4 3 3 4" xfId="24747"/>
    <cellStyle name="Bemærk! 2 2 4 3 4" xfId="4243"/>
    <cellStyle name="Bemærk! 2 2 4 3 4 2" xfId="9228"/>
    <cellStyle name="Bemærk! 2 2 4 3 4 2 2" xfId="20035"/>
    <cellStyle name="Bemærk! 2 2 4 3 4 2 3" xfId="31392"/>
    <cellStyle name="Bemærk! 2 2 4 3 4 3" xfId="15050"/>
    <cellStyle name="Bemærk! 2 2 4 3 4 4" xfId="26408"/>
    <cellStyle name="Bemærk! 2 2 4 3 5" xfId="5905"/>
    <cellStyle name="Bemærk! 2 2 4 3 5 2" xfId="16713"/>
    <cellStyle name="Bemærk! 2 2 4 3 5 3" xfId="28070"/>
    <cellStyle name="Bemærk! 2 2 4 3 6" xfId="10892"/>
    <cellStyle name="Bemærk! 2 2 4 3 6 2" xfId="21699"/>
    <cellStyle name="Bemærk! 2 2 4 3 6 3" xfId="33056"/>
    <cellStyle name="Bemærk! 2 2 4 3 7" xfId="11727"/>
    <cellStyle name="Bemærk! 2 2 4 3 8" xfId="23086"/>
    <cellStyle name="Bemærk! 2 2 4 4" xfId="1192"/>
    <cellStyle name="Bemærk! 2 2 4 4 2" xfId="2857"/>
    <cellStyle name="Bemærk! 2 2 4 4 2 2" xfId="7845"/>
    <cellStyle name="Bemærk! 2 2 4 4 2 2 2" xfId="18652"/>
    <cellStyle name="Bemærk! 2 2 4 4 2 2 3" xfId="30009"/>
    <cellStyle name="Bemærk! 2 2 4 4 2 3" xfId="13667"/>
    <cellStyle name="Bemærk! 2 2 4 4 2 4" xfId="25025"/>
    <cellStyle name="Bemærk! 2 2 4 4 3" xfId="4521"/>
    <cellStyle name="Bemærk! 2 2 4 4 3 2" xfId="9506"/>
    <cellStyle name="Bemærk! 2 2 4 4 3 2 2" xfId="20313"/>
    <cellStyle name="Bemærk! 2 2 4 4 3 2 3" xfId="31670"/>
    <cellStyle name="Bemærk! 2 2 4 4 3 3" xfId="15328"/>
    <cellStyle name="Bemærk! 2 2 4 4 3 4" xfId="26686"/>
    <cellStyle name="Bemærk! 2 2 4 4 4" xfId="6183"/>
    <cellStyle name="Bemærk! 2 2 4 4 4 2" xfId="16991"/>
    <cellStyle name="Bemærk! 2 2 4 4 4 3" xfId="28348"/>
    <cellStyle name="Bemærk! 2 2 4 4 5" xfId="12006"/>
    <cellStyle name="Bemærk! 2 2 4 4 6" xfId="23364"/>
    <cellStyle name="Bemærk! 2 2 4 5" xfId="2027"/>
    <cellStyle name="Bemærk! 2 2 4 5 2" xfId="7015"/>
    <cellStyle name="Bemærk! 2 2 4 5 2 2" xfId="17823"/>
    <cellStyle name="Bemærk! 2 2 4 5 2 3" xfId="29180"/>
    <cellStyle name="Bemærk! 2 2 4 5 3" xfId="12838"/>
    <cellStyle name="Bemærk! 2 2 4 5 4" xfId="24196"/>
    <cellStyle name="Bemærk! 2 2 4 6" xfId="3692"/>
    <cellStyle name="Bemærk! 2 2 4 6 2" xfId="8677"/>
    <cellStyle name="Bemærk! 2 2 4 6 2 2" xfId="19484"/>
    <cellStyle name="Bemærk! 2 2 4 6 2 3" xfId="30841"/>
    <cellStyle name="Bemærk! 2 2 4 6 3" xfId="14499"/>
    <cellStyle name="Bemærk! 2 2 4 6 4" xfId="25857"/>
    <cellStyle name="Bemærk! 2 2 4 7" xfId="5353"/>
    <cellStyle name="Bemærk! 2 2 4 7 2" xfId="16162"/>
    <cellStyle name="Bemærk! 2 2 4 7 3" xfId="27519"/>
    <cellStyle name="Bemærk! 2 2 4 8" xfId="10338"/>
    <cellStyle name="Bemærk! 2 2 4 8 2" xfId="21145"/>
    <cellStyle name="Bemærk! 2 2 4 8 3" xfId="32502"/>
    <cellStyle name="Bemærk! 2 2 4 9" xfId="11172"/>
    <cellStyle name="Bemærk! 2 2 5" xfId="378"/>
    <cellStyle name="Bemærk! 2 2 5 10" xfId="22035"/>
    <cellStyle name="Bemærk! 2 2 5 11" xfId="22588"/>
    <cellStyle name="Bemærk! 2 2 5 12" xfId="33391"/>
    <cellStyle name="Bemærk! 2 2 5 13" xfId="33666"/>
    <cellStyle name="Bemærk! 2 2 5 14" xfId="33937"/>
    <cellStyle name="Bemærk! 2 2 5 2" xfId="695"/>
    <cellStyle name="Bemærk! 2 2 5 2 2" xfId="1527"/>
    <cellStyle name="Bemærk! 2 2 5 2 2 2" xfId="3192"/>
    <cellStyle name="Bemærk! 2 2 5 2 2 2 2" xfId="8180"/>
    <cellStyle name="Bemærk! 2 2 5 2 2 2 2 2" xfId="18987"/>
    <cellStyle name="Bemærk! 2 2 5 2 2 2 2 3" xfId="30344"/>
    <cellStyle name="Bemærk! 2 2 5 2 2 2 3" xfId="14002"/>
    <cellStyle name="Bemærk! 2 2 5 2 2 2 4" xfId="25360"/>
    <cellStyle name="Bemærk! 2 2 5 2 2 3" xfId="4856"/>
    <cellStyle name="Bemærk! 2 2 5 2 2 3 2" xfId="9841"/>
    <cellStyle name="Bemærk! 2 2 5 2 2 3 2 2" xfId="20648"/>
    <cellStyle name="Bemærk! 2 2 5 2 2 3 2 3" xfId="32005"/>
    <cellStyle name="Bemærk! 2 2 5 2 2 3 3" xfId="15663"/>
    <cellStyle name="Bemærk! 2 2 5 2 2 3 4" xfId="27021"/>
    <cellStyle name="Bemærk! 2 2 5 2 2 4" xfId="6518"/>
    <cellStyle name="Bemærk! 2 2 5 2 2 4 2" xfId="17326"/>
    <cellStyle name="Bemærk! 2 2 5 2 2 4 3" xfId="28683"/>
    <cellStyle name="Bemærk! 2 2 5 2 2 5" xfId="12341"/>
    <cellStyle name="Bemærk! 2 2 5 2 2 6" xfId="23699"/>
    <cellStyle name="Bemærk! 2 2 5 2 3" xfId="2361"/>
    <cellStyle name="Bemærk! 2 2 5 2 3 2" xfId="7349"/>
    <cellStyle name="Bemærk! 2 2 5 2 3 2 2" xfId="18156"/>
    <cellStyle name="Bemærk! 2 2 5 2 3 2 3" xfId="29513"/>
    <cellStyle name="Bemærk! 2 2 5 2 3 3" xfId="13171"/>
    <cellStyle name="Bemærk! 2 2 5 2 3 4" xfId="24529"/>
    <cellStyle name="Bemærk! 2 2 5 2 4" xfId="4025"/>
    <cellStyle name="Bemærk! 2 2 5 2 4 2" xfId="9010"/>
    <cellStyle name="Bemærk! 2 2 5 2 4 2 2" xfId="19817"/>
    <cellStyle name="Bemærk! 2 2 5 2 4 2 3" xfId="31174"/>
    <cellStyle name="Bemærk! 2 2 5 2 4 3" xfId="14832"/>
    <cellStyle name="Bemærk! 2 2 5 2 4 4" xfId="26190"/>
    <cellStyle name="Bemærk! 2 2 5 2 5" xfId="5687"/>
    <cellStyle name="Bemærk! 2 2 5 2 5 2" xfId="16495"/>
    <cellStyle name="Bemærk! 2 2 5 2 5 3" xfId="27852"/>
    <cellStyle name="Bemærk! 2 2 5 2 6" xfId="10674"/>
    <cellStyle name="Bemærk! 2 2 5 2 6 2" xfId="21481"/>
    <cellStyle name="Bemærk! 2 2 5 2 6 3" xfId="32838"/>
    <cellStyle name="Bemærk! 2 2 5 2 7" xfId="11508"/>
    <cellStyle name="Bemærk! 2 2 5 2 8" xfId="22314"/>
    <cellStyle name="Bemærk! 2 2 5 2 9" xfId="22868"/>
    <cellStyle name="Bemærk! 2 2 5 3" xfId="969"/>
    <cellStyle name="Bemærk! 2 2 5 3 2" xfId="1801"/>
    <cellStyle name="Bemærk! 2 2 5 3 2 2" xfId="3466"/>
    <cellStyle name="Bemærk! 2 2 5 3 2 2 2" xfId="8454"/>
    <cellStyle name="Bemærk! 2 2 5 3 2 2 2 2" xfId="19261"/>
    <cellStyle name="Bemærk! 2 2 5 3 2 2 2 3" xfId="30618"/>
    <cellStyle name="Bemærk! 2 2 5 3 2 2 3" xfId="14276"/>
    <cellStyle name="Bemærk! 2 2 5 3 2 2 4" xfId="25634"/>
    <cellStyle name="Bemærk! 2 2 5 3 2 3" xfId="5130"/>
    <cellStyle name="Bemærk! 2 2 5 3 2 3 2" xfId="10115"/>
    <cellStyle name="Bemærk! 2 2 5 3 2 3 2 2" xfId="20922"/>
    <cellStyle name="Bemærk! 2 2 5 3 2 3 2 3" xfId="32279"/>
    <cellStyle name="Bemærk! 2 2 5 3 2 3 3" xfId="15937"/>
    <cellStyle name="Bemærk! 2 2 5 3 2 3 4" xfId="27295"/>
    <cellStyle name="Bemærk! 2 2 5 3 2 4" xfId="6792"/>
    <cellStyle name="Bemærk! 2 2 5 3 2 4 2" xfId="17600"/>
    <cellStyle name="Bemærk! 2 2 5 3 2 4 3" xfId="28957"/>
    <cellStyle name="Bemærk! 2 2 5 3 2 5" xfId="12615"/>
    <cellStyle name="Bemærk! 2 2 5 3 2 6" xfId="23973"/>
    <cellStyle name="Bemærk! 2 2 5 3 3" xfId="2635"/>
    <cellStyle name="Bemærk! 2 2 5 3 3 2" xfId="7623"/>
    <cellStyle name="Bemærk! 2 2 5 3 3 2 2" xfId="18430"/>
    <cellStyle name="Bemærk! 2 2 5 3 3 2 3" xfId="29787"/>
    <cellStyle name="Bemærk! 2 2 5 3 3 3" xfId="13445"/>
    <cellStyle name="Bemærk! 2 2 5 3 3 4" xfId="24803"/>
    <cellStyle name="Bemærk! 2 2 5 3 4" xfId="4299"/>
    <cellStyle name="Bemærk! 2 2 5 3 4 2" xfId="9284"/>
    <cellStyle name="Bemærk! 2 2 5 3 4 2 2" xfId="20091"/>
    <cellStyle name="Bemærk! 2 2 5 3 4 2 3" xfId="31448"/>
    <cellStyle name="Bemærk! 2 2 5 3 4 3" xfId="15106"/>
    <cellStyle name="Bemærk! 2 2 5 3 4 4" xfId="26464"/>
    <cellStyle name="Bemærk! 2 2 5 3 5" xfId="5961"/>
    <cellStyle name="Bemærk! 2 2 5 3 5 2" xfId="16769"/>
    <cellStyle name="Bemærk! 2 2 5 3 5 3" xfId="28126"/>
    <cellStyle name="Bemærk! 2 2 5 3 6" xfId="10948"/>
    <cellStyle name="Bemærk! 2 2 5 3 6 2" xfId="21755"/>
    <cellStyle name="Bemærk! 2 2 5 3 6 3" xfId="33112"/>
    <cellStyle name="Bemærk! 2 2 5 3 7" xfId="11783"/>
    <cellStyle name="Bemærk! 2 2 5 3 8" xfId="23142"/>
    <cellStyle name="Bemærk! 2 2 5 4" xfId="1248"/>
    <cellStyle name="Bemærk! 2 2 5 4 2" xfId="2913"/>
    <cellStyle name="Bemærk! 2 2 5 4 2 2" xfId="7901"/>
    <cellStyle name="Bemærk! 2 2 5 4 2 2 2" xfId="18708"/>
    <cellStyle name="Bemærk! 2 2 5 4 2 2 3" xfId="30065"/>
    <cellStyle name="Bemærk! 2 2 5 4 2 3" xfId="13723"/>
    <cellStyle name="Bemærk! 2 2 5 4 2 4" xfId="25081"/>
    <cellStyle name="Bemærk! 2 2 5 4 3" xfId="4577"/>
    <cellStyle name="Bemærk! 2 2 5 4 3 2" xfId="9562"/>
    <cellStyle name="Bemærk! 2 2 5 4 3 2 2" xfId="20369"/>
    <cellStyle name="Bemærk! 2 2 5 4 3 2 3" xfId="31726"/>
    <cellStyle name="Bemærk! 2 2 5 4 3 3" xfId="15384"/>
    <cellStyle name="Bemærk! 2 2 5 4 3 4" xfId="26742"/>
    <cellStyle name="Bemærk! 2 2 5 4 4" xfId="6239"/>
    <cellStyle name="Bemærk! 2 2 5 4 4 2" xfId="17047"/>
    <cellStyle name="Bemærk! 2 2 5 4 4 3" xfId="28404"/>
    <cellStyle name="Bemærk! 2 2 5 4 5" xfId="12062"/>
    <cellStyle name="Bemærk! 2 2 5 4 6" xfId="23420"/>
    <cellStyle name="Bemærk! 2 2 5 5" xfId="2083"/>
    <cellStyle name="Bemærk! 2 2 5 5 2" xfId="7071"/>
    <cellStyle name="Bemærk! 2 2 5 5 2 2" xfId="17879"/>
    <cellStyle name="Bemærk! 2 2 5 5 2 3" xfId="29236"/>
    <cellStyle name="Bemærk! 2 2 5 5 3" xfId="12894"/>
    <cellStyle name="Bemærk! 2 2 5 5 4" xfId="24252"/>
    <cellStyle name="Bemærk! 2 2 5 6" xfId="3748"/>
    <cellStyle name="Bemærk! 2 2 5 6 2" xfId="8733"/>
    <cellStyle name="Bemærk! 2 2 5 6 2 2" xfId="19540"/>
    <cellStyle name="Bemærk! 2 2 5 6 2 3" xfId="30897"/>
    <cellStyle name="Bemærk! 2 2 5 6 3" xfId="14555"/>
    <cellStyle name="Bemærk! 2 2 5 6 4" xfId="25913"/>
    <cellStyle name="Bemærk! 2 2 5 7" xfId="5409"/>
    <cellStyle name="Bemærk! 2 2 5 7 2" xfId="16218"/>
    <cellStyle name="Bemærk! 2 2 5 7 3" xfId="27575"/>
    <cellStyle name="Bemærk! 2 2 5 8" xfId="10394"/>
    <cellStyle name="Bemærk! 2 2 5 8 2" xfId="21201"/>
    <cellStyle name="Bemærk! 2 2 5 8 3" xfId="32558"/>
    <cellStyle name="Bemærk! 2 2 5 9" xfId="11228"/>
    <cellStyle name="Bemærk! 2 2 6" xfId="478"/>
    <cellStyle name="Bemærk! 2 2 6 2" xfId="1308"/>
    <cellStyle name="Bemærk! 2 2 6 2 2" xfId="2973"/>
    <cellStyle name="Bemærk! 2 2 6 2 2 2" xfId="7961"/>
    <cellStyle name="Bemærk! 2 2 6 2 2 2 2" xfId="18768"/>
    <cellStyle name="Bemærk! 2 2 6 2 2 2 3" xfId="30125"/>
    <cellStyle name="Bemærk! 2 2 6 2 2 3" xfId="13783"/>
    <cellStyle name="Bemærk! 2 2 6 2 2 4" xfId="25141"/>
    <cellStyle name="Bemærk! 2 2 6 2 3" xfId="4637"/>
    <cellStyle name="Bemærk! 2 2 6 2 3 2" xfId="9622"/>
    <cellStyle name="Bemærk! 2 2 6 2 3 2 2" xfId="20429"/>
    <cellStyle name="Bemærk! 2 2 6 2 3 2 3" xfId="31786"/>
    <cellStyle name="Bemærk! 2 2 6 2 3 3" xfId="15444"/>
    <cellStyle name="Bemærk! 2 2 6 2 3 4" xfId="26802"/>
    <cellStyle name="Bemærk! 2 2 6 2 4" xfId="6299"/>
    <cellStyle name="Bemærk! 2 2 6 2 4 2" xfId="17107"/>
    <cellStyle name="Bemærk! 2 2 6 2 4 3" xfId="28464"/>
    <cellStyle name="Bemærk! 2 2 6 2 5" xfId="12122"/>
    <cellStyle name="Bemærk! 2 2 6 2 6" xfId="23480"/>
    <cellStyle name="Bemærk! 2 2 6 3" xfId="2144"/>
    <cellStyle name="Bemærk! 2 2 6 3 2" xfId="7132"/>
    <cellStyle name="Bemærk! 2 2 6 3 2 2" xfId="17939"/>
    <cellStyle name="Bemærk! 2 2 6 3 2 3" xfId="29296"/>
    <cellStyle name="Bemærk! 2 2 6 3 3" xfId="12954"/>
    <cellStyle name="Bemærk! 2 2 6 3 4" xfId="24312"/>
    <cellStyle name="Bemærk! 2 2 6 4" xfId="3808"/>
    <cellStyle name="Bemærk! 2 2 6 4 2" xfId="8793"/>
    <cellStyle name="Bemærk! 2 2 6 4 2 2" xfId="19600"/>
    <cellStyle name="Bemærk! 2 2 6 4 2 3" xfId="30957"/>
    <cellStyle name="Bemærk! 2 2 6 4 3" xfId="14615"/>
    <cellStyle name="Bemærk! 2 2 6 4 4" xfId="25973"/>
    <cellStyle name="Bemærk! 2 2 6 5" xfId="5470"/>
    <cellStyle name="Bemærk! 2 2 6 5 2" xfId="16278"/>
    <cellStyle name="Bemærk! 2 2 6 5 3" xfId="27635"/>
    <cellStyle name="Bemærk! 2 2 6 6" xfId="10431"/>
    <cellStyle name="Bemærk! 2 2 6 6 2" xfId="21238"/>
    <cellStyle name="Bemærk! 2 2 6 6 3" xfId="32595"/>
    <cellStyle name="Bemærk! 2 2 6 7" xfId="11289"/>
    <cellStyle name="Bemærk! 2 2 6 8" xfId="22095"/>
    <cellStyle name="Bemærk! 2 2 6 9" xfId="22649"/>
    <cellStyle name="Bemærk! 2 2 7" xfId="750"/>
    <cellStyle name="Bemærk! 2 2 7 2" xfId="1582"/>
    <cellStyle name="Bemærk! 2 2 7 2 2" xfId="3247"/>
    <cellStyle name="Bemærk! 2 2 7 2 2 2" xfId="8235"/>
    <cellStyle name="Bemærk! 2 2 7 2 2 2 2" xfId="19042"/>
    <cellStyle name="Bemærk! 2 2 7 2 2 2 3" xfId="30399"/>
    <cellStyle name="Bemærk! 2 2 7 2 2 3" xfId="14057"/>
    <cellStyle name="Bemærk! 2 2 7 2 2 4" xfId="25415"/>
    <cellStyle name="Bemærk! 2 2 7 2 3" xfId="4911"/>
    <cellStyle name="Bemærk! 2 2 7 2 3 2" xfId="9896"/>
    <cellStyle name="Bemærk! 2 2 7 2 3 2 2" xfId="20703"/>
    <cellStyle name="Bemærk! 2 2 7 2 3 2 3" xfId="32060"/>
    <cellStyle name="Bemærk! 2 2 7 2 3 3" xfId="15718"/>
    <cellStyle name="Bemærk! 2 2 7 2 3 4" xfId="27076"/>
    <cellStyle name="Bemærk! 2 2 7 2 4" xfId="6573"/>
    <cellStyle name="Bemærk! 2 2 7 2 4 2" xfId="17381"/>
    <cellStyle name="Bemærk! 2 2 7 2 4 3" xfId="28738"/>
    <cellStyle name="Bemærk! 2 2 7 2 5" xfId="12396"/>
    <cellStyle name="Bemærk! 2 2 7 2 6" xfId="23754"/>
    <cellStyle name="Bemærk! 2 2 7 3" xfId="2416"/>
    <cellStyle name="Bemærk! 2 2 7 3 2" xfId="7404"/>
    <cellStyle name="Bemærk! 2 2 7 3 2 2" xfId="18211"/>
    <cellStyle name="Bemærk! 2 2 7 3 2 3" xfId="29568"/>
    <cellStyle name="Bemærk! 2 2 7 3 3" xfId="13226"/>
    <cellStyle name="Bemærk! 2 2 7 3 4" xfId="24584"/>
    <cellStyle name="Bemærk! 2 2 7 4" xfId="4080"/>
    <cellStyle name="Bemærk! 2 2 7 4 2" xfId="9065"/>
    <cellStyle name="Bemærk! 2 2 7 4 2 2" xfId="19872"/>
    <cellStyle name="Bemærk! 2 2 7 4 2 3" xfId="31229"/>
    <cellStyle name="Bemærk! 2 2 7 4 3" xfId="14887"/>
    <cellStyle name="Bemærk! 2 2 7 4 4" xfId="26245"/>
    <cellStyle name="Bemærk! 2 2 7 5" xfId="5742"/>
    <cellStyle name="Bemærk! 2 2 7 5 2" xfId="16550"/>
    <cellStyle name="Bemærk! 2 2 7 5 3" xfId="27907"/>
    <cellStyle name="Bemærk! 2 2 7 6" xfId="10729"/>
    <cellStyle name="Bemærk! 2 2 7 6 2" xfId="21536"/>
    <cellStyle name="Bemærk! 2 2 7 6 3" xfId="32893"/>
    <cellStyle name="Bemærk! 2 2 7 7" xfId="11564"/>
    <cellStyle name="Bemærk! 2 2 7 8" xfId="22923"/>
    <cellStyle name="Bemærk! 2 2 8" xfId="1029"/>
    <cellStyle name="Bemærk! 2 2 8 2" xfId="2694"/>
    <cellStyle name="Bemærk! 2 2 8 2 2" xfId="7682"/>
    <cellStyle name="Bemærk! 2 2 8 2 2 2" xfId="18489"/>
    <cellStyle name="Bemærk! 2 2 8 2 2 3" xfId="29846"/>
    <cellStyle name="Bemærk! 2 2 8 2 3" xfId="13504"/>
    <cellStyle name="Bemærk! 2 2 8 2 4" xfId="24862"/>
    <cellStyle name="Bemærk! 2 2 8 3" xfId="4358"/>
    <cellStyle name="Bemærk! 2 2 8 3 2" xfId="9343"/>
    <cellStyle name="Bemærk! 2 2 8 3 2 2" xfId="20150"/>
    <cellStyle name="Bemærk! 2 2 8 3 2 3" xfId="31507"/>
    <cellStyle name="Bemærk! 2 2 8 3 3" xfId="15165"/>
    <cellStyle name="Bemærk! 2 2 8 3 4" xfId="26523"/>
    <cellStyle name="Bemærk! 2 2 8 4" xfId="6020"/>
    <cellStyle name="Bemærk! 2 2 8 4 2" xfId="16828"/>
    <cellStyle name="Bemærk! 2 2 8 4 3" xfId="28185"/>
    <cellStyle name="Bemærk! 2 2 8 5" xfId="11843"/>
    <cellStyle name="Bemærk! 2 2 8 6" xfId="23201"/>
    <cellStyle name="Bemærk! 2 2 9" xfId="1865"/>
    <cellStyle name="Bemærk! 2 2 9 2" xfId="6853"/>
    <cellStyle name="Bemærk! 2 2 9 2 2" xfId="17661"/>
    <cellStyle name="Bemærk! 2 2 9 2 3" xfId="29018"/>
    <cellStyle name="Bemærk! 2 2 9 3" xfId="12676"/>
    <cellStyle name="Bemærk! 2 2 9 4" xfId="24034"/>
    <cellStyle name="Bemærk! 2 3" xfId="195"/>
    <cellStyle name="Bemærk! 2 3 10" xfId="21853"/>
    <cellStyle name="Bemærk! 2 3 11" xfId="22406"/>
    <cellStyle name="Bemærk! 2 3 12" xfId="33209"/>
    <cellStyle name="Bemærk! 2 3 13" xfId="33482"/>
    <cellStyle name="Bemærk! 2 3 14" xfId="33753"/>
    <cellStyle name="Bemærk! 2 3 2" xfId="515"/>
    <cellStyle name="Bemærk! 2 3 2 2" xfId="1345"/>
    <cellStyle name="Bemærk! 2 3 2 2 2" xfId="3010"/>
    <cellStyle name="Bemærk! 2 3 2 2 2 2" xfId="7998"/>
    <cellStyle name="Bemærk! 2 3 2 2 2 2 2" xfId="18805"/>
    <cellStyle name="Bemærk! 2 3 2 2 2 2 3" xfId="30162"/>
    <cellStyle name="Bemærk! 2 3 2 2 2 3" xfId="13820"/>
    <cellStyle name="Bemærk! 2 3 2 2 2 4" xfId="25178"/>
    <cellStyle name="Bemærk! 2 3 2 2 3" xfId="4674"/>
    <cellStyle name="Bemærk! 2 3 2 2 3 2" xfId="9659"/>
    <cellStyle name="Bemærk! 2 3 2 2 3 2 2" xfId="20466"/>
    <cellStyle name="Bemærk! 2 3 2 2 3 2 3" xfId="31823"/>
    <cellStyle name="Bemærk! 2 3 2 2 3 3" xfId="15481"/>
    <cellStyle name="Bemærk! 2 3 2 2 3 4" xfId="26839"/>
    <cellStyle name="Bemærk! 2 3 2 2 4" xfId="6336"/>
    <cellStyle name="Bemærk! 2 3 2 2 4 2" xfId="17144"/>
    <cellStyle name="Bemærk! 2 3 2 2 4 3" xfId="28501"/>
    <cellStyle name="Bemærk! 2 3 2 2 5" xfId="12159"/>
    <cellStyle name="Bemærk! 2 3 2 2 6" xfId="23517"/>
    <cellStyle name="Bemærk! 2 3 2 3" xfId="2181"/>
    <cellStyle name="Bemærk! 2 3 2 3 2" xfId="7169"/>
    <cellStyle name="Bemærk! 2 3 2 3 2 2" xfId="17976"/>
    <cellStyle name="Bemærk! 2 3 2 3 2 3" xfId="29333"/>
    <cellStyle name="Bemærk! 2 3 2 3 3" xfId="12991"/>
    <cellStyle name="Bemærk! 2 3 2 3 4" xfId="24349"/>
    <cellStyle name="Bemærk! 2 3 2 4" xfId="3845"/>
    <cellStyle name="Bemærk! 2 3 2 4 2" xfId="8830"/>
    <cellStyle name="Bemærk! 2 3 2 4 2 2" xfId="19637"/>
    <cellStyle name="Bemærk! 2 3 2 4 2 3" xfId="30994"/>
    <cellStyle name="Bemærk! 2 3 2 4 3" xfId="14652"/>
    <cellStyle name="Bemærk! 2 3 2 4 4" xfId="26010"/>
    <cellStyle name="Bemærk! 2 3 2 5" xfId="5507"/>
    <cellStyle name="Bemærk! 2 3 2 5 2" xfId="16315"/>
    <cellStyle name="Bemærk! 2 3 2 5 3" xfId="27672"/>
    <cellStyle name="Bemærk! 2 3 2 6" xfId="10492"/>
    <cellStyle name="Bemærk! 2 3 2 6 2" xfId="21299"/>
    <cellStyle name="Bemærk! 2 3 2 6 3" xfId="32656"/>
    <cellStyle name="Bemærk! 2 3 2 7" xfId="11326"/>
    <cellStyle name="Bemærk! 2 3 2 8" xfId="22132"/>
    <cellStyle name="Bemærk! 2 3 2 9" xfId="22686"/>
    <cellStyle name="Bemærk! 2 3 3" xfId="787"/>
    <cellStyle name="Bemærk! 2 3 3 2" xfId="1619"/>
    <cellStyle name="Bemærk! 2 3 3 2 2" xfId="3284"/>
    <cellStyle name="Bemærk! 2 3 3 2 2 2" xfId="8272"/>
    <cellStyle name="Bemærk! 2 3 3 2 2 2 2" xfId="19079"/>
    <cellStyle name="Bemærk! 2 3 3 2 2 2 3" xfId="30436"/>
    <cellStyle name="Bemærk! 2 3 3 2 2 3" xfId="14094"/>
    <cellStyle name="Bemærk! 2 3 3 2 2 4" xfId="25452"/>
    <cellStyle name="Bemærk! 2 3 3 2 3" xfId="4948"/>
    <cellStyle name="Bemærk! 2 3 3 2 3 2" xfId="9933"/>
    <cellStyle name="Bemærk! 2 3 3 2 3 2 2" xfId="20740"/>
    <cellStyle name="Bemærk! 2 3 3 2 3 2 3" xfId="32097"/>
    <cellStyle name="Bemærk! 2 3 3 2 3 3" xfId="15755"/>
    <cellStyle name="Bemærk! 2 3 3 2 3 4" xfId="27113"/>
    <cellStyle name="Bemærk! 2 3 3 2 4" xfId="6610"/>
    <cellStyle name="Bemærk! 2 3 3 2 4 2" xfId="17418"/>
    <cellStyle name="Bemærk! 2 3 3 2 4 3" xfId="28775"/>
    <cellStyle name="Bemærk! 2 3 3 2 5" xfId="12433"/>
    <cellStyle name="Bemærk! 2 3 3 2 6" xfId="23791"/>
    <cellStyle name="Bemærk! 2 3 3 3" xfId="2453"/>
    <cellStyle name="Bemærk! 2 3 3 3 2" xfId="7441"/>
    <cellStyle name="Bemærk! 2 3 3 3 2 2" xfId="18248"/>
    <cellStyle name="Bemærk! 2 3 3 3 2 3" xfId="29605"/>
    <cellStyle name="Bemærk! 2 3 3 3 3" xfId="13263"/>
    <cellStyle name="Bemærk! 2 3 3 3 4" xfId="24621"/>
    <cellStyle name="Bemærk! 2 3 3 4" xfId="4117"/>
    <cellStyle name="Bemærk! 2 3 3 4 2" xfId="9102"/>
    <cellStyle name="Bemærk! 2 3 3 4 2 2" xfId="19909"/>
    <cellStyle name="Bemærk! 2 3 3 4 2 3" xfId="31266"/>
    <cellStyle name="Bemærk! 2 3 3 4 3" xfId="14924"/>
    <cellStyle name="Bemærk! 2 3 3 4 4" xfId="26282"/>
    <cellStyle name="Bemærk! 2 3 3 5" xfId="5779"/>
    <cellStyle name="Bemærk! 2 3 3 5 2" xfId="16587"/>
    <cellStyle name="Bemærk! 2 3 3 5 3" xfId="27944"/>
    <cellStyle name="Bemærk! 2 3 3 6" xfId="10766"/>
    <cellStyle name="Bemærk! 2 3 3 6 2" xfId="21573"/>
    <cellStyle name="Bemærk! 2 3 3 6 3" xfId="32930"/>
    <cellStyle name="Bemærk! 2 3 3 7" xfId="11601"/>
    <cellStyle name="Bemærk! 2 3 3 8" xfId="22960"/>
    <cellStyle name="Bemærk! 2 3 4" xfId="1066"/>
    <cellStyle name="Bemærk! 2 3 4 2" xfId="2731"/>
    <cellStyle name="Bemærk! 2 3 4 2 2" xfId="7719"/>
    <cellStyle name="Bemærk! 2 3 4 2 2 2" xfId="18526"/>
    <cellStyle name="Bemærk! 2 3 4 2 2 3" xfId="29883"/>
    <cellStyle name="Bemærk! 2 3 4 2 3" xfId="13541"/>
    <cellStyle name="Bemærk! 2 3 4 2 4" xfId="24899"/>
    <cellStyle name="Bemærk! 2 3 4 3" xfId="4395"/>
    <cellStyle name="Bemærk! 2 3 4 3 2" xfId="9380"/>
    <cellStyle name="Bemærk! 2 3 4 3 2 2" xfId="20187"/>
    <cellStyle name="Bemærk! 2 3 4 3 2 3" xfId="31544"/>
    <cellStyle name="Bemærk! 2 3 4 3 3" xfId="15202"/>
    <cellStyle name="Bemærk! 2 3 4 3 4" xfId="26560"/>
    <cellStyle name="Bemærk! 2 3 4 4" xfId="6057"/>
    <cellStyle name="Bemærk! 2 3 4 4 2" xfId="16865"/>
    <cellStyle name="Bemærk! 2 3 4 4 3" xfId="28222"/>
    <cellStyle name="Bemærk! 2 3 4 5" xfId="11880"/>
    <cellStyle name="Bemærk! 2 3 4 6" xfId="23238"/>
    <cellStyle name="Bemærk! 2 3 5" xfId="1901"/>
    <cellStyle name="Bemærk! 2 3 5 2" xfId="6889"/>
    <cellStyle name="Bemærk! 2 3 5 2 2" xfId="17697"/>
    <cellStyle name="Bemærk! 2 3 5 2 3" xfId="29054"/>
    <cellStyle name="Bemærk! 2 3 5 3" xfId="12712"/>
    <cellStyle name="Bemærk! 2 3 5 4" xfId="24070"/>
    <cellStyle name="Bemærk! 2 3 6" xfId="3566"/>
    <cellStyle name="Bemærk! 2 3 6 2" xfId="8551"/>
    <cellStyle name="Bemærk! 2 3 6 2 2" xfId="19358"/>
    <cellStyle name="Bemærk! 2 3 6 2 3" xfId="30715"/>
    <cellStyle name="Bemærk! 2 3 6 3" xfId="14373"/>
    <cellStyle name="Bemærk! 2 3 6 4" xfId="25731"/>
    <cellStyle name="Bemærk! 2 3 7" xfId="5227"/>
    <cellStyle name="Bemærk! 2 3 7 2" xfId="16036"/>
    <cellStyle name="Bemærk! 2 3 7 3" xfId="27393"/>
    <cellStyle name="Bemærk! 2 3 8" xfId="10212"/>
    <cellStyle name="Bemærk! 2 3 8 2" xfId="21019"/>
    <cellStyle name="Bemærk! 2 3 8 3" xfId="32376"/>
    <cellStyle name="Bemærk! 2 3 9" xfId="11046"/>
    <cellStyle name="Bemærk! 2 4" xfId="249"/>
    <cellStyle name="Bemærk! 2 4 10" xfId="21906"/>
    <cellStyle name="Bemærk! 2 4 11" xfId="22459"/>
    <cellStyle name="Bemærk! 2 4 12" xfId="33262"/>
    <cellStyle name="Bemærk! 2 4 13" xfId="33537"/>
    <cellStyle name="Bemærk! 2 4 14" xfId="33808"/>
    <cellStyle name="Bemærk! 2 4 2" xfId="566"/>
    <cellStyle name="Bemærk! 2 4 2 2" xfId="1398"/>
    <cellStyle name="Bemærk! 2 4 2 2 2" xfId="3063"/>
    <cellStyle name="Bemærk! 2 4 2 2 2 2" xfId="8051"/>
    <cellStyle name="Bemærk! 2 4 2 2 2 2 2" xfId="18858"/>
    <cellStyle name="Bemærk! 2 4 2 2 2 2 3" xfId="30215"/>
    <cellStyle name="Bemærk! 2 4 2 2 2 3" xfId="13873"/>
    <cellStyle name="Bemærk! 2 4 2 2 2 4" xfId="25231"/>
    <cellStyle name="Bemærk! 2 4 2 2 3" xfId="4727"/>
    <cellStyle name="Bemærk! 2 4 2 2 3 2" xfId="9712"/>
    <cellStyle name="Bemærk! 2 4 2 2 3 2 2" xfId="20519"/>
    <cellStyle name="Bemærk! 2 4 2 2 3 2 3" xfId="31876"/>
    <cellStyle name="Bemærk! 2 4 2 2 3 3" xfId="15534"/>
    <cellStyle name="Bemærk! 2 4 2 2 3 4" xfId="26892"/>
    <cellStyle name="Bemærk! 2 4 2 2 4" xfId="6389"/>
    <cellStyle name="Bemærk! 2 4 2 2 4 2" xfId="17197"/>
    <cellStyle name="Bemærk! 2 4 2 2 4 3" xfId="28554"/>
    <cellStyle name="Bemærk! 2 4 2 2 5" xfId="12212"/>
    <cellStyle name="Bemærk! 2 4 2 2 6" xfId="23570"/>
    <cellStyle name="Bemærk! 2 4 2 3" xfId="2232"/>
    <cellStyle name="Bemærk! 2 4 2 3 2" xfId="7220"/>
    <cellStyle name="Bemærk! 2 4 2 3 2 2" xfId="18027"/>
    <cellStyle name="Bemærk! 2 4 2 3 2 3" xfId="29384"/>
    <cellStyle name="Bemærk! 2 4 2 3 3" xfId="13042"/>
    <cellStyle name="Bemærk! 2 4 2 3 4" xfId="24400"/>
    <cellStyle name="Bemærk! 2 4 2 4" xfId="3896"/>
    <cellStyle name="Bemærk! 2 4 2 4 2" xfId="8881"/>
    <cellStyle name="Bemærk! 2 4 2 4 2 2" xfId="19688"/>
    <cellStyle name="Bemærk! 2 4 2 4 2 3" xfId="31045"/>
    <cellStyle name="Bemærk! 2 4 2 4 3" xfId="14703"/>
    <cellStyle name="Bemærk! 2 4 2 4 4" xfId="26061"/>
    <cellStyle name="Bemærk! 2 4 2 5" xfId="5558"/>
    <cellStyle name="Bemærk! 2 4 2 5 2" xfId="16366"/>
    <cellStyle name="Bemærk! 2 4 2 5 3" xfId="27723"/>
    <cellStyle name="Bemærk! 2 4 2 6" xfId="10545"/>
    <cellStyle name="Bemærk! 2 4 2 6 2" xfId="21352"/>
    <cellStyle name="Bemærk! 2 4 2 6 3" xfId="32709"/>
    <cellStyle name="Bemærk! 2 4 2 7" xfId="11379"/>
    <cellStyle name="Bemærk! 2 4 2 8" xfId="22185"/>
    <cellStyle name="Bemærk! 2 4 2 9" xfId="22739"/>
    <cellStyle name="Bemærk! 2 4 3" xfId="840"/>
    <cellStyle name="Bemærk! 2 4 3 2" xfId="1672"/>
    <cellStyle name="Bemærk! 2 4 3 2 2" xfId="3337"/>
    <cellStyle name="Bemærk! 2 4 3 2 2 2" xfId="8325"/>
    <cellStyle name="Bemærk! 2 4 3 2 2 2 2" xfId="19132"/>
    <cellStyle name="Bemærk! 2 4 3 2 2 2 3" xfId="30489"/>
    <cellStyle name="Bemærk! 2 4 3 2 2 3" xfId="14147"/>
    <cellStyle name="Bemærk! 2 4 3 2 2 4" xfId="25505"/>
    <cellStyle name="Bemærk! 2 4 3 2 3" xfId="5001"/>
    <cellStyle name="Bemærk! 2 4 3 2 3 2" xfId="9986"/>
    <cellStyle name="Bemærk! 2 4 3 2 3 2 2" xfId="20793"/>
    <cellStyle name="Bemærk! 2 4 3 2 3 2 3" xfId="32150"/>
    <cellStyle name="Bemærk! 2 4 3 2 3 3" xfId="15808"/>
    <cellStyle name="Bemærk! 2 4 3 2 3 4" xfId="27166"/>
    <cellStyle name="Bemærk! 2 4 3 2 4" xfId="6663"/>
    <cellStyle name="Bemærk! 2 4 3 2 4 2" xfId="17471"/>
    <cellStyle name="Bemærk! 2 4 3 2 4 3" xfId="28828"/>
    <cellStyle name="Bemærk! 2 4 3 2 5" xfId="12486"/>
    <cellStyle name="Bemærk! 2 4 3 2 6" xfId="23844"/>
    <cellStyle name="Bemærk! 2 4 3 3" xfId="2506"/>
    <cellStyle name="Bemærk! 2 4 3 3 2" xfId="7494"/>
    <cellStyle name="Bemærk! 2 4 3 3 2 2" xfId="18301"/>
    <cellStyle name="Bemærk! 2 4 3 3 2 3" xfId="29658"/>
    <cellStyle name="Bemærk! 2 4 3 3 3" xfId="13316"/>
    <cellStyle name="Bemærk! 2 4 3 3 4" xfId="24674"/>
    <cellStyle name="Bemærk! 2 4 3 4" xfId="4170"/>
    <cellStyle name="Bemærk! 2 4 3 4 2" xfId="9155"/>
    <cellStyle name="Bemærk! 2 4 3 4 2 2" xfId="19962"/>
    <cellStyle name="Bemærk! 2 4 3 4 2 3" xfId="31319"/>
    <cellStyle name="Bemærk! 2 4 3 4 3" xfId="14977"/>
    <cellStyle name="Bemærk! 2 4 3 4 4" xfId="26335"/>
    <cellStyle name="Bemærk! 2 4 3 5" xfId="5832"/>
    <cellStyle name="Bemærk! 2 4 3 5 2" xfId="16640"/>
    <cellStyle name="Bemærk! 2 4 3 5 3" xfId="27997"/>
    <cellStyle name="Bemærk! 2 4 3 6" xfId="10819"/>
    <cellStyle name="Bemærk! 2 4 3 6 2" xfId="21626"/>
    <cellStyle name="Bemærk! 2 4 3 6 3" xfId="32983"/>
    <cellStyle name="Bemærk! 2 4 3 7" xfId="11654"/>
    <cellStyle name="Bemærk! 2 4 3 8" xfId="23013"/>
    <cellStyle name="Bemærk! 2 4 4" xfId="1119"/>
    <cellStyle name="Bemærk! 2 4 4 2" xfId="2784"/>
    <cellStyle name="Bemærk! 2 4 4 2 2" xfId="7772"/>
    <cellStyle name="Bemærk! 2 4 4 2 2 2" xfId="18579"/>
    <cellStyle name="Bemærk! 2 4 4 2 2 3" xfId="29936"/>
    <cellStyle name="Bemærk! 2 4 4 2 3" xfId="13594"/>
    <cellStyle name="Bemærk! 2 4 4 2 4" xfId="24952"/>
    <cellStyle name="Bemærk! 2 4 4 3" xfId="4448"/>
    <cellStyle name="Bemærk! 2 4 4 3 2" xfId="9433"/>
    <cellStyle name="Bemærk! 2 4 4 3 2 2" xfId="20240"/>
    <cellStyle name="Bemærk! 2 4 4 3 2 3" xfId="31597"/>
    <cellStyle name="Bemærk! 2 4 4 3 3" xfId="15255"/>
    <cellStyle name="Bemærk! 2 4 4 3 4" xfId="26613"/>
    <cellStyle name="Bemærk! 2 4 4 4" xfId="6110"/>
    <cellStyle name="Bemærk! 2 4 4 4 2" xfId="16918"/>
    <cellStyle name="Bemærk! 2 4 4 4 3" xfId="28275"/>
    <cellStyle name="Bemærk! 2 4 4 5" xfId="11933"/>
    <cellStyle name="Bemærk! 2 4 4 6" xfId="23291"/>
    <cellStyle name="Bemærk! 2 4 5" xfId="1954"/>
    <cellStyle name="Bemærk! 2 4 5 2" xfId="6942"/>
    <cellStyle name="Bemærk! 2 4 5 2 2" xfId="17750"/>
    <cellStyle name="Bemærk! 2 4 5 2 3" xfId="29107"/>
    <cellStyle name="Bemærk! 2 4 5 3" xfId="12765"/>
    <cellStyle name="Bemærk! 2 4 5 4" xfId="24123"/>
    <cellStyle name="Bemærk! 2 4 6" xfId="3619"/>
    <cellStyle name="Bemærk! 2 4 6 2" xfId="8604"/>
    <cellStyle name="Bemærk! 2 4 6 2 2" xfId="19411"/>
    <cellStyle name="Bemærk! 2 4 6 2 3" xfId="30768"/>
    <cellStyle name="Bemærk! 2 4 6 3" xfId="14426"/>
    <cellStyle name="Bemærk! 2 4 6 4" xfId="25784"/>
    <cellStyle name="Bemærk! 2 4 7" xfId="5280"/>
    <cellStyle name="Bemærk! 2 4 7 2" xfId="16089"/>
    <cellStyle name="Bemærk! 2 4 7 3" xfId="27446"/>
    <cellStyle name="Bemærk! 2 4 8" xfId="10265"/>
    <cellStyle name="Bemærk! 2 4 8 2" xfId="21072"/>
    <cellStyle name="Bemærk! 2 4 8 3" xfId="32429"/>
    <cellStyle name="Bemærk! 2 4 9" xfId="11099"/>
    <cellStyle name="Bemærk! 2 5" xfId="303"/>
    <cellStyle name="Bemærk! 2 5 10" xfId="21960"/>
    <cellStyle name="Bemærk! 2 5 11" xfId="22513"/>
    <cellStyle name="Bemærk! 2 5 12" xfId="33316"/>
    <cellStyle name="Bemærk! 2 5 13" xfId="33591"/>
    <cellStyle name="Bemærk! 2 5 14" xfId="33862"/>
    <cellStyle name="Bemærk! 2 5 2" xfId="620"/>
    <cellStyle name="Bemærk! 2 5 2 2" xfId="1452"/>
    <cellStyle name="Bemærk! 2 5 2 2 2" xfId="3117"/>
    <cellStyle name="Bemærk! 2 5 2 2 2 2" xfId="8105"/>
    <cellStyle name="Bemærk! 2 5 2 2 2 2 2" xfId="18912"/>
    <cellStyle name="Bemærk! 2 5 2 2 2 2 3" xfId="30269"/>
    <cellStyle name="Bemærk! 2 5 2 2 2 3" xfId="13927"/>
    <cellStyle name="Bemærk! 2 5 2 2 2 4" xfId="25285"/>
    <cellStyle name="Bemærk! 2 5 2 2 3" xfId="4781"/>
    <cellStyle name="Bemærk! 2 5 2 2 3 2" xfId="9766"/>
    <cellStyle name="Bemærk! 2 5 2 2 3 2 2" xfId="20573"/>
    <cellStyle name="Bemærk! 2 5 2 2 3 2 3" xfId="31930"/>
    <cellStyle name="Bemærk! 2 5 2 2 3 3" xfId="15588"/>
    <cellStyle name="Bemærk! 2 5 2 2 3 4" xfId="26946"/>
    <cellStyle name="Bemærk! 2 5 2 2 4" xfId="6443"/>
    <cellStyle name="Bemærk! 2 5 2 2 4 2" xfId="17251"/>
    <cellStyle name="Bemærk! 2 5 2 2 4 3" xfId="28608"/>
    <cellStyle name="Bemærk! 2 5 2 2 5" xfId="12266"/>
    <cellStyle name="Bemærk! 2 5 2 2 6" xfId="23624"/>
    <cellStyle name="Bemærk! 2 5 2 3" xfId="2286"/>
    <cellStyle name="Bemærk! 2 5 2 3 2" xfId="7274"/>
    <cellStyle name="Bemærk! 2 5 2 3 2 2" xfId="18081"/>
    <cellStyle name="Bemærk! 2 5 2 3 2 3" xfId="29438"/>
    <cellStyle name="Bemærk! 2 5 2 3 3" xfId="13096"/>
    <cellStyle name="Bemærk! 2 5 2 3 4" xfId="24454"/>
    <cellStyle name="Bemærk! 2 5 2 4" xfId="3950"/>
    <cellStyle name="Bemærk! 2 5 2 4 2" xfId="8935"/>
    <cellStyle name="Bemærk! 2 5 2 4 2 2" xfId="19742"/>
    <cellStyle name="Bemærk! 2 5 2 4 2 3" xfId="31099"/>
    <cellStyle name="Bemærk! 2 5 2 4 3" xfId="14757"/>
    <cellStyle name="Bemærk! 2 5 2 4 4" xfId="26115"/>
    <cellStyle name="Bemærk! 2 5 2 5" xfId="5612"/>
    <cellStyle name="Bemærk! 2 5 2 5 2" xfId="16420"/>
    <cellStyle name="Bemærk! 2 5 2 5 3" xfId="27777"/>
    <cellStyle name="Bemærk! 2 5 2 6" xfId="10599"/>
    <cellStyle name="Bemærk! 2 5 2 6 2" xfId="21406"/>
    <cellStyle name="Bemærk! 2 5 2 6 3" xfId="32763"/>
    <cellStyle name="Bemærk! 2 5 2 7" xfId="11433"/>
    <cellStyle name="Bemærk! 2 5 2 8" xfId="22239"/>
    <cellStyle name="Bemærk! 2 5 2 9" xfId="22793"/>
    <cellStyle name="Bemærk! 2 5 3" xfId="894"/>
    <cellStyle name="Bemærk! 2 5 3 2" xfId="1726"/>
    <cellStyle name="Bemærk! 2 5 3 2 2" xfId="3391"/>
    <cellStyle name="Bemærk! 2 5 3 2 2 2" xfId="8379"/>
    <cellStyle name="Bemærk! 2 5 3 2 2 2 2" xfId="19186"/>
    <cellStyle name="Bemærk! 2 5 3 2 2 2 3" xfId="30543"/>
    <cellStyle name="Bemærk! 2 5 3 2 2 3" xfId="14201"/>
    <cellStyle name="Bemærk! 2 5 3 2 2 4" xfId="25559"/>
    <cellStyle name="Bemærk! 2 5 3 2 3" xfId="5055"/>
    <cellStyle name="Bemærk! 2 5 3 2 3 2" xfId="10040"/>
    <cellStyle name="Bemærk! 2 5 3 2 3 2 2" xfId="20847"/>
    <cellStyle name="Bemærk! 2 5 3 2 3 2 3" xfId="32204"/>
    <cellStyle name="Bemærk! 2 5 3 2 3 3" xfId="15862"/>
    <cellStyle name="Bemærk! 2 5 3 2 3 4" xfId="27220"/>
    <cellStyle name="Bemærk! 2 5 3 2 4" xfId="6717"/>
    <cellStyle name="Bemærk! 2 5 3 2 4 2" xfId="17525"/>
    <cellStyle name="Bemærk! 2 5 3 2 4 3" xfId="28882"/>
    <cellStyle name="Bemærk! 2 5 3 2 5" xfId="12540"/>
    <cellStyle name="Bemærk! 2 5 3 2 6" xfId="23898"/>
    <cellStyle name="Bemærk! 2 5 3 3" xfId="2560"/>
    <cellStyle name="Bemærk! 2 5 3 3 2" xfId="7548"/>
    <cellStyle name="Bemærk! 2 5 3 3 2 2" xfId="18355"/>
    <cellStyle name="Bemærk! 2 5 3 3 2 3" xfId="29712"/>
    <cellStyle name="Bemærk! 2 5 3 3 3" xfId="13370"/>
    <cellStyle name="Bemærk! 2 5 3 3 4" xfId="24728"/>
    <cellStyle name="Bemærk! 2 5 3 4" xfId="4224"/>
    <cellStyle name="Bemærk! 2 5 3 4 2" xfId="9209"/>
    <cellStyle name="Bemærk! 2 5 3 4 2 2" xfId="20016"/>
    <cellStyle name="Bemærk! 2 5 3 4 2 3" xfId="31373"/>
    <cellStyle name="Bemærk! 2 5 3 4 3" xfId="15031"/>
    <cellStyle name="Bemærk! 2 5 3 4 4" xfId="26389"/>
    <cellStyle name="Bemærk! 2 5 3 5" xfId="5886"/>
    <cellStyle name="Bemærk! 2 5 3 5 2" xfId="16694"/>
    <cellStyle name="Bemærk! 2 5 3 5 3" xfId="28051"/>
    <cellStyle name="Bemærk! 2 5 3 6" xfId="10873"/>
    <cellStyle name="Bemærk! 2 5 3 6 2" xfId="21680"/>
    <cellStyle name="Bemærk! 2 5 3 6 3" xfId="33037"/>
    <cellStyle name="Bemærk! 2 5 3 7" xfId="11708"/>
    <cellStyle name="Bemærk! 2 5 3 8" xfId="23067"/>
    <cellStyle name="Bemærk! 2 5 4" xfId="1173"/>
    <cellStyle name="Bemærk! 2 5 4 2" xfId="2838"/>
    <cellStyle name="Bemærk! 2 5 4 2 2" xfId="7826"/>
    <cellStyle name="Bemærk! 2 5 4 2 2 2" xfId="18633"/>
    <cellStyle name="Bemærk! 2 5 4 2 2 3" xfId="29990"/>
    <cellStyle name="Bemærk! 2 5 4 2 3" xfId="13648"/>
    <cellStyle name="Bemærk! 2 5 4 2 4" xfId="25006"/>
    <cellStyle name="Bemærk! 2 5 4 3" xfId="4502"/>
    <cellStyle name="Bemærk! 2 5 4 3 2" xfId="9487"/>
    <cellStyle name="Bemærk! 2 5 4 3 2 2" xfId="20294"/>
    <cellStyle name="Bemærk! 2 5 4 3 2 3" xfId="31651"/>
    <cellStyle name="Bemærk! 2 5 4 3 3" xfId="15309"/>
    <cellStyle name="Bemærk! 2 5 4 3 4" xfId="26667"/>
    <cellStyle name="Bemærk! 2 5 4 4" xfId="6164"/>
    <cellStyle name="Bemærk! 2 5 4 4 2" xfId="16972"/>
    <cellStyle name="Bemærk! 2 5 4 4 3" xfId="28329"/>
    <cellStyle name="Bemærk! 2 5 4 5" xfId="11987"/>
    <cellStyle name="Bemærk! 2 5 4 6" xfId="23345"/>
    <cellStyle name="Bemærk! 2 5 5" xfId="2008"/>
    <cellStyle name="Bemærk! 2 5 5 2" xfId="6996"/>
    <cellStyle name="Bemærk! 2 5 5 2 2" xfId="17804"/>
    <cellStyle name="Bemærk! 2 5 5 2 3" xfId="29161"/>
    <cellStyle name="Bemærk! 2 5 5 3" xfId="12819"/>
    <cellStyle name="Bemærk! 2 5 5 4" xfId="24177"/>
    <cellStyle name="Bemærk! 2 5 6" xfId="3673"/>
    <cellStyle name="Bemærk! 2 5 6 2" xfId="8658"/>
    <cellStyle name="Bemærk! 2 5 6 2 2" xfId="19465"/>
    <cellStyle name="Bemærk! 2 5 6 2 3" xfId="30822"/>
    <cellStyle name="Bemærk! 2 5 6 3" xfId="14480"/>
    <cellStyle name="Bemærk! 2 5 6 4" xfId="25838"/>
    <cellStyle name="Bemærk! 2 5 7" xfId="5334"/>
    <cellStyle name="Bemærk! 2 5 7 2" xfId="16143"/>
    <cellStyle name="Bemærk! 2 5 7 3" xfId="27500"/>
    <cellStyle name="Bemærk! 2 5 8" xfId="10319"/>
    <cellStyle name="Bemærk! 2 5 8 2" xfId="21126"/>
    <cellStyle name="Bemærk! 2 5 8 3" xfId="32483"/>
    <cellStyle name="Bemærk! 2 5 9" xfId="11153"/>
    <cellStyle name="Bemærk! 2 6" xfId="359"/>
    <cellStyle name="Bemærk! 2 6 10" xfId="22016"/>
    <cellStyle name="Bemærk! 2 6 11" xfId="22569"/>
    <cellStyle name="Bemærk! 2 6 12" xfId="33372"/>
    <cellStyle name="Bemærk! 2 6 13" xfId="33647"/>
    <cellStyle name="Bemærk! 2 6 14" xfId="33918"/>
    <cellStyle name="Bemærk! 2 6 2" xfId="676"/>
    <cellStyle name="Bemærk! 2 6 2 2" xfId="1508"/>
    <cellStyle name="Bemærk! 2 6 2 2 2" xfId="3173"/>
    <cellStyle name="Bemærk! 2 6 2 2 2 2" xfId="8161"/>
    <cellStyle name="Bemærk! 2 6 2 2 2 2 2" xfId="18968"/>
    <cellStyle name="Bemærk! 2 6 2 2 2 2 3" xfId="30325"/>
    <cellStyle name="Bemærk! 2 6 2 2 2 3" xfId="13983"/>
    <cellStyle name="Bemærk! 2 6 2 2 2 4" xfId="25341"/>
    <cellStyle name="Bemærk! 2 6 2 2 3" xfId="4837"/>
    <cellStyle name="Bemærk! 2 6 2 2 3 2" xfId="9822"/>
    <cellStyle name="Bemærk! 2 6 2 2 3 2 2" xfId="20629"/>
    <cellStyle name="Bemærk! 2 6 2 2 3 2 3" xfId="31986"/>
    <cellStyle name="Bemærk! 2 6 2 2 3 3" xfId="15644"/>
    <cellStyle name="Bemærk! 2 6 2 2 3 4" xfId="27002"/>
    <cellStyle name="Bemærk! 2 6 2 2 4" xfId="6499"/>
    <cellStyle name="Bemærk! 2 6 2 2 4 2" xfId="17307"/>
    <cellStyle name="Bemærk! 2 6 2 2 4 3" xfId="28664"/>
    <cellStyle name="Bemærk! 2 6 2 2 5" xfId="12322"/>
    <cellStyle name="Bemærk! 2 6 2 2 6" xfId="23680"/>
    <cellStyle name="Bemærk! 2 6 2 3" xfId="2342"/>
    <cellStyle name="Bemærk! 2 6 2 3 2" xfId="7330"/>
    <cellStyle name="Bemærk! 2 6 2 3 2 2" xfId="18137"/>
    <cellStyle name="Bemærk! 2 6 2 3 2 3" xfId="29494"/>
    <cellStyle name="Bemærk! 2 6 2 3 3" xfId="13152"/>
    <cellStyle name="Bemærk! 2 6 2 3 4" xfId="24510"/>
    <cellStyle name="Bemærk! 2 6 2 4" xfId="4006"/>
    <cellStyle name="Bemærk! 2 6 2 4 2" xfId="8991"/>
    <cellStyle name="Bemærk! 2 6 2 4 2 2" xfId="19798"/>
    <cellStyle name="Bemærk! 2 6 2 4 2 3" xfId="31155"/>
    <cellStyle name="Bemærk! 2 6 2 4 3" xfId="14813"/>
    <cellStyle name="Bemærk! 2 6 2 4 4" xfId="26171"/>
    <cellStyle name="Bemærk! 2 6 2 5" xfId="5668"/>
    <cellStyle name="Bemærk! 2 6 2 5 2" xfId="16476"/>
    <cellStyle name="Bemærk! 2 6 2 5 3" xfId="27833"/>
    <cellStyle name="Bemærk! 2 6 2 6" xfId="10655"/>
    <cellStyle name="Bemærk! 2 6 2 6 2" xfId="21462"/>
    <cellStyle name="Bemærk! 2 6 2 6 3" xfId="32819"/>
    <cellStyle name="Bemærk! 2 6 2 7" xfId="11489"/>
    <cellStyle name="Bemærk! 2 6 2 8" xfId="22295"/>
    <cellStyle name="Bemærk! 2 6 2 9" xfId="22849"/>
    <cellStyle name="Bemærk! 2 6 3" xfId="950"/>
    <cellStyle name="Bemærk! 2 6 3 2" xfId="1782"/>
    <cellStyle name="Bemærk! 2 6 3 2 2" xfId="3447"/>
    <cellStyle name="Bemærk! 2 6 3 2 2 2" xfId="8435"/>
    <cellStyle name="Bemærk! 2 6 3 2 2 2 2" xfId="19242"/>
    <cellStyle name="Bemærk! 2 6 3 2 2 2 3" xfId="30599"/>
    <cellStyle name="Bemærk! 2 6 3 2 2 3" xfId="14257"/>
    <cellStyle name="Bemærk! 2 6 3 2 2 4" xfId="25615"/>
    <cellStyle name="Bemærk! 2 6 3 2 3" xfId="5111"/>
    <cellStyle name="Bemærk! 2 6 3 2 3 2" xfId="10096"/>
    <cellStyle name="Bemærk! 2 6 3 2 3 2 2" xfId="20903"/>
    <cellStyle name="Bemærk! 2 6 3 2 3 2 3" xfId="32260"/>
    <cellStyle name="Bemærk! 2 6 3 2 3 3" xfId="15918"/>
    <cellStyle name="Bemærk! 2 6 3 2 3 4" xfId="27276"/>
    <cellStyle name="Bemærk! 2 6 3 2 4" xfId="6773"/>
    <cellStyle name="Bemærk! 2 6 3 2 4 2" xfId="17581"/>
    <cellStyle name="Bemærk! 2 6 3 2 4 3" xfId="28938"/>
    <cellStyle name="Bemærk! 2 6 3 2 5" xfId="12596"/>
    <cellStyle name="Bemærk! 2 6 3 2 6" xfId="23954"/>
    <cellStyle name="Bemærk! 2 6 3 3" xfId="2616"/>
    <cellStyle name="Bemærk! 2 6 3 3 2" xfId="7604"/>
    <cellStyle name="Bemærk! 2 6 3 3 2 2" xfId="18411"/>
    <cellStyle name="Bemærk! 2 6 3 3 2 3" xfId="29768"/>
    <cellStyle name="Bemærk! 2 6 3 3 3" xfId="13426"/>
    <cellStyle name="Bemærk! 2 6 3 3 4" xfId="24784"/>
    <cellStyle name="Bemærk! 2 6 3 4" xfId="4280"/>
    <cellStyle name="Bemærk! 2 6 3 4 2" xfId="9265"/>
    <cellStyle name="Bemærk! 2 6 3 4 2 2" xfId="20072"/>
    <cellStyle name="Bemærk! 2 6 3 4 2 3" xfId="31429"/>
    <cellStyle name="Bemærk! 2 6 3 4 3" xfId="15087"/>
    <cellStyle name="Bemærk! 2 6 3 4 4" xfId="26445"/>
    <cellStyle name="Bemærk! 2 6 3 5" xfId="5942"/>
    <cellStyle name="Bemærk! 2 6 3 5 2" xfId="16750"/>
    <cellStyle name="Bemærk! 2 6 3 5 3" xfId="28107"/>
    <cellStyle name="Bemærk! 2 6 3 6" xfId="10929"/>
    <cellStyle name="Bemærk! 2 6 3 6 2" xfId="21736"/>
    <cellStyle name="Bemærk! 2 6 3 6 3" xfId="33093"/>
    <cellStyle name="Bemærk! 2 6 3 7" xfId="11764"/>
    <cellStyle name="Bemærk! 2 6 3 8" xfId="23123"/>
    <cellStyle name="Bemærk! 2 6 4" xfId="1229"/>
    <cellStyle name="Bemærk! 2 6 4 2" xfId="2894"/>
    <cellStyle name="Bemærk! 2 6 4 2 2" xfId="7882"/>
    <cellStyle name="Bemærk! 2 6 4 2 2 2" xfId="18689"/>
    <cellStyle name="Bemærk! 2 6 4 2 2 3" xfId="30046"/>
    <cellStyle name="Bemærk! 2 6 4 2 3" xfId="13704"/>
    <cellStyle name="Bemærk! 2 6 4 2 4" xfId="25062"/>
    <cellStyle name="Bemærk! 2 6 4 3" xfId="4558"/>
    <cellStyle name="Bemærk! 2 6 4 3 2" xfId="9543"/>
    <cellStyle name="Bemærk! 2 6 4 3 2 2" xfId="20350"/>
    <cellStyle name="Bemærk! 2 6 4 3 2 3" xfId="31707"/>
    <cellStyle name="Bemærk! 2 6 4 3 3" xfId="15365"/>
    <cellStyle name="Bemærk! 2 6 4 3 4" xfId="26723"/>
    <cellStyle name="Bemærk! 2 6 4 4" xfId="6220"/>
    <cellStyle name="Bemærk! 2 6 4 4 2" xfId="17028"/>
    <cellStyle name="Bemærk! 2 6 4 4 3" xfId="28385"/>
    <cellStyle name="Bemærk! 2 6 4 5" xfId="12043"/>
    <cellStyle name="Bemærk! 2 6 4 6" xfId="23401"/>
    <cellStyle name="Bemærk! 2 6 5" xfId="2064"/>
    <cellStyle name="Bemærk! 2 6 5 2" xfId="7052"/>
    <cellStyle name="Bemærk! 2 6 5 2 2" xfId="17860"/>
    <cellStyle name="Bemærk! 2 6 5 2 3" xfId="29217"/>
    <cellStyle name="Bemærk! 2 6 5 3" xfId="12875"/>
    <cellStyle name="Bemærk! 2 6 5 4" xfId="24233"/>
    <cellStyle name="Bemærk! 2 6 6" xfId="3729"/>
    <cellStyle name="Bemærk! 2 6 6 2" xfId="8714"/>
    <cellStyle name="Bemærk! 2 6 6 2 2" xfId="19521"/>
    <cellStyle name="Bemærk! 2 6 6 2 3" xfId="30878"/>
    <cellStyle name="Bemærk! 2 6 6 3" xfId="14536"/>
    <cellStyle name="Bemærk! 2 6 6 4" xfId="25894"/>
    <cellStyle name="Bemærk! 2 6 7" xfId="5390"/>
    <cellStyle name="Bemærk! 2 6 7 2" xfId="16199"/>
    <cellStyle name="Bemærk! 2 6 7 3" xfId="27556"/>
    <cellStyle name="Bemærk! 2 6 8" xfId="10375"/>
    <cellStyle name="Bemærk! 2 6 8 2" xfId="21182"/>
    <cellStyle name="Bemærk! 2 6 8 3" xfId="32539"/>
    <cellStyle name="Bemærk! 2 6 9" xfId="11209"/>
    <cellStyle name="Bemærk! 2 7" xfId="460"/>
    <cellStyle name="Bemærk! 2 7 2" xfId="1290"/>
    <cellStyle name="Bemærk! 2 7 2 2" xfId="2955"/>
    <cellStyle name="Bemærk! 2 7 2 2 2" xfId="7943"/>
    <cellStyle name="Bemærk! 2 7 2 2 2 2" xfId="18750"/>
    <cellStyle name="Bemærk! 2 7 2 2 2 3" xfId="30107"/>
    <cellStyle name="Bemærk! 2 7 2 2 3" xfId="13765"/>
    <cellStyle name="Bemærk! 2 7 2 2 4" xfId="25123"/>
    <cellStyle name="Bemærk! 2 7 2 3" xfId="4619"/>
    <cellStyle name="Bemærk! 2 7 2 3 2" xfId="9604"/>
    <cellStyle name="Bemærk! 2 7 2 3 2 2" xfId="20411"/>
    <cellStyle name="Bemærk! 2 7 2 3 2 3" xfId="31768"/>
    <cellStyle name="Bemærk! 2 7 2 3 3" xfId="15426"/>
    <cellStyle name="Bemærk! 2 7 2 3 4" xfId="26784"/>
    <cellStyle name="Bemærk! 2 7 2 4" xfId="6281"/>
    <cellStyle name="Bemærk! 2 7 2 4 2" xfId="17089"/>
    <cellStyle name="Bemærk! 2 7 2 4 3" xfId="28446"/>
    <cellStyle name="Bemærk! 2 7 2 5" xfId="12104"/>
    <cellStyle name="Bemærk! 2 7 2 6" xfId="23462"/>
    <cellStyle name="Bemærk! 2 7 3" xfId="2126"/>
    <cellStyle name="Bemærk! 2 7 3 2" xfId="7114"/>
    <cellStyle name="Bemærk! 2 7 3 2 2" xfId="17921"/>
    <cellStyle name="Bemærk! 2 7 3 2 3" xfId="29278"/>
    <cellStyle name="Bemærk! 2 7 3 3" xfId="12936"/>
    <cellStyle name="Bemærk! 2 7 3 4" xfId="24294"/>
    <cellStyle name="Bemærk! 2 7 4" xfId="3790"/>
    <cellStyle name="Bemærk! 2 7 4 2" xfId="8775"/>
    <cellStyle name="Bemærk! 2 7 4 2 2" xfId="19582"/>
    <cellStyle name="Bemærk! 2 7 4 2 3" xfId="30939"/>
    <cellStyle name="Bemærk! 2 7 4 3" xfId="14597"/>
    <cellStyle name="Bemærk! 2 7 4 4" xfId="25955"/>
    <cellStyle name="Bemærk! 2 7 5" xfId="5452"/>
    <cellStyle name="Bemærk! 2 7 5 2" xfId="16260"/>
    <cellStyle name="Bemærk! 2 7 5 3" xfId="27617"/>
    <cellStyle name="Bemærk! 2 7 6" xfId="10457"/>
    <cellStyle name="Bemærk! 2 7 6 2" xfId="21264"/>
    <cellStyle name="Bemærk! 2 7 6 3" xfId="32621"/>
    <cellStyle name="Bemærk! 2 7 7" xfId="11271"/>
    <cellStyle name="Bemærk! 2 7 8" xfId="22077"/>
    <cellStyle name="Bemærk! 2 7 9" xfId="22631"/>
    <cellStyle name="Bemærk! 2 8" xfId="732"/>
    <cellStyle name="Bemærk! 2 8 2" xfId="1564"/>
    <cellStyle name="Bemærk! 2 8 2 2" xfId="3229"/>
    <cellStyle name="Bemærk! 2 8 2 2 2" xfId="8217"/>
    <cellStyle name="Bemærk! 2 8 2 2 2 2" xfId="19024"/>
    <cellStyle name="Bemærk! 2 8 2 2 2 3" xfId="30381"/>
    <cellStyle name="Bemærk! 2 8 2 2 3" xfId="14039"/>
    <cellStyle name="Bemærk! 2 8 2 2 4" xfId="25397"/>
    <cellStyle name="Bemærk! 2 8 2 3" xfId="4893"/>
    <cellStyle name="Bemærk! 2 8 2 3 2" xfId="9878"/>
    <cellStyle name="Bemærk! 2 8 2 3 2 2" xfId="20685"/>
    <cellStyle name="Bemærk! 2 8 2 3 2 3" xfId="32042"/>
    <cellStyle name="Bemærk! 2 8 2 3 3" xfId="15700"/>
    <cellStyle name="Bemærk! 2 8 2 3 4" xfId="27058"/>
    <cellStyle name="Bemærk! 2 8 2 4" xfId="6555"/>
    <cellStyle name="Bemærk! 2 8 2 4 2" xfId="17363"/>
    <cellStyle name="Bemærk! 2 8 2 4 3" xfId="28720"/>
    <cellStyle name="Bemærk! 2 8 2 5" xfId="12378"/>
    <cellStyle name="Bemærk! 2 8 2 6" xfId="23736"/>
    <cellStyle name="Bemærk! 2 8 3" xfId="2398"/>
    <cellStyle name="Bemærk! 2 8 3 2" xfId="7386"/>
    <cellStyle name="Bemærk! 2 8 3 2 2" xfId="18193"/>
    <cellStyle name="Bemærk! 2 8 3 2 3" xfId="29550"/>
    <cellStyle name="Bemærk! 2 8 3 3" xfId="13208"/>
    <cellStyle name="Bemærk! 2 8 3 4" xfId="24566"/>
    <cellStyle name="Bemærk! 2 8 4" xfId="4062"/>
    <cellStyle name="Bemærk! 2 8 4 2" xfId="9047"/>
    <cellStyle name="Bemærk! 2 8 4 2 2" xfId="19854"/>
    <cellStyle name="Bemærk! 2 8 4 2 3" xfId="31211"/>
    <cellStyle name="Bemærk! 2 8 4 3" xfId="14869"/>
    <cellStyle name="Bemærk! 2 8 4 4" xfId="26227"/>
    <cellStyle name="Bemærk! 2 8 5" xfId="5724"/>
    <cellStyle name="Bemærk! 2 8 5 2" xfId="16532"/>
    <cellStyle name="Bemærk! 2 8 5 3" xfId="27889"/>
    <cellStyle name="Bemærk! 2 8 6" xfId="10711"/>
    <cellStyle name="Bemærk! 2 8 6 2" xfId="21518"/>
    <cellStyle name="Bemærk! 2 8 6 3" xfId="32875"/>
    <cellStyle name="Bemærk! 2 8 7" xfId="11546"/>
    <cellStyle name="Bemærk! 2 8 8" xfId="22905"/>
    <cellStyle name="Bemærk! 2 9" xfId="1011"/>
    <cellStyle name="Bemærk! 2 9 2" xfId="2676"/>
    <cellStyle name="Bemærk! 2 9 2 2" xfId="7664"/>
    <cellStyle name="Bemærk! 2 9 2 2 2" xfId="18471"/>
    <cellStyle name="Bemærk! 2 9 2 2 3" xfId="29828"/>
    <cellStyle name="Bemærk! 2 9 2 3" xfId="13486"/>
    <cellStyle name="Bemærk! 2 9 2 4" xfId="24844"/>
    <cellStyle name="Bemærk! 2 9 3" xfId="4340"/>
    <cellStyle name="Bemærk! 2 9 3 2" xfId="9325"/>
    <cellStyle name="Bemærk! 2 9 3 2 2" xfId="20132"/>
    <cellStyle name="Bemærk! 2 9 3 2 3" xfId="31489"/>
    <cellStyle name="Bemærk! 2 9 3 3" xfId="15147"/>
    <cellStyle name="Bemærk! 2 9 3 4" xfId="26505"/>
    <cellStyle name="Bemærk! 2 9 4" xfId="6002"/>
    <cellStyle name="Bemærk! 2 9 4 2" xfId="16810"/>
    <cellStyle name="Bemærk! 2 9 4 3" xfId="28167"/>
    <cellStyle name="Bemærk! 2 9 5" xfId="11825"/>
    <cellStyle name="Bemærk! 2 9 6" xfId="23183"/>
    <cellStyle name="Bemærk! 3" xfId="98"/>
    <cellStyle name="Bemærk! 3 10" xfId="3536"/>
    <cellStyle name="Bemærk! 3 10 2" xfId="8521"/>
    <cellStyle name="Bemærk! 3 10 2 2" xfId="19328"/>
    <cellStyle name="Bemærk! 3 10 2 3" xfId="30685"/>
    <cellStyle name="Bemærk! 3 10 3" xfId="14343"/>
    <cellStyle name="Bemærk! 3 10 4" xfId="25701"/>
    <cellStyle name="Bemærk! 3 11" xfId="5197"/>
    <cellStyle name="Bemærk! 3 11 2" xfId="16006"/>
    <cellStyle name="Bemærk! 3 11 3" xfId="27363"/>
    <cellStyle name="Bemærk! 3 12" xfId="10181"/>
    <cellStyle name="Bemærk! 3 12 2" xfId="20988"/>
    <cellStyle name="Bemærk! 3 12 3" xfId="32345"/>
    <cellStyle name="Bemærk! 3 13" xfId="11015"/>
    <cellStyle name="Bemærk! 3 14" xfId="21822"/>
    <cellStyle name="Bemærk! 3 15" xfId="22375"/>
    <cellStyle name="Bemærk! 3 16" xfId="33178"/>
    <cellStyle name="Bemærk! 3 17" xfId="33452"/>
    <cellStyle name="Bemærk! 3 18" xfId="33723"/>
    <cellStyle name="Bemærk! 3 2" xfId="218"/>
    <cellStyle name="Bemærk! 3 2 10" xfId="21876"/>
    <cellStyle name="Bemærk! 3 2 11" xfId="22429"/>
    <cellStyle name="Bemærk! 3 2 12" xfId="33232"/>
    <cellStyle name="Bemærk! 3 2 13" xfId="33507"/>
    <cellStyle name="Bemærk! 3 2 14" xfId="33778"/>
    <cellStyle name="Bemærk! 3 2 2" xfId="536"/>
    <cellStyle name="Bemærk! 3 2 2 2" xfId="1368"/>
    <cellStyle name="Bemærk! 3 2 2 2 2" xfId="3033"/>
    <cellStyle name="Bemærk! 3 2 2 2 2 2" xfId="8021"/>
    <cellStyle name="Bemærk! 3 2 2 2 2 2 2" xfId="18828"/>
    <cellStyle name="Bemærk! 3 2 2 2 2 2 3" xfId="30185"/>
    <cellStyle name="Bemærk! 3 2 2 2 2 3" xfId="13843"/>
    <cellStyle name="Bemærk! 3 2 2 2 2 4" xfId="25201"/>
    <cellStyle name="Bemærk! 3 2 2 2 3" xfId="4697"/>
    <cellStyle name="Bemærk! 3 2 2 2 3 2" xfId="9682"/>
    <cellStyle name="Bemærk! 3 2 2 2 3 2 2" xfId="20489"/>
    <cellStyle name="Bemærk! 3 2 2 2 3 2 3" xfId="31846"/>
    <cellStyle name="Bemærk! 3 2 2 2 3 3" xfId="15504"/>
    <cellStyle name="Bemærk! 3 2 2 2 3 4" xfId="26862"/>
    <cellStyle name="Bemærk! 3 2 2 2 4" xfId="6359"/>
    <cellStyle name="Bemærk! 3 2 2 2 4 2" xfId="17167"/>
    <cellStyle name="Bemærk! 3 2 2 2 4 3" xfId="28524"/>
    <cellStyle name="Bemærk! 3 2 2 2 5" xfId="12182"/>
    <cellStyle name="Bemærk! 3 2 2 2 6" xfId="23540"/>
    <cellStyle name="Bemærk! 3 2 2 3" xfId="2202"/>
    <cellStyle name="Bemærk! 3 2 2 3 2" xfId="7190"/>
    <cellStyle name="Bemærk! 3 2 2 3 2 2" xfId="17997"/>
    <cellStyle name="Bemærk! 3 2 2 3 2 3" xfId="29354"/>
    <cellStyle name="Bemærk! 3 2 2 3 3" xfId="13012"/>
    <cellStyle name="Bemærk! 3 2 2 3 4" xfId="24370"/>
    <cellStyle name="Bemærk! 3 2 2 4" xfId="3866"/>
    <cellStyle name="Bemærk! 3 2 2 4 2" xfId="8851"/>
    <cellStyle name="Bemærk! 3 2 2 4 2 2" xfId="19658"/>
    <cellStyle name="Bemærk! 3 2 2 4 2 3" xfId="31015"/>
    <cellStyle name="Bemærk! 3 2 2 4 3" xfId="14673"/>
    <cellStyle name="Bemærk! 3 2 2 4 4" xfId="26031"/>
    <cellStyle name="Bemærk! 3 2 2 5" xfId="5528"/>
    <cellStyle name="Bemærk! 3 2 2 5 2" xfId="16336"/>
    <cellStyle name="Bemærk! 3 2 2 5 3" xfId="27693"/>
    <cellStyle name="Bemærk! 3 2 2 6" xfId="10515"/>
    <cellStyle name="Bemærk! 3 2 2 6 2" xfId="21322"/>
    <cellStyle name="Bemærk! 3 2 2 6 3" xfId="32679"/>
    <cellStyle name="Bemærk! 3 2 2 7" xfId="11349"/>
    <cellStyle name="Bemærk! 3 2 2 8" xfId="22155"/>
    <cellStyle name="Bemærk! 3 2 2 9" xfId="22709"/>
    <cellStyle name="Bemærk! 3 2 3" xfId="810"/>
    <cellStyle name="Bemærk! 3 2 3 2" xfId="1642"/>
    <cellStyle name="Bemærk! 3 2 3 2 2" xfId="3307"/>
    <cellStyle name="Bemærk! 3 2 3 2 2 2" xfId="8295"/>
    <cellStyle name="Bemærk! 3 2 3 2 2 2 2" xfId="19102"/>
    <cellStyle name="Bemærk! 3 2 3 2 2 2 3" xfId="30459"/>
    <cellStyle name="Bemærk! 3 2 3 2 2 3" xfId="14117"/>
    <cellStyle name="Bemærk! 3 2 3 2 2 4" xfId="25475"/>
    <cellStyle name="Bemærk! 3 2 3 2 3" xfId="4971"/>
    <cellStyle name="Bemærk! 3 2 3 2 3 2" xfId="9956"/>
    <cellStyle name="Bemærk! 3 2 3 2 3 2 2" xfId="20763"/>
    <cellStyle name="Bemærk! 3 2 3 2 3 2 3" xfId="32120"/>
    <cellStyle name="Bemærk! 3 2 3 2 3 3" xfId="15778"/>
    <cellStyle name="Bemærk! 3 2 3 2 3 4" xfId="27136"/>
    <cellStyle name="Bemærk! 3 2 3 2 4" xfId="6633"/>
    <cellStyle name="Bemærk! 3 2 3 2 4 2" xfId="17441"/>
    <cellStyle name="Bemærk! 3 2 3 2 4 3" xfId="28798"/>
    <cellStyle name="Bemærk! 3 2 3 2 5" xfId="12456"/>
    <cellStyle name="Bemærk! 3 2 3 2 6" xfId="23814"/>
    <cellStyle name="Bemærk! 3 2 3 3" xfId="2476"/>
    <cellStyle name="Bemærk! 3 2 3 3 2" xfId="7464"/>
    <cellStyle name="Bemærk! 3 2 3 3 2 2" xfId="18271"/>
    <cellStyle name="Bemærk! 3 2 3 3 2 3" xfId="29628"/>
    <cellStyle name="Bemærk! 3 2 3 3 3" xfId="13286"/>
    <cellStyle name="Bemærk! 3 2 3 3 4" xfId="24644"/>
    <cellStyle name="Bemærk! 3 2 3 4" xfId="4140"/>
    <cellStyle name="Bemærk! 3 2 3 4 2" xfId="9125"/>
    <cellStyle name="Bemærk! 3 2 3 4 2 2" xfId="19932"/>
    <cellStyle name="Bemærk! 3 2 3 4 2 3" xfId="31289"/>
    <cellStyle name="Bemærk! 3 2 3 4 3" xfId="14947"/>
    <cellStyle name="Bemærk! 3 2 3 4 4" xfId="26305"/>
    <cellStyle name="Bemærk! 3 2 3 5" xfId="5802"/>
    <cellStyle name="Bemærk! 3 2 3 5 2" xfId="16610"/>
    <cellStyle name="Bemærk! 3 2 3 5 3" xfId="27967"/>
    <cellStyle name="Bemærk! 3 2 3 6" xfId="10789"/>
    <cellStyle name="Bemærk! 3 2 3 6 2" xfId="21596"/>
    <cellStyle name="Bemærk! 3 2 3 6 3" xfId="32953"/>
    <cellStyle name="Bemærk! 3 2 3 7" xfId="11624"/>
    <cellStyle name="Bemærk! 3 2 3 8" xfId="22983"/>
    <cellStyle name="Bemærk! 3 2 4" xfId="1089"/>
    <cellStyle name="Bemærk! 3 2 4 2" xfId="2754"/>
    <cellStyle name="Bemærk! 3 2 4 2 2" xfId="7742"/>
    <cellStyle name="Bemærk! 3 2 4 2 2 2" xfId="18549"/>
    <cellStyle name="Bemærk! 3 2 4 2 2 3" xfId="29906"/>
    <cellStyle name="Bemærk! 3 2 4 2 3" xfId="13564"/>
    <cellStyle name="Bemærk! 3 2 4 2 4" xfId="24922"/>
    <cellStyle name="Bemærk! 3 2 4 3" xfId="4418"/>
    <cellStyle name="Bemærk! 3 2 4 3 2" xfId="9403"/>
    <cellStyle name="Bemærk! 3 2 4 3 2 2" xfId="20210"/>
    <cellStyle name="Bemærk! 3 2 4 3 2 3" xfId="31567"/>
    <cellStyle name="Bemærk! 3 2 4 3 3" xfId="15225"/>
    <cellStyle name="Bemærk! 3 2 4 3 4" xfId="26583"/>
    <cellStyle name="Bemærk! 3 2 4 4" xfId="6080"/>
    <cellStyle name="Bemærk! 3 2 4 4 2" xfId="16888"/>
    <cellStyle name="Bemærk! 3 2 4 4 3" xfId="28245"/>
    <cellStyle name="Bemærk! 3 2 4 5" xfId="11903"/>
    <cellStyle name="Bemærk! 3 2 4 6" xfId="23261"/>
    <cellStyle name="Bemærk! 3 2 5" xfId="1924"/>
    <cellStyle name="Bemærk! 3 2 5 2" xfId="6912"/>
    <cellStyle name="Bemærk! 3 2 5 2 2" xfId="17720"/>
    <cellStyle name="Bemærk! 3 2 5 2 3" xfId="29077"/>
    <cellStyle name="Bemærk! 3 2 5 3" xfId="12735"/>
    <cellStyle name="Bemærk! 3 2 5 4" xfId="24093"/>
    <cellStyle name="Bemærk! 3 2 6" xfId="3589"/>
    <cellStyle name="Bemærk! 3 2 6 2" xfId="8574"/>
    <cellStyle name="Bemærk! 3 2 6 2 2" xfId="19381"/>
    <cellStyle name="Bemærk! 3 2 6 2 3" xfId="30738"/>
    <cellStyle name="Bemærk! 3 2 6 3" xfId="14396"/>
    <cellStyle name="Bemærk! 3 2 6 4" xfId="25754"/>
    <cellStyle name="Bemærk! 3 2 7" xfId="5250"/>
    <cellStyle name="Bemærk! 3 2 7 2" xfId="16059"/>
    <cellStyle name="Bemærk! 3 2 7 3" xfId="27416"/>
    <cellStyle name="Bemærk! 3 2 8" xfId="10235"/>
    <cellStyle name="Bemærk! 3 2 8 2" xfId="21042"/>
    <cellStyle name="Bemærk! 3 2 8 3" xfId="32399"/>
    <cellStyle name="Bemærk! 3 2 9" xfId="11069"/>
    <cellStyle name="Bemærk! 3 3" xfId="273"/>
    <cellStyle name="Bemærk! 3 3 10" xfId="21930"/>
    <cellStyle name="Bemærk! 3 3 11" xfId="22483"/>
    <cellStyle name="Bemærk! 3 3 12" xfId="33286"/>
    <cellStyle name="Bemærk! 3 3 13" xfId="33561"/>
    <cellStyle name="Bemærk! 3 3 14" xfId="33832"/>
    <cellStyle name="Bemærk! 3 3 2" xfId="590"/>
    <cellStyle name="Bemærk! 3 3 2 2" xfId="1422"/>
    <cellStyle name="Bemærk! 3 3 2 2 2" xfId="3087"/>
    <cellStyle name="Bemærk! 3 3 2 2 2 2" xfId="8075"/>
    <cellStyle name="Bemærk! 3 3 2 2 2 2 2" xfId="18882"/>
    <cellStyle name="Bemærk! 3 3 2 2 2 2 3" xfId="30239"/>
    <cellStyle name="Bemærk! 3 3 2 2 2 3" xfId="13897"/>
    <cellStyle name="Bemærk! 3 3 2 2 2 4" xfId="25255"/>
    <cellStyle name="Bemærk! 3 3 2 2 3" xfId="4751"/>
    <cellStyle name="Bemærk! 3 3 2 2 3 2" xfId="9736"/>
    <cellStyle name="Bemærk! 3 3 2 2 3 2 2" xfId="20543"/>
    <cellStyle name="Bemærk! 3 3 2 2 3 2 3" xfId="31900"/>
    <cellStyle name="Bemærk! 3 3 2 2 3 3" xfId="15558"/>
    <cellStyle name="Bemærk! 3 3 2 2 3 4" xfId="26916"/>
    <cellStyle name="Bemærk! 3 3 2 2 4" xfId="6413"/>
    <cellStyle name="Bemærk! 3 3 2 2 4 2" xfId="17221"/>
    <cellStyle name="Bemærk! 3 3 2 2 4 3" xfId="28578"/>
    <cellStyle name="Bemærk! 3 3 2 2 5" xfId="12236"/>
    <cellStyle name="Bemærk! 3 3 2 2 6" xfId="23594"/>
    <cellStyle name="Bemærk! 3 3 2 3" xfId="2256"/>
    <cellStyle name="Bemærk! 3 3 2 3 2" xfId="7244"/>
    <cellStyle name="Bemærk! 3 3 2 3 2 2" xfId="18051"/>
    <cellStyle name="Bemærk! 3 3 2 3 2 3" xfId="29408"/>
    <cellStyle name="Bemærk! 3 3 2 3 3" xfId="13066"/>
    <cellStyle name="Bemærk! 3 3 2 3 4" xfId="24424"/>
    <cellStyle name="Bemærk! 3 3 2 4" xfId="3920"/>
    <cellStyle name="Bemærk! 3 3 2 4 2" xfId="8905"/>
    <cellStyle name="Bemærk! 3 3 2 4 2 2" xfId="19712"/>
    <cellStyle name="Bemærk! 3 3 2 4 2 3" xfId="31069"/>
    <cellStyle name="Bemærk! 3 3 2 4 3" xfId="14727"/>
    <cellStyle name="Bemærk! 3 3 2 4 4" xfId="26085"/>
    <cellStyle name="Bemærk! 3 3 2 5" xfId="5582"/>
    <cellStyle name="Bemærk! 3 3 2 5 2" xfId="16390"/>
    <cellStyle name="Bemærk! 3 3 2 5 3" xfId="27747"/>
    <cellStyle name="Bemærk! 3 3 2 6" xfId="10569"/>
    <cellStyle name="Bemærk! 3 3 2 6 2" xfId="21376"/>
    <cellStyle name="Bemærk! 3 3 2 6 3" xfId="32733"/>
    <cellStyle name="Bemærk! 3 3 2 7" xfId="11403"/>
    <cellStyle name="Bemærk! 3 3 2 8" xfId="22209"/>
    <cellStyle name="Bemærk! 3 3 2 9" xfId="22763"/>
    <cellStyle name="Bemærk! 3 3 3" xfId="864"/>
    <cellStyle name="Bemærk! 3 3 3 2" xfId="1696"/>
    <cellStyle name="Bemærk! 3 3 3 2 2" xfId="3361"/>
    <cellStyle name="Bemærk! 3 3 3 2 2 2" xfId="8349"/>
    <cellStyle name="Bemærk! 3 3 3 2 2 2 2" xfId="19156"/>
    <cellStyle name="Bemærk! 3 3 3 2 2 2 3" xfId="30513"/>
    <cellStyle name="Bemærk! 3 3 3 2 2 3" xfId="14171"/>
    <cellStyle name="Bemærk! 3 3 3 2 2 4" xfId="25529"/>
    <cellStyle name="Bemærk! 3 3 3 2 3" xfId="5025"/>
    <cellStyle name="Bemærk! 3 3 3 2 3 2" xfId="10010"/>
    <cellStyle name="Bemærk! 3 3 3 2 3 2 2" xfId="20817"/>
    <cellStyle name="Bemærk! 3 3 3 2 3 2 3" xfId="32174"/>
    <cellStyle name="Bemærk! 3 3 3 2 3 3" xfId="15832"/>
    <cellStyle name="Bemærk! 3 3 3 2 3 4" xfId="27190"/>
    <cellStyle name="Bemærk! 3 3 3 2 4" xfId="6687"/>
    <cellStyle name="Bemærk! 3 3 3 2 4 2" xfId="17495"/>
    <cellStyle name="Bemærk! 3 3 3 2 4 3" xfId="28852"/>
    <cellStyle name="Bemærk! 3 3 3 2 5" xfId="12510"/>
    <cellStyle name="Bemærk! 3 3 3 2 6" xfId="23868"/>
    <cellStyle name="Bemærk! 3 3 3 3" xfId="2530"/>
    <cellStyle name="Bemærk! 3 3 3 3 2" xfId="7518"/>
    <cellStyle name="Bemærk! 3 3 3 3 2 2" xfId="18325"/>
    <cellStyle name="Bemærk! 3 3 3 3 2 3" xfId="29682"/>
    <cellStyle name="Bemærk! 3 3 3 3 3" xfId="13340"/>
    <cellStyle name="Bemærk! 3 3 3 3 4" xfId="24698"/>
    <cellStyle name="Bemærk! 3 3 3 4" xfId="4194"/>
    <cellStyle name="Bemærk! 3 3 3 4 2" xfId="9179"/>
    <cellStyle name="Bemærk! 3 3 3 4 2 2" xfId="19986"/>
    <cellStyle name="Bemærk! 3 3 3 4 2 3" xfId="31343"/>
    <cellStyle name="Bemærk! 3 3 3 4 3" xfId="15001"/>
    <cellStyle name="Bemærk! 3 3 3 4 4" xfId="26359"/>
    <cellStyle name="Bemærk! 3 3 3 5" xfId="5856"/>
    <cellStyle name="Bemærk! 3 3 3 5 2" xfId="16664"/>
    <cellStyle name="Bemærk! 3 3 3 5 3" xfId="28021"/>
    <cellStyle name="Bemærk! 3 3 3 6" xfId="10843"/>
    <cellStyle name="Bemærk! 3 3 3 6 2" xfId="21650"/>
    <cellStyle name="Bemærk! 3 3 3 6 3" xfId="33007"/>
    <cellStyle name="Bemærk! 3 3 3 7" xfId="11678"/>
    <cellStyle name="Bemærk! 3 3 3 8" xfId="23037"/>
    <cellStyle name="Bemærk! 3 3 4" xfId="1143"/>
    <cellStyle name="Bemærk! 3 3 4 2" xfId="2808"/>
    <cellStyle name="Bemærk! 3 3 4 2 2" xfId="7796"/>
    <cellStyle name="Bemærk! 3 3 4 2 2 2" xfId="18603"/>
    <cellStyle name="Bemærk! 3 3 4 2 2 3" xfId="29960"/>
    <cellStyle name="Bemærk! 3 3 4 2 3" xfId="13618"/>
    <cellStyle name="Bemærk! 3 3 4 2 4" xfId="24976"/>
    <cellStyle name="Bemærk! 3 3 4 3" xfId="4472"/>
    <cellStyle name="Bemærk! 3 3 4 3 2" xfId="9457"/>
    <cellStyle name="Bemærk! 3 3 4 3 2 2" xfId="20264"/>
    <cellStyle name="Bemærk! 3 3 4 3 2 3" xfId="31621"/>
    <cellStyle name="Bemærk! 3 3 4 3 3" xfId="15279"/>
    <cellStyle name="Bemærk! 3 3 4 3 4" xfId="26637"/>
    <cellStyle name="Bemærk! 3 3 4 4" xfId="6134"/>
    <cellStyle name="Bemærk! 3 3 4 4 2" xfId="16942"/>
    <cellStyle name="Bemærk! 3 3 4 4 3" xfId="28299"/>
    <cellStyle name="Bemærk! 3 3 4 5" xfId="11957"/>
    <cellStyle name="Bemærk! 3 3 4 6" xfId="23315"/>
    <cellStyle name="Bemærk! 3 3 5" xfId="1978"/>
    <cellStyle name="Bemærk! 3 3 5 2" xfId="6966"/>
    <cellStyle name="Bemærk! 3 3 5 2 2" xfId="17774"/>
    <cellStyle name="Bemærk! 3 3 5 2 3" xfId="29131"/>
    <cellStyle name="Bemærk! 3 3 5 3" xfId="12789"/>
    <cellStyle name="Bemærk! 3 3 5 4" xfId="24147"/>
    <cellStyle name="Bemærk! 3 3 6" xfId="3643"/>
    <cellStyle name="Bemærk! 3 3 6 2" xfId="8628"/>
    <cellStyle name="Bemærk! 3 3 6 2 2" xfId="19435"/>
    <cellStyle name="Bemærk! 3 3 6 2 3" xfId="30792"/>
    <cellStyle name="Bemærk! 3 3 6 3" xfId="14450"/>
    <cellStyle name="Bemærk! 3 3 6 4" xfId="25808"/>
    <cellStyle name="Bemærk! 3 3 7" xfId="5304"/>
    <cellStyle name="Bemærk! 3 3 7 2" xfId="16113"/>
    <cellStyle name="Bemærk! 3 3 7 3" xfId="27470"/>
    <cellStyle name="Bemærk! 3 3 8" xfId="10289"/>
    <cellStyle name="Bemærk! 3 3 8 2" xfId="21096"/>
    <cellStyle name="Bemærk! 3 3 8 3" xfId="32453"/>
    <cellStyle name="Bemærk! 3 3 9" xfId="11123"/>
    <cellStyle name="Bemærk! 3 4" xfId="328"/>
    <cellStyle name="Bemærk! 3 4 10" xfId="21985"/>
    <cellStyle name="Bemærk! 3 4 11" xfId="22538"/>
    <cellStyle name="Bemærk! 3 4 12" xfId="33341"/>
    <cellStyle name="Bemærk! 3 4 13" xfId="33616"/>
    <cellStyle name="Bemærk! 3 4 14" xfId="33887"/>
    <cellStyle name="Bemærk! 3 4 2" xfId="645"/>
    <cellStyle name="Bemærk! 3 4 2 2" xfId="1477"/>
    <cellStyle name="Bemærk! 3 4 2 2 2" xfId="3142"/>
    <cellStyle name="Bemærk! 3 4 2 2 2 2" xfId="8130"/>
    <cellStyle name="Bemærk! 3 4 2 2 2 2 2" xfId="18937"/>
    <cellStyle name="Bemærk! 3 4 2 2 2 2 3" xfId="30294"/>
    <cellStyle name="Bemærk! 3 4 2 2 2 3" xfId="13952"/>
    <cellStyle name="Bemærk! 3 4 2 2 2 4" xfId="25310"/>
    <cellStyle name="Bemærk! 3 4 2 2 3" xfId="4806"/>
    <cellStyle name="Bemærk! 3 4 2 2 3 2" xfId="9791"/>
    <cellStyle name="Bemærk! 3 4 2 2 3 2 2" xfId="20598"/>
    <cellStyle name="Bemærk! 3 4 2 2 3 2 3" xfId="31955"/>
    <cellStyle name="Bemærk! 3 4 2 2 3 3" xfId="15613"/>
    <cellStyle name="Bemærk! 3 4 2 2 3 4" xfId="26971"/>
    <cellStyle name="Bemærk! 3 4 2 2 4" xfId="6468"/>
    <cellStyle name="Bemærk! 3 4 2 2 4 2" xfId="17276"/>
    <cellStyle name="Bemærk! 3 4 2 2 4 3" xfId="28633"/>
    <cellStyle name="Bemærk! 3 4 2 2 5" xfId="12291"/>
    <cellStyle name="Bemærk! 3 4 2 2 6" xfId="23649"/>
    <cellStyle name="Bemærk! 3 4 2 3" xfId="2311"/>
    <cellStyle name="Bemærk! 3 4 2 3 2" xfId="7299"/>
    <cellStyle name="Bemærk! 3 4 2 3 2 2" xfId="18106"/>
    <cellStyle name="Bemærk! 3 4 2 3 2 3" xfId="29463"/>
    <cellStyle name="Bemærk! 3 4 2 3 3" xfId="13121"/>
    <cellStyle name="Bemærk! 3 4 2 3 4" xfId="24479"/>
    <cellStyle name="Bemærk! 3 4 2 4" xfId="3975"/>
    <cellStyle name="Bemærk! 3 4 2 4 2" xfId="8960"/>
    <cellStyle name="Bemærk! 3 4 2 4 2 2" xfId="19767"/>
    <cellStyle name="Bemærk! 3 4 2 4 2 3" xfId="31124"/>
    <cellStyle name="Bemærk! 3 4 2 4 3" xfId="14782"/>
    <cellStyle name="Bemærk! 3 4 2 4 4" xfId="26140"/>
    <cellStyle name="Bemærk! 3 4 2 5" xfId="5637"/>
    <cellStyle name="Bemærk! 3 4 2 5 2" xfId="16445"/>
    <cellStyle name="Bemærk! 3 4 2 5 3" xfId="27802"/>
    <cellStyle name="Bemærk! 3 4 2 6" xfId="10624"/>
    <cellStyle name="Bemærk! 3 4 2 6 2" xfId="21431"/>
    <cellStyle name="Bemærk! 3 4 2 6 3" xfId="32788"/>
    <cellStyle name="Bemærk! 3 4 2 7" xfId="11458"/>
    <cellStyle name="Bemærk! 3 4 2 8" xfId="22264"/>
    <cellStyle name="Bemærk! 3 4 2 9" xfId="22818"/>
    <cellStyle name="Bemærk! 3 4 3" xfId="919"/>
    <cellStyle name="Bemærk! 3 4 3 2" xfId="1751"/>
    <cellStyle name="Bemærk! 3 4 3 2 2" xfId="3416"/>
    <cellStyle name="Bemærk! 3 4 3 2 2 2" xfId="8404"/>
    <cellStyle name="Bemærk! 3 4 3 2 2 2 2" xfId="19211"/>
    <cellStyle name="Bemærk! 3 4 3 2 2 2 3" xfId="30568"/>
    <cellStyle name="Bemærk! 3 4 3 2 2 3" xfId="14226"/>
    <cellStyle name="Bemærk! 3 4 3 2 2 4" xfId="25584"/>
    <cellStyle name="Bemærk! 3 4 3 2 3" xfId="5080"/>
    <cellStyle name="Bemærk! 3 4 3 2 3 2" xfId="10065"/>
    <cellStyle name="Bemærk! 3 4 3 2 3 2 2" xfId="20872"/>
    <cellStyle name="Bemærk! 3 4 3 2 3 2 3" xfId="32229"/>
    <cellStyle name="Bemærk! 3 4 3 2 3 3" xfId="15887"/>
    <cellStyle name="Bemærk! 3 4 3 2 3 4" xfId="27245"/>
    <cellStyle name="Bemærk! 3 4 3 2 4" xfId="6742"/>
    <cellStyle name="Bemærk! 3 4 3 2 4 2" xfId="17550"/>
    <cellStyle name="Bemærk! 3 4 3 2 4 3" xfId="28907"/>
    <cellStyle name="Bemærk! 3 4 3 2 5" xfId="12565"/>
    <cellStyle name="Bemærk! 3 4 3 2 6" xfId="23923"/>
    <cellStyle name="Bemærk! 3 4 3 3" xfId="2585"/>
    <cellStyle name="Bemærk! 3 4 3 3 2" xfId="7573"/>
    <cellStyle name="Bemærk! 3 4 3 3 2 2" xfId="18380"/>
    <cellStyle name="Bemærk! 3 4 3 3 2 3" xfId="29737"/>
    <cellStyle name="Bemærk! 3 4 3 3 3" xfId="13395"/>
    <cellStyle name="Bemærk! 3 4 3 3 4" xfId="24753"/>
    <cellStyle name="Bemærk! 3 4 3 4" xfId="4249"/>
    <cellStyle name="Bemærk! 3 4 3 4 2" xfId="9234"/>
    <cellStyle name="Bemærk! 3 4 3 4 2 2" xfId="20041"/>
    <cellStyle name="Bemærk! 3 4 3 4 2 3" xfId="31398"/>
    <cellStyle name="Bemærk! 3 4 3 4 3" xfId="15056"/>
    <cellStyle name="Bemærk! 3 4 3 4 4" xfId="26414"/>
    <cellStyle name="Bemærk! 3 4 3 5" xfId="5911"/>
    <cellStyle name="Bemærk! 3 4 3 5 2" xfId="16719"/>
    <cellStyle name="Bemærk! 3 4 3 5 3" xfId="28076"/>
    <cellStyle name="Bemærk! 3 4 3 6" xfId="10898"/>
    <cellStyle name="Bemærk! 3 4 3 6 2" xfId="21705"/>
    <cellStyle name="Bemærk! 3 4 3 6 3" xfId="33062"/>
    <cellStyle name="Bemærk! 3 4 3 7" xfId="11733"/>
    <cellStyle name="Bemærk! 3 4 3 8" xfId="23092"/>
    <cellStyle name="Bemærk! 3 4 4" xfId="1198"/>
    <cellStyle name="Bemærk! 3 4 4 2" xfId="2863"/>
    <cellStyle name="Bemærk! 3 4 4 2 2" xfId="7851"/>
    <cellStyle name="Bemærk! 3 4 4 2 2 2" xfId="18658"/>
    <cellStyle name="Bemærk! 3 4 4 2 2 3" xfId="30015"/>
    <cellStyle name="Bemærk! 3 4 4 2 3" xfId="13673"/>
    <cellStyle name="Bemærk! 3 4 4 2 4" xfId="25031"/>
    <cellStyle name="Bemærk! 3 4 4 3" xfId="4527"/>
    <cellStyle name="Bemærk! 3 4 4 3 2" xfId="9512"/>
    <cellStyle name="Bemærk! 3 4 4 3 2 2" xfId="20319"/>
    <cellStyle name="Bemærk! 3 4 4 3 2 3" xfId="31676"/>
    <cellStyle name="Bemærk! 3 4 4 3 3" xfId="15334"/>
    <cellStyle name="Bemærk! 3 4 4 3 4" xfId="26692"/>
    <cellStyle name="Bemærk! 3 4 4 4" xfId="6189"/>
    <cellStyle name="Bemærk! 3 4 4 4 2" xfId="16997"/>
    <cellStyle name="Bemærk! 3 4 4 4 3" xfId="28354"/>
    <cellStyle name="Bemærk! 3 4 4 5" xfId="12012"/>
    <cellStyle name="Bemærk! 3 4 4 6" xfId="23370"/>
    <cellStyle name="Bemærk! 3 4 5" xfId="2033"/>
    <cellStyle name="Bemærk! 3 4 5 2" xfId="7021"/>
    <cellStyle name="Bemærk! 3 4 5 2 2" xfId="17829"/>
    <cellStyle name="Bemærk! 3 4 5 2 3" xfId="29186"/>
    <cellStyle name="Bemærk! 3 4 5 3" xfId="12844"/>
    <cellStyle name="Bemærk! 3 4 5 4" xfId="24202"/>
    <cellStyle name="Bemærk! 3 4 6" xfId="3698"/>
    <cellStyle name="Bemærk! 3 4 6 2" xfId="8683"/>
    <cellStyle name="Bemærk! 3 4 6 2 2" xfId="19490"/>
    <cellStyle name="Bemærk! 3 4 6 2 3" xfId="30847"/>
    <cellStyle name="Bemærk! 3 4 6 3" xfId="14505"/>
    <cellStyle name="Bemærk! 3 4 6 4" xfId="25863"/>
    <cellStyle name="Bemærk! 3 4 7" xfId="5359"/>
    <cellStyle name="Bemærk! 3 4 7 2" xfId="16168"/>
    <cellStyle name="Bemærk! 3 4 7 3" xfId="27525"/>
    <cellStyle name="Bemærk! 3 4 8" xfId="10344"/>
    <cellStyle name="Bemærk! 3 4 8 2" xfId="21151"/>
    <cellStyle name="Bemærk! 3 4 8 3" xfId="32508"/>
    <cellStyle name="Bemærk! 3 4 9" xfId="11178"/>
    <cellStyle name="Bemærk! 3 5" xfId="384"/>
    <cellStyle name="Bemærk! 3 5 10" xfId="22041"/>
    <cellStyle name="Bemærk! 3 5 11" xfId="22594"/>
    <cellStyle name="Bemærk! 3 5 12" xfId="33397"/>
    <cellStyle name="Bemærk! 3 5 13" xfId="33672"/>
    <cellStyle name="Bemærk! 3 5 14" xfId="33943"/>
    <cellStyle name="Bemærk! 3 5 2" xfId="701"/>
    <cellStyle name="Bemærk! 3 5 2 2" xfId="1533"/>
    <cellStyle name="Bemærk! 3 5 2 2 2" xfId="3198"/>
    <cellStyle name="Bemærk! 3 5 2 2 2 2" xfId="8186"/>
    <cellStyle name="Bemærk! 3 5 2 2 2 2 2" xfId="18993"/>
    <cellStyle name="Bemærk! 3 5 2 2 2 2 3" xfId="30350"/>
    <cellStyle name="Bemærk! 3 5 2 2 2 3" xfId="14008"/>
    <cellStyle name="Bemærk! 3 5 2 2 2 4" xfId="25366"/>
    <cellStyle name="Bemærk! 3 5 2 2 3" xfId="4862"/>
    <cellStyle name="Bemærk! 3 5 2 2 3 2" xfId="9847"/>
    <cellStyle name="Bemærk! 3 5 2 2 3 2 2" xfId="20654"/>
    <cellStyle name="Bemærk! 3 5 2 2 3 2 3" xfId="32011"/>
    <cellStyle name="Bemærk! 3 5 2 2 3 3" xfId="15669"/>
    <cellStyle name="Bemærk! 3 5 2 2 3 4" xfId="27027"/>
    <cellStyle name="Bemærk! 3 5 2 2 4" xfId="6524"/>
    <cellStyle name="Bemærk! 3 5 2 2 4 2" xfId="17332"/>
    <cellStyle name="Bemærk! 3 5 2 2 4 3" xfId="28689"/>
    <cellStyle name="Bemærk! 3 5 2 2 5" xfId="12347"/>
    <cellStyle name="Bemærk! 3 5 2 2 6" xfId="23705"/>
    <cellStyle name="Bemærk! 3 5 2 3" xfId="2367"/>
    <cellStyle name="Bemærk! 3 5 2 3 2" xfId="7355"/>
    <cellStyle name="Bemærk! 3 5 2 3 2 2" xfId="18162"/>
    <cellStyle name="Bemærk! 3 5 2 3 2 3" xfId="29519"/>
    <cellStyle name="Bemærk! 3 5 2 3 3" xfId="13177"/>
    <cellStyle name="Bemærk! 3 5 2 3 4" xfId="24535"/>
    <cellStyle name="Bemærk! 3 5 2 4" xfId="4031"/>
    <cellStyle name="Bemærk! 3 5 2 4 2" xfId="9016"/>
    <cellStyle name="Bemærk! 3 5 2 4 2 2" xfId="19823"/>
    <cellStyle name="Bemærk! 3 5 2 4 2 3" xfId="31180"/>
    <cellStyle name="Bemærk! 3 5 2 4 3" xfId="14838"/>
    <cellStyle name="Bemærk! 3 5 2 4 4" xfId="26196"/>
    <cellStyle name="Bemærk! 3 5 2 5" xfId="5693"/>
    <cellStyle name="Bemærk! 3 5 2 5 2" xfId="16501"/>
    <cellStyle name="Bemærk! 3 5 2 5 3" xfId="27858"/>
    <cellStyle name="Bemærk! 3 5 2 6" xfId="10680"/>
    <cellStyle name="Bemærk! 3 5 2 6 2" xfId="21487"/>
    <cellStyle name="Bemærk! 3 5 2 6 3" xfId="32844"/>
    <cellStyle name="Bemærk! 3 5 2 7" xfId="11514"/>
    <cellStyle name="Bemærk! 3 5 2 8" xfId="22320"/>
    <cellStyle name="Bemærk! 3 5 2 9" xfId="22874"/>
    <cellStyle name="Bemærk! 3 5 3" xfId="975"/>
    <cellStyle name="Bemærk! 3 5 3 2" xfId="1807"/>
    <cellStyle name="Bemærk! 3 5 3 2 2" xfId="3472"/>
    <cellStyle name="Bemærk! 3 5 3 2 2 2" xfId="8460"/>
    <cellStyle name="Bemærk! 3 5 3 2 2 2 2" xfId="19267"/>
    <cellStyle name="Bemærk! 3 5 3 2 2 2 3" xfId="30624"/>
    <cellStyle name="Bemærk! 3 5 3 2 2 3" xfId="14282"/>
    <cellStyle name="Bemærk! 3 5 3 2 2 4" xfId="25640"/>
    <cellStyle name="Bemærk! 3 5 3 2 3" xfId="5136"/>
    <cellStyle name="Bemærk! 3 5 3 2 3 2" xfId="10121"/>
    <cellStyle name="Bemærk! 3 5 3 2 3 2 2" xfId="20928"/>
    <cellStyle name="Bemærk! 3 5 3 2 3 2 3" xfId="32285"/>
    <cellStyle name="Bemærk! 3 5 3 2 3 3" xfId="15943"/>
    <cellStyle name="Bemærk! 3 5 3 2 3 4" xfId="27301"/>
    <cellStyle name="Bemærk! 3 5 3 2 4" xfId="6798"/>
    <cellStyle name="Bemærk! 3 5 3 2 4 2" xfId="17606"/>
    <cellStyle name="Bemærk! 3 5 3 2 4 3" xfId="28963"/>
    <cellStyle name="Bemærk! 3 5 3 2 5" xfId="12621"/>
    <cellStyle name="Bemærk! 3 5 3 2 6" xfId="23979"/>
    <cellStyle name="Bemærk! 3 5 3 3" xfId="2641"/>
    <cellStyle name="Bemærk! 3 5 3 3 2" xfId="7629"/>
    <cellStyle name="Bemærk! 3 5 3 3 2 2" xfId="18436"/>
    <cellStyle name="Bemærk! 3 5 3 3 2 3" xfId="29793"/>
    <cellStyle name="Bemærk! 3 5 3 3 3" xfId="13451"/>
    <cellStyle name="Bemærk! 3 5 3 3 4" xfId="24809"/>
    <cellStyle name="Bemærk! 3 5 3 4" xfId="4305"/>
    <cellStyle name="Bemærk! 3 5 3 4 2" xfId="9290"/>
    <cellStyle name="Bemærk! 3 5 3 4 2 2" xfId="20097"/>
    <cellStyle name="Bemærk! 3 5 3 4 2 3" xfId="31454"/>
    <cellStyle name="Bemærk! 3 5 3 4 3" xfId="15112"/>
    <cellStyle name="Bemærk! 3 5 3 4 4" xfId="26470"/>
    <cellStyle name="Bemærk! 3 5 3 5" xfId="5967"/>
    <cellStyle name="Bemærk! 3 5 3 5 2" xfId="16775"/>
    <cellStyle name="Bemærk! 3 5 3 5 3" xfId="28132"/>
    <cellStyle name="Bemærk! 3 5 3 6" xfId="10954"/>
    <cellStyle name="Bemærk! 3 5 3 6 2" xfId="21761"/>
    <cellStyle name="Bemærk! 3 5 3 6 3" xfId="33118"/>
    <cellStyle name="Bemærk! 3 5 3 7" xfId="11789"/>
    <cellStyle name="Bemærk! 3 5 3 8" xfId="23148"/>
    <cellStyle name="Bemærk! 3 5 4" xfId="1254"/>
    <cellStyle name="Bemærk! 3 5 4 2" xfId="2919"/>
    <cellStyle name="Bemærk! 3 5 4 2 2" xfId="7907"/>
    <cellStyle name="Bemærk! 3 5 4 2 2 2" xfId="18714"/>
    <cellStyle name="Bemærk! 3 5 4 2 2 3" xfId="30071"/>
    <cellStyle name="Bemærk! 3 5 4 2 3" xfId="13729"/>
    <cellStyle name="Bemærk! 3 5 4 2 4" xfId="25087"/>
    <cellStyle name="Bemærk! 3 5 4 3" xfId="4583"/>
    <cellStyle name="Bemærk! 3 5 4 3 2" xfId="9568"/>
    <cellStyle name="Bemærk! 3 5 4 3 2 2" xfId="20375"/>
    <cellStyle name="Bemærk! 3 5 4 3 2 3" xfId="31732"/>
    <cellStyle name="Bemærk! 3 5 4 3 3" xfId="15390"/>
    <cellStyle name="Bemærk! 3 5 4 3 4" xfId="26748"/>
    <cellStyle name="Bemærk! 3 5 4 4" xfId="6245"/>
    <cellStyle name="Bemærk! 3 5 4 4 2" xfId="17053"/>
    <cellStyle name="Bemærk! 3 5 4 4 3" xfId="28410"/>
    <cellStyle name="Bemærk! 3 5 4 5" xfId="12068"/>
    <cellStyle name="Bemærk! 3 5 4 6" xfId="23426"/>
    <cellStyle name="Bemærk! 3 5 5" xfId="2089"/>
    <cellStyle name="Bemærk! 3 5 5 2" xfId="7077"/>
    <cellStyle name="Bemærk! 3 5 5 2 2" xfId="17885"/>
    <cellStyle name="Bemærk! 3 5 5 2 3" xfId="29242"/>
    <cellStyle name="Bemærk! 3 5 5 3" xfId="12900"/>
    <cellStyle name="Bemærk! 3 5 5 4" xfId="24258"/>
    <cellStyle name="Bemærk! 3 5 6" xfId="3754"/>
    <cellStyle name="Bemærk! 3 5 6 2" xfId="8739"/>
    <cellStyle name="Bemærk! 3 5 6 2 2" xfId="19546"/>
    <cellStyle name="Bemærk! 3 5 6 2 3" xfId="30903"/>
    <cellStyle name="Bemærk! 3 5 6 3" xfId="14561"/>
    <cellStyle name="Bemærk! 3 5 6 4" xfId="25919"/>
    <cellStyle name="Bemærk! 3 5 7" xfId="5415"/>
    <cellStyle name="Bemærk! 3 5 7 2" xfId="16224"/>
    <cellStyle name="Bemærk! 3 5 7 3" xfId="27581"/>
    <cellStyle name="Bemærk! 3 5 8" xfId="10400"/>
    <cellStyle name="Bemærk! 3 5 8 2" xfId="21207"/>
    <cellStyle name="Bemærk! 3 5 8 3" xfId="32564"/>
    <cellStyle name="Bemærk! 3 5 9" xfId="11234"/>
    <cellStyle name="Bemærk! 3 6" xfId="484"/>
    <cellStyle name="Bemærk! 3 6 2" xfId="1314"/>
    <cellStyle name="Bemærk! 3 6 2 2" xfId="2979"/>
    <cellStyle name="Bemærk! 3 6 2 2 2" xfId="7967"/>
    <cellStyle name="Bemærk! 3 6 2 2 2 2" xfId="18774"/>
    <cellStyle name="Bemærk! 3 6 2 2 2 3" xfId="30131"/>
    <cellStyle name="Bemærk! 3 6 2 2 3" xfId="13789"/>
    <cellStyle name="Bemærk! 3 6 2 2 4" xfId="25147"/>
    <cellStyle name="Bemærk! 3 6 2 3" xfId="4643"/>
    <cellStyle name="Bemærk! 3 6 2 3 2" xfId="9628"/>
    <cellStyle name="Bemærk! 3 6 2 3 2 2" xfId="20435"/>
    <cellStyle name="Bemærk! 3 6 2 3 2 3" xfId="31792"/>
    <cellStyle name="Bemærk! 3 6 2 3 3" xfId="15450"/>
    <cellStyle name="Bemærk! 3 6 2 3 4" xfId="26808"/>
    <cellStyle name="Bemærk! 3 6 2 4" xfId="6305"/>
    <cellStyle name="Bemærk! 3 6 2 4 2" xfId="17113"/>
    <cellStyle name="Bemærk! 3 6 2 4 3" xfId="28470"/>
    <cellStyle name="Bemærk! 3 6 2 5" xfId="12128"/>
    <cellStyle name="Bemærk! 3 6 2 6" xfId="23486"/>
    <cellStyle name="Bemærk! 3 6 3" xfId="2150"/>
    <cellStyle name="Bemærk! 3 6 3 2" xfId="7138"/>
    <cellStyle name="Bemærk! 3 6 3 2 2" xfId="17945"/>
    <cellStyle name="Bemærk! 3 6 3 2 3" xfId="29302"/>
    <cellStyle name="Bemærk! 3 6 3 3" xfId="12960"/>
    <cellStyle name="Bemærk! 3 6 3 4" xfId="24318"/>
    <cellStyle name="Bemærk! 3 6 4" xfId="3814"/>
    <cellStyle name="Bemærk! 3 6 4 2" xfId="8799"/>
    <cellStyle name="Bemærk! 3 6 4 2 2" xfId="19606"/>
    <cellStyle name="Bemærk! 3 6 4 2 3" xfId="30963"/>
    <cellStyle name="Bemærk! 3 6 4 3" xfId="14621"/>
    <cellStyle name="Bemærk! 3 6 4 4" xfId="25979"/>
    <cellStyle name="Bemærk! 3 6 5" xfId="5476"/>
    <cellStyle name="Bemærk! 3 6 5 2" xfId="16284"/>
    <cellStyle name="Bemærk! 3 6 5 3" xfId="27641"/>
    <cellStyle name="Bemærk! 3 6 6" xfId="10461"/>
    <cellStyle name="Bemærk! 3 6 6 2" xfId="21268"/>
    <cellStyle name="Bemærk! 3 6 6 3" xfId="32625"/>
    <cellStyle name="Bemærk! 3 6 7" xfId="11295"/>
    <cellStyle name="Bemærk! 3 6 8" xfId="22101"/>
    <cellStyle name="Bemærk! 3 6 9" xfId="22655"/>
    <cellStyle name="Bemærk! 3 7" xfId="756"/>
    <cellStyle name="Bemærk! 3 7 2" xfId="1588"/>
    <cellStyle name="Bemærk! 3 7 2 2" xfId="3253"/>
    <cellStyle name="Bemærk! 3 7 2 2 2" xfId="8241"/>
    <cellStyle name="Bemærk! 3 7 2 2 2 2" xfId="19048"/>
    <cellStyle name="Bemærk! 3 7 2 2 2 3" xfId="30405"/>
    <cellStyle name="Bemærk! 3 7 2 2 3" xfId="14063"/>
    <cellStyle name="Bemærk! 3 7 2 2 4" xfId="25421"/>
    <cellStyle name="Bemærk! 3 7 2 3" xfId="4917"/>
    <cellStyle name="Bemærk! 3 7 2 3 2" xfId="9902"/>
    <cellStyle name="Bemærk! 3 7 2 3 2 2" xfId="20709"/>
    <cellStyle name="Bemærk! 3 7 2 3 2 3" xfId="32066"/>
    <cellStyle name="Bemærk! 3 7 2 3 3" xfId="15724"/>
    <cellStyle name="Bemærk! 3 7 2 3 4" xfId="27082"/>
    <cellStyle name="Bemærk! 3 7 2 4" xfId="6579"/>
    <cellStyle name="Bemærk! 3 7 2 4 2" xfId="17387"/>
    <cellStyle name="Bemærk! 3 7 2 4 3" xfId="28744"/>
    <cellStyle name="Bemærk! 3 7 2 5" xfId="12402"/>
    <cellStyle name="Bemærk! 3 7 2 6" xfId="23760"/>
    <cellStyle name="Bemærk! 3 7 3" xfId="2422"/>
    <cellStyle name="Bemærk! 3 7 3 2" xfId="7410"/>
    <cellStyle name="Bemærk! 3 7 3 2 2" xfId="18217"/>
    <cellStyle name="Bemærk! 3 7 3 2 3" xfId="29574"/>
    <cellStyle name="Bemærk! 3 7 3 3" xfId="13232"/>
    <cellStyle name="Bemærk! 3 7 3 4" xfId="24590"/>
    <cellStyle name="Bemærk! 3 7 4" xfId="4086"/>
    <cellStyle name="Bemærk! 3 7 4 2" xfId="9071"/>
    <cellStyle name="Bemærk! 3 7 4 2 2" xfId="19878"/>
    <cellStyle name="Bemærk! 3 7 4 2 3" xfId="31235"/>
    <cellStyle name="Bemærk! 3 7 4 3" xfId="14893"/>
    <cellStyle name="Bemærk! 3 7 4 4" xfId="26251"/>
    <cellStyle name="Bemærk! 3 7 5" xfId="5748"/>
    <cellStyle name="Bemærk! 3 7 5 2" xfId="16556"/>
    <cellStyle name="Bemærk! 3 7 5 3" xfId="27913"/>
    <cellStyle name="Bemærk! 3 7 6" xfId="10735"/>
    <cellStyle name="Bemærk! 3 7 6 2" xfId="21542"/>
    <cellStyle name="Bemærk! 3 7 6 3" xfId="32899"/>
    <cellStyle name="Bemærk! 3 7 7" xfId="11570"/>
    <cellStyle name="Bemærk! 3 7 8" xfId="22929"/>
    <cellStyle name="Bemærk! 3 8" xfId="1035"/>
    <cellStyle name="Bemærk! 3 8 2" xfId="2700"/>
    <cellStyle name="Bemærk! 3 8 2 2" xfId="7688"/>
    <cellStyle name="Bemærk! 3 8 2 2 2" xfId="18495"/>
    <cellStyle name="Bemærk! 3 8 2 2 3" xfId="29852"/>
    <cellStyle name="Bemærk! 3 8 2 3" xfId="13510"/>
    <cellStyle name="Bemærk! 3 8 2 4" xfId="24868"/>
    <cellStyle name="Bemærk! 3 8 3" xfId="4364"/>
    <cellStyle name="Bemærk! 3 8 3 2" xfId="9349"/>
    <cellStyle name="Bemærk! 3 8 3 2 2" xfId="20156"/>
    <cellStyle name="Bemærk! 3 8 3 2 3" xfId="31513"/>
    <cellStyle name="Bemærk! 3 8 3 3" xfId="15171"/>
    <cellStyle name="Bemærk! 3 8 3 4" xfId="26529"/>
    <cellStyle name="Bemærk! 3 8 4" xfId="6026"/>
    <cellStyle name="Bemærk! 3 8 4 2" xfId="16834"/>
    <cellStyle name="Bemærk! 3 8 4 3" xfId="28191"/>
    <cellStyle name="Bemærk! 3 8 5" xfId="11849"/>
    <cellStyle name="Bemærk! 3 8 6" xfId="23207"/>
    <cellStyle name="Bemærk! 3 9" xfId="1871"/>
    <cellStyle name="Bemærk! 3 9 2" xfId="6859"/>
    <cellStyle name="Bemærk! 3 9 2 2" xfId="17667"/>
    <cellStyle name="Bemærk! 3 9 2 3" xfId="29024"/>
    <cellStyle name="Bemærk! 3 9 3" xfId="12682"/>
    <cellStyle name="Bemærk! 3 9 4" xfId="24040"/>
    <cellStyle name="Bemærk! 4" xfId="176"/>
    <cellStyle name="Bemærk! 4 10" xfId="21834"/>
    <cellStyle name="Bemærk! 4 11" xfId="22387"/>
    <cellStyle name="Bemærk! 4 12" xfId="33190"/>
    <cellStyle name="Bemærk! 4 13" xfId="33463"/>
    <cellStyle name="Bemærk! 4 14" xfId="33734"/>
    <cellStyle name="Bemærk! 4 2" xfId="496"/>
    <cellStyle name="Bemærk! 4 2 2" xfId="1326"/>
    <cellStyle name="Bemærk! 4 2 2 2" xfId="2991"/>
    <cellStyle name="Bemærk! 4 2 2 2 2" xfId="7979"/>
    <cellStyle name="Bemærk! 4 2 2 2 2 2" xfId="18786"/>
    <cellStyle name="Bemærk! 4 2 2 2 2 3" xfId="30143"/>
    <cellStyle name="Bemærk! 4 2 2 2 3" xfId="13801"/>
    <cellStyle name="Bemærk! 4 2 2 2 4" xfId="25159"/>
    <cellStyle name="Bemærk! 4 2 2 3" xfId="4655"/>
    <cellStyle name="Bemærk! 4 2 2 3 2" xfId="9640"/>
    <cellStyle name="Bemærk! 4 2 2 3 2 2" xfId="20447"/>
    <cellStyle name="Bemærk! 4 2 2 3 2 3" xfId="31804"/>
    <cellStyle name="Bemærk! 4 2 2 3 3" xfId="15462"/>
    <cellStyle name="Bemærk! 4 2 2 3 4" xfId="26820"/>
    <cellStyle name="Bemærk! 4 2 2 4" xfId="6317"/>
    <cellStyle name="Bemærk! 4 2 2 4 2" xfId="17125"/>
    <cellStyle name="Bemærk! 4 2 2 4 3" xfId="28482"/>
    <cellStyle name="Bemærk! 4 2 2 5" xfId="12140"/>
    <cellStyle name="Bemærk! 4 2 2 6" xfId="23498"/>
    <cellStyle name="Bemærk! 4 2 3" xfId="2162"/>
    <cellStyle name="Bemærk! 4 2 3 2" xfId="7150"/>
    <cellStyle name="Bemærk! 4 2 3 2 2" xfId="17957"/>
    <cellStyle name="Bemærk! 4 2 3 2 3" xfId="29314"/>
    <cellStyle name="Bemærk! 4 2 3 3" xfId="12972"/>
    <cellStyle name="Bemærk! 4 2 3 4" xfId="24330"/>
    <cellStyle name="Bemærk! 4 2 4" xfId="3826"/>
    <cellStyle name="Bemærk! 4 2 4 2" xfId="8811"/>
    <cellStyle name="Bemærk! 4 2 4 2 2" xfId="19618"/>
    <cellStyle name="Bemærk! 4 2 4 2 3" xfId="30975"/>
    <cellStyle name="Bemærk! 4 2 4 3" xfId="14633"/>
    <cellStyle name="Bemærk! 4 2 4 4" xfId="25991"/>
    <cellStyle name="Bemærk! 4 2 5" xfId="5488"/>
    <cellStyle name="Bemærk! 4 2 5 2" xfId="16296"/>
    <cellStyle name="Bemærk! 4 2 5 3" xfId="27653"/>
    <cellStyle name="Bemærk! 4 2 6" xfId="10473"/>
    <cellStyle name="Bemærk! 4 2 6 2" xfId="21280"/>
    <cellStyle name="Bemærk! 4 2 6 3" xfId="32637"/>
    <cellStyle name="Bemærk! 4 2 7" xfId="11307"/>
    <cellStyle name="Bemærk! 4 2 8" xfId="22113"/>
    <cellStyle name="Bemærk! 4 2 9" xfId="22667"/>
    <cellStyle name="Bemærk! 4 3" xfId="768"/>
    <cellStyle name="Bemærk! 4 3 2" xfId="1600"/>
    <cellStyle name="Bemærk! 4 3 2 2" xfId="3265"/>
    <cellStyle name="Bemærk! 4 3 2 2 2" xfId="8253"/>
    <cellStyle name="Bemærk! 4 3 2 2 2 2" xfId="19060"/>
    <cellStyle name="Bemærk! 4 3 2 2 2 3" xfId="30417"/>
    <cellStyle name="Bemærk! 4 3 2 2 3" xfId="14075"/>
    <cellStyle name="Bemærk! 4 3 2 2 4" xfId="25433"/>
    <cellStyle name="Bemærk! 4 3 2 3" xfId="4929"/>
    <cellStyle name="Bemærk! 4 3 2 3 2" xfId="9914"/>
    <cellStyle name="Bemærk! 4 3 2 3 2 2" xfId="20721"/>
    <cellStyle name="Bemærk! 4 3 2 3 2 3" xfId="32078"/>
    <cellStyle name="Bemærk! 4 3 2 3 3" xfId="15736"/>
    <cellStyle name="Bemærk! 4 3 2 3 4" xfId="27094"/>
    <cellStyle name="Bemærk! 4 3 2 4" xfId="6591"/>
    <cellStyle name="Bemærk! 4 3 2 4 2" xfId="17399"/>
    <cellStyle name="Bemærk! 4 3 2 4 3" xfId="28756"/>
    <cellStyle name="Bemærk! 4 3 2 5" xfId="12414"/>
    <cellStyle name="Bemærk! 4 3 2 6" xfId="23772"/>
    <cellStyle name="Bemærk! 4 3 3" xfId="2434"/>
    <cellStyle name="Bemærk! 4 3 3 2" xfId="7422"/>
    <cellStyle name="Bemærk! 4 3 3 2 2" xfId="18229"/>
    <cellStyle name="Bemærk! 4 3 3 2 3" xfId="29586"/>
    <cellStyle name="Bemærk! 4 3 3 3" xfId="13244"/>
    <cellStyle name="Bemærk! 4 3 3 4" xfId="24602"/>
    <cellStyle name="Bemærk! 4 3 4" xfId="4098"/>
    <cellStyle name="Bemærk! 4 3 4 2" xfId="9083"/>
    <cellStyle name="Bemærk! 4 3 4 2 2" xfId="19890"/>
    <cellStyle name="Bemærk! 4 3 4 2 3" xfId="31247"/>
    <cellStyle name="Bemærk! 4 3 4 3" xfId="14905"/>
    <cellStyle name="Bemærk! 4 3 4 4" xfId="26263"/>
    <cellStyle name="Bemærk! 4 3 5" xfId="5760"/>
    <cellStyle name="Bemærk! 4 3 5 2" xfId="16568"/>
    <cellStyle name="Bemærk! 4 3 5 3" xfId="27925"/>
    <cellStyle name="Bemærk! 4 3 6" xfId="10747"/>
    <cellStyle name="Bemærk! 4 3 6 2" xfId="21554"/>
    <cellStyle name="Bemærk! 4 3 6 3" xfId="32911"/>
    <cellStyle name="Bemærk! 4 3 7" xfId="11582"/>
    <cellStyle name="Bemærk! 4 3 8" xfId="22941"/>
    <cellStyle name="Bemærk! 4 4" xfId="1047"/>
    <cellStyle name="Bemærk! 4 4 2" xfId="2712"/>
    <cellStyle name="Bemærk! 4 4 2 2" xfId="7700"/>
    <cellStyle name="Bemærk! 4 4 2 2 2" xfId="18507"/>
    <cellStyle name="Bemærk! 4 4 2 2 3" xfId="29864"/>
    <cellStyle name="Bemærk! 4 4 2 3" xfId="13522"/>
    <cellStyle name="Bemærk! 4 4 2 4" xfId="24880"/>
    <cellStyle name="Bemærk! 4 4 3" xfId="4376"/>
    <cellStyle name="Bemærk! 4 4 3 2" xfId="9361"/>
    <cellStyle name="Bemærk! 4 4 3 2 2" xfId="20168"/>
    <cellStyle name="Bemærk! 4 4 3 2 3" xfId="31525"/>
    <cellStyle name="Bemærk! 4 4 3 3" xfId="15183"/>
    <cellStyle name="Bemærk! 4 4 3 4" xfId="26541"/>
    <cellStyle name="Bemærk! 4 4 4" xfId="6038"/>
    <cellStyle name="Bemærk! 4 4 4 2" xfId="16846"/>
    <cellStyle name="Bemærk! 4 4 4 3" xfId="28203"/>
    <cellStyle name="Bemærk! 4 4 5" xfId="11861"/>
    <cellStyle name="Bemærk! 4 4 6" xfId="23219"/>
    <cellStyle name="Bemærk! 4 5" xfId="1882"/>
    <cellStyle name="Bemærk! 4 5 2" xfId="6870"/>
    <cellStyle name="Bemærk! 4 5 2 2" xfId="17678"/>
    <cellStyle name="Bemærk! 4 5 2 3" xfId="29035"/>
    <cellStyle name="Bemærk! 4 5 3" xfId="12693"/>
    <cellStyle name="Bemærk! 4 5 4" xfId="24051"/>
    <cellStyle name="Bemærk! 4 6" xfId="3547"/>
    <cellStyle name="Bemærk! 4 6 2" xfId="8532"/>
    <cellStyle name="Bemærk! 4 6 2 2" xfId="19339"/>
    <cellStyle name="Bemærk! 4 6 2 3" xfId="30696"/>
    <cellStyle name="Bemærk! 4 6 3" xfId="14354"/>
    <cellStyle name="Bemærk! 4 6 4" xfId="25712"/>
    <cellStyle name="Bemærk! 4 7" xfId="5208"/>
    <cellStyle name="Bemærk! 4 7 2" xfId="16017"/>
    <cellStyle name="Bemærk! 4 7 3" xfId="27374"/>
    <cellStyle name="Bemærk! 4 8" xfId="10193"/>
    <cellStyle name="Bemærk! 4 8 2" xfId="21000"/>
    <cellStyle name="Bemærk! 4 8 3" xfId="32357"/>
    <cellStyle name="Bemærk! 4 9" xfId="11027"/>
    <cellStyle name="Bemærk! 5" xfId="229"/>
    <cellStyle name="Bemærk! 5 10" xfId="21887"/>
    <cellStyle name="Bemærk! 5 11" xfId="22440"/>
    <cellStyle name="Bemærk! 5 12" xfId="33243"/>
    <cellStyle name="Bemærk! 5 13" xfId="33518"/>
    <cellStyle name="Bemærk! 5 14" xfId="33789"/>
    <cellStyle name="Bemærk! 5 2" xfId="547"/>
    <cellStyle name="Bemærk! 5 2 2" xfId="1379"/>
    <cellStyle name="Bemærk! 5 2 2 2" xfId="3044"/>
    <cellStyle name="Bemærk! 5 2 2 2 2" xfId="8032"/>
    <cellStyle name="Bemærk! 5 2 2 2 2 2" xfId="18839"/>
    <cellStyle name="Bemærk! 5 2 2 2 2 3" xfId="30196"/>
    <cellStyle name="Bemærk! 5 2 2 2 3" xfId="13854"/>
    <cellStyle name="Bemærk! 5 2 2 2 4" xfId="25212"/>
    <cellStyle name="Bemærk! 5 2 2 3" xfId="4708"/>
    <cellStyle name="Bemærk! 5 2 2 3 2" xfId="9693"/>
    <cellStyle name="Bemærk! 5 2 2 3 2 2" xfId="20500"/>
    <cellStyle name="Bemærk! 5 2 2 3 2 3" xfId="31857"/>
    <cellStyle name="Bemærk! 5 2 2 3 3" xfId="15515"/>
    <cellStyle name="Bemærk! 5 2 2 3 4" xfId="26873"/>
    <cellStyle name="Bemærk! 5 2 2 4" xfId="6370"/>
    <cellStyle name="Bemærk! 5 2 2 4 2" xfId="17178"/>
    <cellStyle name="Bemærk! 5 2 2 4 3" xfId="28535"/>
    <cellStyle name="Bemærk! 5 2 2 5" xfId="12193"/>
    <cellStyle name="Bemærk! 5 2 2 6" xfId="23551"/>
    <cellStyle name="Bemærk! 5 2 3" xfId="2213"/>
    <cellStyle name="Bemærk! 5 2 3 2" xfId="7201"/>
    <cellStyle name="Bemærk! 5 2 3 2 2" xfId="18008"/>
    <cellStyle name="Bemærk! 5 2 3 2 3" xfId="29365"/>
    <cellStyle name="Bemærk! 5 2 3 3" xfId="13023"/>
    <cellStyle name="Bemærk! 5 2 3 4" xfId="24381"/>
    <cellStyle name="Bemærk! 5 2 4" xfId="3877"/>
    <cellStyle name="Bemærk! 5 2 4 2" xfId="8862"/>
    <cellStyle name="Bemærk! 5 2 4 2 2" xfId="19669"/>
    <cellStyle name="Bemærk! 5 2 4 2 3" xfId="31026"/>
    <cellStyle name="Bemærk! 5 2 4 3" xfId="14684"/>
    <cellStyle name="Bemærk! 5 2 4 4" xfId="26042"/>
    <cellStyle name="Bemærk! 5 2 5" xfId="5539"/>
    <cellStyle name="Bemærk! 5 2 5 2" xfId="16347"/>
    <cellStyle name="Bemærk! 5 2 5 3" xfId="27704"/>
    <cellStyle name="Bemærk! 5 2 6" xfId="10526"/>
    <cellStyle name="Bemærk! 5 2 6 2" xfId="21333"/>
    <cellStyle name="Bemærk! 5 2 6 3" xfId="32690"/>
    <cellStyle name="Bemærk! 5 2 7" xfId="11360"/>
    <cellStyle name="Bemærk! 5 2 8" xfId="22166"/>
    <cellStyle name="Bemærk! 5 2 9" xfId="22720"/>
    <cellStyle name="Bemærk! 5 3" xfId="821"/>
    <cellStyle name="Bemærk! 5 3 2" xfId="1653"/>
    <cellStyle name="Bemærk! 5 3 2 2" xfId="3318"/>
    <cellStyle name="Bemærk! 5 3 2 2 2" xfId="8306"/>
    <cellStyle name="Bemærk! 5 3 2 2 2 2" xfId="19113"/>
    <cellStyle name="Bemærk! 5 3 2 2 2 3" xfId="30470"/>
    <cellStyle name="Bemærk! 5 3 2 2 3" xfId="14128"/>
    <cellStyle name="Bemærk! 5 3 2 2 4" xfId="25486"/>
    <cellStyle name="Bemærk! 5 3 2 3" xfId="4982"/>
    <cellStyle name="Bemærk! 5 3 2 3 2" xfId="9967"/>
    <cellStyle name="Bemærk! 5 3 2 3 2 2" xfId="20774"/>
    <cellStyle name="Bemærk! 5 3 2 3 2 3" xfId="32131"/>
    <cellStyle name="Bemærk! 5 3 2 3 3" xfId="15789"/>
    <cellStyle name="Bemærk! 5 3 2 3 4" xfId="27147"/>
    <cellStyle name="Bemærk! 5 3 2 4" xfId="6644"/>
    <cellStyle name="Bemærk! 5 3 2 4 2" xfId="17452"/>
    <cellStyle name="Bemærk! 5 3 2 4 3" xfId="28809"/>
    <cellStyle name="Bemærk! 5 3 2 5" xfId="12467"/>
    <cellStyle name="Bemærk! 5 3 2 6" xfId="23825"/>
    <cellStyle name="Bemærk! 5 3 3" xfId="2487"/>
    <cellStyle name="Bemærk! 5 3 3 2" xfId="7475"/>
    <cellStyle name="Bemærk! 5 3 3 2 2" xfId="18282"/>
    <cellStyle name="Bemærk! 5 3 3 2 3" xfId="29639"/>
    <cellStyle name="Bemærk! 5 3 3 3" xfId="13297"/>
    <cellStyle name="Bemærk! 5 3 3 4" xfId="24655"/>
    <cellStyle name="Bemærk! 5 3 4" xfId="4151"/>
    <cellStyle name="Bemærk! 5 3 4 2" xfId="9136"/>
    <cellStyle name="Bemærk! 5 3 4 2 2" xfId="19943"/>
    <cellStyle name="Bemærk! 5 3 4 2 3" xfId="31300"/>
    <cellStyle name="Bemærk! 5 3 4 3" xfId="14958"/>
    <cellStyle name="Bemærk! 5 3 4 4" xfId="26316"/>
    <cellStyle name="Bemærk! 5 3 5" xfId="5813"/>
    <cellStyle name="Bemærk! 5 3 5 2" xfId="16621"/>
    <cellStyle name="Bemærk! 5 3 5 3" xfId="27978"/>
    <cellStyle name="Bemærk! 5 3 6" xfId="10800"/>
    <cellStyle name="Bemærk! 5 3 6 2" xfId="21607"/>
    <cellStyle name="Bemærk! 5 3 6 3" xfId="32964"/>
    <cellStyle name="Bemærk! 5 3 7" xfId="11635"/>
    <cellStyle name="Bemærk! 5 3 8" xfId="22994"/>
    <cellStyle name="Bemærk! 5 4" xfId="1100"/>
    <cellStyle name="Bemærk! 5 4 2" xfId="2765"/>
    <cellStyle name="Bemærk! 5 4 2 2" xfId="7753"/>
    <cellStyle name="Bemærk! 5 4 2 2 2" xfId="18560"/>
    <cellStyle name="Bemærk! 5 4 2 2 3" xfId="29917"/>
    <cellStyle name="Bemærk! 5 4 2 3" xfId="13575"/>
    <cellStyle name="Bemærk! 5 4 2 4" xfId="24933"/>
    <cellStyle name="Bemærk! 5 4 3" xfId="4429"/>
    <cellStyle name="Bemærk! 5 4 3 2" xfId="9414"/>
    <cellStyle name="Bemærk! 5 4 3 2 2" xfId="20221"/>
    <cellStyle name="Bemærk! 5 4 3 2 3" xfId="31578"/>
    <cellStyle name="Bemærk! 5 4 3 3" xfId="15236"/>
    <cellStyle name="Bemærk! 5 4 3 4" xfId="26594"/>
    <cellStyle name="Bemærk! 5 4 4" xfId="6091"/>
    <cellStyle name="Bemærk! 5 4 4 2" xfId="16899"/>
    <cellStyle name="Bemærk! 5 4 4 3" xfId="28256"/>
    <cellStyle name="Bemærk! 5 4 5" xfId="11914"/>
    <cellStyle name="Bemærk! 5 4 6" xfId="23272"/>
    <cellStyle name="Bemærk! 5 5" xfId="1935"/>
    <cellStyle name="Bemærk! 5 5 2" xfId="6923"/>
    <cellStyle name="Bemærk! 5 5 2 2" xfId="17731"/>
    <cellStyle name="Bemærk! 5 5 2 3" xfId="29088"/>
    <cellStyle name="Bemærk! 5 5 3" xfId="12746"/>
    <cellStyle name="Bemærk! 5 5 4" xfId="24104"/>
    <cellStyle name="Bemærk! 5 6" xfId="3600"/>
    <cellStyle name="Bemærk! 5 6 2" xfId="8585"/>
    <cellStyle name="Bemærk! 5 6 2 2" xfId="19392"/>
    <cellStyle name="Bemærk! 5 6 2 3" xfId="30749"/>
    <cellStyle name="Bemærk! 5 6 3" xfId="14407"/>
    <cellStyle name="Bemærk! 5 6 4" xfId="25765"/>
    <cellStyle name="Bemærk! 5 7" xfId="5261"/>
    <cellStyle name="Bemærk! 5 7 2" xfId="16070"/>
    <cellStyle name="Bemærk! 5 7 3" xfId="27427"/>
    <cellStyle name="Bemærk! 5 8" xfId="10246"/>
    <cellStyle name="Bemærk! 5 8 2" xfId="21053"/>
    <cellStyle name="Bemærk! 5 8 3" xfId="32410"/>
    <cellStyle name="Bemærk! 5 9" xfId="11080"/>
    <cellStyle name="Bemærk! 6" xfId="285"/>
    <cellStyle name="Bemærk! 6 10" xfId="21942"/>
    <cellStyle name="Bemærk! 6 11" xfId="22495"/>
    <cellStyle name="Bemærk! 6 12" xfId="33298"/>
    <cellStyle name="Bemærk! 6 13" xfId="33573"/>
    <cellStyle name="Bemærk! 6 14" xfId="33844"/>
    <cellStyle name="Bemærk! 6 2" xfId="602"/>
    <cellStyle name="Bemærk! 6 2 2" xfId="1434"/>
    <cellStyle name="Bemærk! 6 2 2 2" xfId="3099"/>
    <cellStyle name="Bemærk! 6 2 2 2 2" xfId="8087"/>
    <cellStyle name="Bemærk! 6 2 2 2 2 2" xfId="18894"/>
    <cellStyle name="Bemærk! 6 2 2 2 2 3" xfId="30251"/>
    <cellStyle name="Bemærk! 6 2 2 2 3" xfId="13909"/>
    <cellStyle name="Bemærk! 6 2 2 2 4" xfId="25267"/>
    <cellStyle name="Bemærk! 6 2 2 3" xfId="4763"/>
    <cellStyle name="Bemærk! 6 2 2 3 2" xfId="9748"/>
    <cellStyle name="Bemærk! 6 2 2 3 2 2" xfId="20555"/>
    <cellStyle name="Bemærk! 6 2 2 3 2 3" xfId="31912"/>
    <cellStyle name="Bemærk! 6 2 2 3 3" xfId="15570"/>
    <cellStyle name="Bemærk! 6 2 2 3 4" xfId="26928"/>
    <cellStyle name="Bemærk! 6 2 2 4" xfId="6425"/>
    <cellStyle name="Bemærk! 6 2 2 4 2" xfId="17233"/>
    <cellStyle name="Bemærk! 6 2 2 4 3" xfId="28590"/>
    <cellStyle name="Bemærk! 6 2 2 5" xfId="12248"/>
    <cellStyle name="Bemærk! 6 2 2 6" xfId="23606"/>
    <cellStyle name="Bemærk! 6 2 3" xfId="2268"/>
    <cellStyle name="Bemærk! 6 2 3 2" xfId="7256"/>
    <cellStyle name="Bemærk! 6 2 3 2 2" xfId="18063"/>
    <cellStyle name="Bemærk! 6 2 3 2 3" xfId="29420"/>
    <cellStyle name="Bemærk! 6 2 3 3" xfId="13078"/>
    <cellStyle name="Bemærk! 6 2 3 4" xfId="24436"/>
    <cellStyle name="Bemærk! 6 2 4" xfId="3932"/>
    <cellStyle name="Bemærk! 6 2 4 2" xfId="8917"/>
    <cellStyle name="Bemærk! 6 2 4 2 2" xfId="19724"/>
    <cellStyle name="Bemærk! 6 2 4 2 3" xfId="31081"/>
    <cellStyle name="Bemærk! 6 2 4 3" xfId="14739"/>
    <cellStyle name="Bemærk! 6 2 4 4" xfId="26097"/>
    <cellStyle name="Bemærk! 6 2 5" xfId="5594"/>
    <cellStyle name="Bemærk! 6 2 5 2" xfId="16402"/>
    <cellStyle name="Bemærk! 6 2 5 3" xfId="27759"/>
    <cellStyle name="Bemærk! 6 2 6" xfId="10581"/>
    <cellStyle name="Bemærk! 6 2 6 2" xfId="21388"/>
    <cellStyle name="Bemærk! 6 2 6 3" xfId="32745"/>
    <cellStyle name="Bemærk! 6 2 7" xfId="11415"/>
    <cellStyle name="Bemærk! 6 2 8" xfId="22221"/>
    <cellStyle name="Bemærk! 6 2 9" xfId="22775"/>
    <cellStyle name="Bemærk! 6 3" xfId="876"/>
    <cellStyle name="Bemærk! 6 3 2" xfId="1708"/>
    <cellStyle name="Bemærk! 6 3 2 2" xfId="3373"/>
    <cellStyle name="Bemærk! 6 3 2 2 2" xfId="8361"/>
    <cellStyle name="Bemærk! 6 3 2 2 2 2" xfId="19168"/>
    <cellStyle name="Bemærk! 6 3 2 2 2 3" xfId="30525"/>
    <cellStyle name="Bemærk! 6 3 2 2 3" xfId="14183"/>
    <cellStyle name="Bemærk! 6 3 2 2 4" xfId="25541"/>
    <cellStyle name="Bemærk! 6 3 2 3" xfId="5037"/>
    <cellStyle name="Bemærk! 6 3 2 3 2" xfId="10022"/>
    <cellStyle name="Bemærk! 6 3 2 3 2 2" xfId="20829"/>
    <cellStyle name="Bemærk! 6 3 2 3 2 3" xfId="32186"/>
    <cellStyle name="Bemærk! 6 3 2 3 3" xfId="15844"/>
    <cellStyle name="Bemærk! 6 3 2 3 4" xfId="27202"/>
    <cellStyle name="Bemærk! 6 3 2 4" xfId="6699"/>
    <cellStyle name="Bemærk! 6 3 2 4 2" xfId="17507"/>
    <cellStyle name="Bemærk! 6 3 2 4 3" xfId="28864"/>
    <cellStyle name="Bemærk! 6 3 2 5" xfId="12522"/>
    <cellStyle name="Bemærk! 6 3 2 6" xfId="23880"/>
    <cellStyle name="Bemærk! 6 3 3" xfId="2542"/>
    <cellStyle name="Bemærk! 6 3 3 2" xfId="7530"/>
    <cellStyle name="Bemærk! 6 3 3 2 2" xfId="18337"/>
    <cellStyle name="Bemærk! 6 3 3 2 3" xfId="29694"/>
    <cellStyle name="Bemærk! 6 3 3 3" xfId="13352"/>
    <cellStyle name="Bemærk! 6 3 3 4" xfId="24710"/>
    <cellStyle name="Bemærk! 6 3 4" xfId="4206"/>
    <cellStyle name="Bemærk! 6 3 4 2" xfId="9191"/>
    <cellStyle name="Bemærk! 6 3 4 2 2" xfId="19998"/>
    <cellStyle name="Bemærk! 6 3 4 2 3" xfId="31355"/>
    <cellStyle name="Bemærk! 6 3 4 3" xfId="15013"/>
    <cellStyle name="Bemærk! 6 3 4 4" xfId="26371"/>
    <cellStyle name="Bemærk! 6 3 5" xfId="5868"/>
    <cellStyle name="Bemærk! 6 3 5 2" xfId="16676"/>
    <cellStyle name="Bemærk! 6 3 5 3" xfId="28033"/>
    <cellStyle name="Bemærk! 6 3 6" xfId="10855"/>
    <cellStyle name="Bemærk! 6 3 6 2" xfId="21662"/>
    <cellStyle name="Bemærk! 6 3 6 3" xfId="33019"/>
    <cellStyle name="Bemærk! 6 3 7" xfId="11690"/>
    <cellStyle name="Bemærk! 6 3 8" xfId="23049"/>
    <cellStyle name="Bemærk! 6 4" xfId="1155"/>
    <cellStyle name="Bemærk! 6 4 2" xfId="2820"/>
    <cellStyle name="Bemærk! 6 4 2 2" xfId="7808"/>
    <cellStyle name="Bemærk! 6 4 2 2 2" xfId="18615"/>
    <cellStyle name="Bemærk! 6 4 2 2 3" xfId="29972"/>
    <cellStyle name="Bemærk! 6 4 2 3" xfId="13630"/>
    <cellStyle name="Bemærk! 6 4 2 4" xfId="24988"/>
    <cellStyle name="Bemærk! 6 4 3" xfId="4484"/>
    <cellStyle name="Bemærk! 6 4 3 2" xfId="9469"/>
    <cellStyle name="Bemærk! 6 4 3 2 2" xfId="20276"/>
    <cellStyle name="Bemærk! 6 4 3 2 3" xfId="31633"/>
    <cellStyle name="Bemærk! 6 4 3 3" xfId="15291"/>
    <cellStyle name="Bemærk! 6 4 3 4" xfId="26649"/>
    <cellStyle name="Bemærk! 6 4 4" xfId="6146"/>
    <cellStyle name="Bemærk! 6 4 4 2" xfId="16954"/>
    <cellStyle name="Bemærk! 6 4 4 3" xfId="28311"/>
    <cellStyle name="Bemærk! 6 4 5" xfId="11969"/>
    <cellStyle name="Bemærk! 6 4 6" xfId="23327"/>
    <cellStyle name="Bemærk! 6 5" xfId="1990"/>
    <cellStyle name="Bemærk! 6 5 2" xfId="6978"/>
    <cellStyle name="Bemærk! 6 5 2 2" xfId="17786"/>
    <cellStyle name="Bemærk! 6 5 2 3" xfId="29143"/>
    <cellStyle name="Bemærk! 6 5 3" xfId="12801"/>
    <cellStyle name="Bemærk! 6 5 4" xfId="24159"/>
    <cellStyle name="Bemærk! 6 6" xfId="3655"/>
    <cellStyle name="Bemærk! 6 6 2" xfId="8640"/>
    <cellStyle name="Bemærk! 6 6 2 2" xfId="19447"/>
    <cellStyle name="Bemærk! 6 6 2 3" xfId="30804"/>
    <cellStyle name="Bemærk! 6 6 3" xfId="14462"/>
    <cellStyle name="Bemærk! 6 6 4" xfId="25820"/>
    <cellStyle name="Bemærk! 6 7" xfId="5316"/>
    <cellStyle name="Bemærk! 6 7 2" xfId="16125"/>
    <cellStyle name="Bemærk! 6 7 3" xfId="27482"/>
    <cellStyle name="Bemærk! 6 8" xfId="10301"/>
    <cellStyle name="Bemærk! 6 8 2" xfId="21108"/>
    <cellStyle name="Bemærk! 6 8 3" xfId="32465"/>
    <cellStyle name="Bemærk! 6 9" xfId="11135"/>
    <cellStyle name="Bemærk! 7" xfId="340"/>
    <cellStyle name="Bemærk! 7 10" xfId="21997"/>
    <cellStyle name="Bemærk! 7 11" xfId="22550"/>
    <cellStyle name="Bemærk! 7 12" xfId="33353"/>
    <cellStyle name="Bemærk! 7 13" xfId="33628"/>
    <cellStyle name="Bemærk! 7 14" xfId="33899"/>
    <cellStyle name="Bemærk! 7 2" xfId="657"/>
    <cellStyle name="Bemærk! 7 2 2" xfId="1489"/>
    <cellStyle name="Bemærk! 7 2 2 2" xfId="3154"/>
    <cellStyle name="Bemærk! 7 2 2 2 2" xfId="8142"/>
    <cellStyle name="Bemærk! 7 2 2 2 2 2" xfId="18949"/>
    <cellStyle name="Bemærk! 7 2 2 2 2 3" xfId="30306"/>
    <cellStyle name="Bemærk! 7 2 2 2 3" xfId="13964"/>
    <cellStyle name="Bemærk! 7 2 2 2 4" xfId="25322"/>
    <cellStyle name="Bemærk! 7 2 2 3" xfId="4818"/>
    <cellStyle name="Bemærk! 7 2 2 3 2" xfId="9803"/>
    <cellStyle name="Bemærk! 7 2 2 3 2 2" xfId="20610"/>
    <cellStyle name="Bemærk! 7 2 2 3 2 3" xfId="31967"/>
    <cellStyle name="Bemærk! 7 2 2 3 3" xfId="15625"/>
    <cellStyle name="Bemærk! 7 2 2 3 4" xfId="26983"/>
    <cellStyle name="Bemærk! 7 2 2 4" xfId="6480"/>
    <cellStyle name="Bemærk! 7 2 2 4 2" xfId="17288"/>
    <cellStyle name="Bemærk! 7 2 2 4 3" xfId="28645"/>
    <cellStyle name="Bemærk! 7 2 2 5" xfId="12303"/>
    <cellStyle name="Bemærk! 7 2 2 6" xfId="23661"/>
    <cellStyle name="Bemærk! 7 2 3" xfId="2323"/>
    <cellStyle name="Bemærk! 7 2 3 2" xfId="7311"/>
    <cellStyle name="Bemærk! 7 2 3 2 2" xfId="18118"/>
    <cellStyle name="Bemærk! 7 2 3 2 3" xfId="29475"/>
    <cellStyle name="Bemærk! 7 2 3 3" xfId="13133"/>
    <cellStyle name="Bemærk! 7 2 3 4" xfId="24491"/>
    <cellStyle name="Bemærk! 7 2 4" xfId="3987"/>
    <cellStyle name="Bemærk! 7 2 4 2" xfId="8972"/>
    <cellStyle name="Bemærk! 7 2 4 2 2" xfId="19779"/>
    <cellStyle name="Bemærk! 7 2 4 2 3" xfId="31136"/>
    <cellStyle name="Bemærk! 7 2 4 3" xfId="14794"/>
    <cellStyle name="Bemærk! 7 2 4 4" xfId="26152"/>
    <cellStyle name="Bemærk! 7 2 5" xfId="5649"/>
    <cellStyle name="Bemærk! 7 2 5 2" xfId="16457"/>
    <cellStyle name="Bemærk! 7 2 5 3" xfId="27814"/>
    <cellStyle name="Bemærk! 7 2 6" xfId="10636"/>
    <cellStyle name="Bemærk! 7 2 6 2" xfId="21443"/>
    <cellStyle name="Bemærk! 7 2 6 3" xfId="32800"/>
    <cellStyle name="Bemærk! 7 2 7" xfId="11470"/>
    <cellStyle name="Bemærk! 7 2 8" xfId="22276"/>
    <cellStyle name="Bemærk! 7 2 9" xfId="22830"/>
    <cellStyle name="Bemærk! 7 3" xfId="931"/>
    <cellStyle name="Bemærk! 7 3 2" xfId="1763"/>
    <cellStyle name="Bemærk! 7 3 2 2" xfId="3428"/>
    <cellStyle name="Bemærk! 7 3 2 2 2" xfId="8416"/>
    <cellStyle name="Bemærk! 7 3 2 2 2 2" xfId="19223"/>
    <cellStyle name="Bemærk! 7 3 2 2 2 3" xfId="30580"/>
    <cellStyle name="Bemærk! 7 3 2 2 3" xfId="14238"/>
    <cellStyle name="Bemærk! 7 3 2 2 4" xfId="25596"/>
    <cellStyle name="Bemærk! 7 3 2 3" xfId="5092"/>
    <cellStyle name="Bemærk! 7 3 2 3 2" xfId="10077"/>
    <cellStyle name="Bemærk! 7 3 2 3 2 2" xfId="20884"/>
    <cellStyle name="Bemærk! 7 3 2 3 2 3" xfId="32241"/>
    <cellStyle name="Bemærk! 7 3 2 3 3" xfId="15899"/>
    <cellStyle name="Bemærk! 7 3 2 3 4" xfId="27257"/>
    <cellStyle name="Bemærk! 7 3 2 4" xfId="6754"/>
    <cellStyle name="Bemærk! 7 3 2 4 2" xfId="17562"/>
    <cellStyle name="Bemærk! 7 3 2 4 3" xfId="28919"/>
    <cellStyle name="Bemærk! 7 3 2 5" xfId="12577"/>
    <cellStyle name="Bemærk! 7 3 2 6" xfId="23935"/>
    <cellStyle name="Bemærk! 7 3 3" xfId="2597"/>
    <cellStyle name="Bemærk! 7 3 3 2" xfId="7585"/>
    <cellStyle name="Bemærk! 7 3 3 2 2" xfId="18392"/>
    <cellStyle name="Bemærk! 7 3 3 2 3" xfId="29749"/>
    <cellStyle name="Bemærk! 7 3 3 3" xfId="13407"/>
    <cellStyle name="Bemærk! 7 3 3 4" xfId="24765"/>
    <cellStyle name="Bemærk! 7 3 4" xfId="4261"/>
    <cellStyle name="Bemærk! 7 3 4 2" xfId="9246"/>
    <cellStyle name="Bemærk! 7 3 4 2 2" xfId="20053"/>
    <cellStyle name="Bemærk! 7 3 4 2 3" xfId="31410"/>
    <cellStyle name="Bemærk! 7 3 4 3" xfId="15068"/>
    <cellStyle name="Bemærk! 7 3 4 4" xfId="26426"/>
    <cellStyle name="Bemærk! 7 3 5" xfId="5923"/>
    <cellStyle name="Bemærk! 7 3 5 2" xfId="16731"/>
    <cellStyle name="Bemærk! 7 3 5 3" xfId="28088"/>
    <cellStyle name="Bemærk! 7 3 6" xfId="10910"/>
    <cellStyle name="Bemærk! 7 3 6 2" xfId="21717"/>
    <cellStyle name="Bemærk! 7 3 6 3" xfId="33074"/>
    <cellStyle name="Bemærk! 7 3 7" xfId="11745"/>
    <cellStyle name="Bemærk! 7 3 8" xfId="23104"/>
    <cellStyle name="Bemærk! 7 4" xfId="1210"/>
    <cellStyle name="Bemærk! 7 4 2" xfId="2875"/>
    <cellStyle name="Bemærk! 7 4 2 2" xfId="7863"/>
    <cellStyle name="Bemærk! 7 4 2 2 2" xfId="18670"/>
    <cellStyle name="Bemærk! 7 4 2 2 3" xfId="30027"/>
    <cellStyle name="Bemærk! 7 4 2 3" xfId="13685"/>
    <cellStyle name="Bemærk! 7 4 2 4" xfId="25043"/>
    <cellStyle name="Bemærk! 7 4 3" xfId="4539"/>
    <cellStyle name="Bemærk! 7 4 3 2" xfId="9524"/>
    <cellStyle name="Bemærk! 7 4 3 2 2" xfId="20331"/>
    <cellStyle name="Bemærk! 7 4 3 2 3" xfId="31688"/>
    <cellStyle name="Bemærk! 7 4 3 3" xfId="15346"/>
    <cellStyle name="Bemærk! 7 4 3 4" xfId="26704"/>
    <cellStyle name="Bemærk! 7 4 4" xfId="6201"/>
    <cellStyle name="Bemærk! 7 4 4 2" xfId="17009"/>
    <cellStyle name="Bemærk! 7 4 4 3" xfId="28366"/>
    <cellStyle name="Bemærk! 7 4 5" xfId="12024"/>
    <cellStyle name="Bemærk! 7 4 6" xfId="23382"/>
    <cellStyle name="Bemærk! 7 5" xfId="2045"/>
    <cellStyle name="Bemærk! 7 5 2" xfId="7033"/>
    <cellStyle name="Bemærk! 7 5 2 2" xfId="17841"/>
    <cellStyle name="Bemærk! 7 5 2 3" xfId="29198"/>
    <cellStyle name="Bemærk! 7 5 3" xfId="12856"/>
    <cellStyle name="Bemærk! 7 5 4" xfId="24214"/>
    <cellStyle name="Bemærk! 7 6" xfId="3710"/>
    <cellStyle name="Bemærk! 7 6 2" xfId="8695"/>
    <cellStyle name="Bemærk! 7 6 2 2" xfId="19502"/>
    <cellStyle name="Bemærk! 7 6 2 3" xfId="30859"/>
    <cellStyle name="Bemærk! 7 6 3" xfId="14517"/>
    <cellStyle name="Bemærk! 7 6 4" xfId="25875"/>
    <cellStyle name="Bemærk! 7 7" xfId="5371"/>
    <cellStyle name="Bemærk! 7 7 2" xfId="16180"/>
    <cellStyle name="Bemærk! 7 7 3" xfId="27537"/>
    <cellStyle name="Bemærk! 7 8" xfId="10356"/>
    <cellStyle name="Bemærk! 7 8 2" xfId="21163"/>
    <cellStyle name="Bemærk! 7 8 3" xfId="32520"/>
    <cellStyle name="Bemærk! 7 9" xfId="11190"/>
    <cellStyle name="Bemærk! 8" xfId="441"/>
    <cellStyle name="Bemærk! 8 2" xfId="1271"/>
    <cellStyle name="Bemærk! 8 2 2" xfId="2936"/>
    <cellStyle name="Bemærk! 8 2 2 2" xfId="7924"/>
    <cellStyle name="Bemærk! 8 2 2 2 2" xfId="18731"/>
    <cellStyle name="Bemærk! 8 2 2 2 3" xfId="30088"/>
    <cellStyle name="Bemærk! 8 2 2 3" xfId="13746"/>
    <cellStyle name="Bemærk! 8 2 2 4" xfId="25104"/>
    <cellStyle name="Bemærk! 8 2 3" xfId="4600"/>
    <cellStyle name="Bemærk! 8 2 3 2" xfId="9585"/>
    <cellStyle name="Bemærk! 8 2 3 2 2" xfId="20392"/>
    <cellStyle name="Bemærk! 8 2 3 2 3" xfId="31749"/>
    <cellStyle name="Bemærk! 8 2 3 3" xfId="15407"/>
    <cellStyle name="Bemærk! 8 2 3 4" xfId="26765"/>
    <cellStyle name="Bemærk! 8 2 4" xfId="6262"/>
    <cellStyle name="Bemærk! 8 2 4 2" xfId="17070"/>
    <cellStyle name="Bemærk! 8 2 4 3" xfId="28427"/>
    <cellStyle name="Bemærk! 8 2 5" xfId="12085"/>
    <cellStyle name="Bemærk! 8 2 6" xfId="23443"/>
    <cellStyle name="Bemærk! 8 3" xfId="2107"/>
    <cellStyle name="Bemærk! 8 3 2" xfId="7095"/>
    <cellStyle name="Bemærk! 8 3 2 2" xfId="17902"/>
    <cellStyle name="Bemærk! 8 3 2 3" xfId="29259"/>
    <cellStyle name="Bemærk! 8 3 3" xfId="12917"/>
    <cellStyle name="Bemærk! 8 3 4" xfId="24275"/>
    <cellStyle name="Bemærk! 8 4" xfId="3771"/>
    <cellStyle name="Bemærk! 8 4 2" xfId="8756"/>
    <cellStyle name="Bemærk! 8 4 2 2" xfId="19563"/>
    <cellStyle name="Bemærk! 8 4 2 3" xfId="30920"/>
    <cellStyle name="Bemærk! 8 4 3" xfId="14578"/>
    <cellStyle name="Bemærk! 8 4 4" xfId="25936"/>
    <cellStyle name="Bemærk! 8 5" xfId="5433"/>
    <cellStyle name="Bemærk! 8 5 2" xfId="16241"/>
    <cellStyle name="Bemærk! 8 5 3" xfId="27598"/>
    <cellStyle name="Bemærk! 8 6" xfId="10455"/>
    <cellStyle name="Bemærk! 8 6 2" xfId="21262"/>
    <cellStyle name="Bemærk! 8 6 3" xfId="32619"/>
    <cellStyle name="Bemærk! 8 7" xfId="11252"/>
    <cellStyle name="Bemærk! 8 8" xfId="22058"/>
    <cellStyle name="Bemærk! 8 9" xfId="22612"/>
    <cellStyle name="Bemærk! 9" xfId="713"/>
    <cellStyle name="Bemærk! 9 2" xfId="1545"/>
    <cellStyle name="Bemærk! 9 2 2" xfId="3210"/>
    <cellStyle name="Bemærk! 9 2 2 2" xfId="8198"/>
    <cellStyle name="Bemærk! 9 2 2 2 2" xfId="19005"/>
    <cellStyle name="Bemærk! 9 2 2 2 3" xfId="30362"/>
    <cellStyle name="Bemærk! 9 2 2 3" xfId="14020"/>
    <cellStyle name="Bemærk! 9 2 2 4" xfId="25378"/>
    <cellStyle name="Bemærk! 9 2 3" xfId="4874"/>
    <cellStyle name="Bemærk! 9 2 3 2" xfId="9859"/>
    <cellStyle name="Bemærk! 9 2 3 2 2" xfId="20666"/>
    <cellStyle name="Bemærk! 9 2 3 2 3" xfId="32023"/>
    <cellStyle name="Bemærk! 9 2 3 3" xfId="15681"/>
    <cellStyle name="Bemærk! 9 2 3 4" xfId="27039"/>
    <cellStyle name="Bemærk! 9 2 4" xfId="6536"/>
    <cellStyle name="Bemærk! 9 2 4 2" xfId="17344"/>
    <cellStyle name="Bemærk! 9 2 4 3" xfId="28701"/>
    <cellStyle name="Bemærk! 9 2 5" xfId="12359"/>
    <cellStyle name="Bemærk! 9 2 6" xfId="23717"/>
    <cellStyle name="Bemærk! 9 3" xfId="2379"/>
    <cellStyle name="Bemærk! 9 3 2" xfId="7367"/>
    <cellStyle name="Bemærk! 9 3 2 2" xfId="18174"/>
    <cellStyle name="Bemærk! 9 3 2 3" xfId="29531"/>
    <cellStyle name="Bemærk! 9 3 3" xfId="13189"/>
    <cellStyle name="Bemærk! 9 3 4" xfId="24547"/>
    <cellStyle name="Bemærk! 9 4" xfId="4043"/>
    <cellStyle name="Bemærk! 9 4 2" xfId="9028"/>
    <cellStyle name="Bemærk! 9 4 2 2" xfId="19835"/>
    <cellStyle name="Bemærk! 9 4 2 3" xfId="31192"/>
    <cellStyle name="Bemærk! 9 4 3" xfId="14850"/>
    <cellStyle name="Bemærk! 9 4 4" xfId="26208"/>
    <cellStyle name="Bemærk! 9 5" xfId="5705"/>
    <cellStyle name="Bemærk! 9 5 2" xfId="16513"/>
    <cellStyle name="Bemærk! 9 5 3" xfId="27870"/>
    <cellStyle name="Bemærk! 9 6" xfId="10692"/>
    <cellStyle name="Bemærk! 9 6 2" xfId="21499"/>
    <cellStyle name="Bemærk! 9 6 3" xfId="32856"/>
    <cellStyle name="Bemærk! 9 7" xfId="11527"/>
    <cellStyle name="Bemærk! 9 8" xfId="22886"/>
    <cellStyle name="Beregning" xfId="13" builtinId="22" customBuiltin="1"/>
    <cellStyle name="Calculation" xfId="146"/>
    <cellStyle name="Check Cell" xfId="147"/>
    <cellStyle name="Comma_Vandforsyning_standardpriser_27Okt_final" xfId="148"/>
    <cellStyle name="Decimal" xfId="113"/>
    <cellStyle name="Decimal (negative)" xfId="114"/>
    <cellStyle name="Explanatory Text" xfId="149"/>
    <cellStyle name="Forklarende tekst" xfId="18" builtinId="53" customBuiltin="1"/>
    <cellStyle name="God" xfId="8" builtinId="26" customBuiltin="1"/>
    <cellStyle name="Good" xfId="150"/>
    <cellStyle name="Heading 1" xfId="151"/>
    <cellStyle name="Heading 2" xfId="152"/>
    <cellStyle name="Heading 3" xfId="153"/>
    <cellStyle name="Heading 4" xfId="154"/>
    <cellStyle name="Input" xfId="11" builtinId="20" customBuiltin="1"/>
    <cellStyle name="Input 2" xfId="155"/>
    <cellStyle name="Komma" xfId="2" builtinId="3"/>
    <cellStyle name="Komma [0] 2" xfId="33956"/>
    <cellStyle name="Komma 10" xfId="172"/>
    <cellStyle name="Komma 11" xfId="710"/>
    <cellStyle name="Komma 11 2" xfId="1542"/>
    <cellStyle name="Komma 11 2 2" xfId="3207"/>
    <cellStyle name="Komma 11 2 2 2" xfId="8195"/>
    <cellStyle name="Komma 11 2 2 2 2" xfId="19002"/>
    <cellStyle name="Komma 11 2 2 2 3" xfId="30359"/>
    <cellStyle name="Komma 11 2 2 3" xfId="14017"/>
    <cellStyle name="Komma 11 2 2 4" xfId="25375"/>
    <cellStyle name="Komma 11 2 3" xfId="4871"/>
    <cellStyle name="Komma 11 2 3 2" xfId="9856"/>
    <cellStyle name="Komma 11 2 3 2 2" xfId="20663"/>
    <cellStyle name="Komma 11 2 3 2 3" xfId="32020"/>
    <cellStyle name="Komma 11 2 3 3" xfId="15678"/>
    <cellStyle name="Komma 11 2 3 4" xfId="27036"/>
    <cellStyle name="Komma 11 2 4" xfId="6533"/>
    <cellStyle name="Komma 11 2 4 2" xfId="17341"/>
    <cellStyle name="Komma 11 2 4 3" xfId="28698"/>
    <cellStyle name="Komma 11 2 5" xfId="12356"/>
    <cellStyle name="Komma 11 2 6" xfId="23714"/>
    <cellStyle name="Komma 11 3" xfId="2376"/>
    <cellStyle name="Komma 11 3 2" xfId="7364"/>
    <cellStyle name="Komma 11 3 2 2" xfId="18171"/>
    <cellStyle name="Komma 11 3 2 3" xfId="29528"/>
    <cellStyle name="Komma 11 3 3" xfId="13186"/>
    <cellStyle name="Komma 11 3 4" xfId="24544"/>
    <cellStyle name="Komma 11 4" xfId="4040"/>
    <cellStyle name="Komma 11 4 2" xfId="9025"/>
    <cellStyle name="Komma 11 4 2 2" xfId="19832"/>
    <cellStyle name="Komma 11 4 2 3" xfId="31189"/>
    <cellStyle name="Komma 11 4 3" xfId="14847"/>
    <cellStyle name="Komma 11 4 4" xfId="26205"/>
    <cellStyle name="Komma 11 5" xfId="5702"/>
    <cellStyle name="Komma 11 5 2" xfId="16510"/>
    <cellStyle name="Komma 11 5 3" xfId="27867"/>
    <cellStyle name="Komma 11 6" xfId="10689"/>
    <cellStyle name="Komma 11 6 2" xfId="21496"/>
    <cellStyle name="Komma 11 6 3" xfId="32853"/>
    <cellStyle name="Komma 11 7" xfId="11523"/>
    <cellStyle name="Komma 11 8" xfId="22329"/>
    <cellStyle name="Komma 11 9" xfId="22883"/>
    <cellStyle name="Komma 12" xfId="984"/>
    <cellStyle name="Komma 12 2" xfId="1816"/>
    <cellStyle name="Komma 12 2 2" xfId="3481"/>
    <cellStyle name="Komma 12 2 2 2" xfId="8469"/>
    <cellStyle name="Komma 12 2 2 2 2" xfId="19276"/>
    <cellStyle name="Komma 12 2 2 2 3" xfId="30633"/>
    <cellStyle name="Komma 12 2 2 3" xfId="14291"/>
    <cellStyle name="Komma 12 2 2 4" xfId="25649"/>
    <cellStyle name="Komma 12 2 3" xfId="5145"/>
    <cellStyle name="Komma 12 2 3 2" xfId="10130"/>
    <cellStyle name="Komma 12 2 3 2 2" xfId="20937"/>
    <cellStyle name="Komma 12 2 3 2 3" xfId="32294"/>
    <cellStyle name="Komma 12 2 3 3" xfId="15952"/>
    <cellStyle name="Komma 12 2 3 4" xfId="27310"/>
    <cellStyle name="Komma 12 2 4" xfId="6807"/>
    <cellStyle name="Komma 12 2 4 2" xfId="17615"/>
    <cellStyle name="Komma 12 2 4 3" xfId="28972"/>
    <cellStyle name="Komma 12 2 5" xfId="12630"/>
    <cellStyle name="Komma 12 2 6" xfId="23988"/>
    <cellStyle name="Komma 12 3" xfId="2650"/>
    <cellStyle name="Komma 12 3 2" xfId="7638"/>
    <cellStyle name="Komma 12 3 2 2" xfId="18445"/>
    <cellStyle name="Komma 12 3 2 3" xfId="29802"/>
    <cellStyle name="Komma 12 3 3" xfId="13460"/>
    <cellStyle name="Komma 12 3 4" xfId="24818"/>
    <cellStyle name="Komma 12 4" xfId="3489"/>
    <cellStyle name="Komma 12 5" xfId="4314"/>
    <cellStyle name="Komma 12 5 2" xfId="9299"/>
    <cellStyle name="Komma 12 5 2 2" xfId="20106"/>
    <cellStyle name="Komma 12 5 2 3" xfId="31463"/>
    <cellStyle name="Komma 12 5 3" xfId="15121"/>
    <cellStyle name="Komma 12 5 4" xfId="26479"/>
    <cellStyle name="Komma 12 6" xfId="5976"/>
    <cellStyle name="Komma 12 6 2" xfId="16784"/>
    <cellStyle name="Komma 12 6 3" xfId="28141"/>
    <cellStyle name="Komma 12 7" xfId="10963"/>
    <cellStyle name="Komma 12 7 2" xfId="21770"/>
    <cellStyle name="Komma 12 7 3" xfId="33127"/>
    <cellStyle name="Komma 12 8" xfId="11798"/>
    <cellStyle name="Komma 12 9" xfId="23157"/>
    <cellStyle name="Komma 13" xfId="1826"/>
    <cellStyle name="Komma 13 2" xfId="6814"/>
    <cellStyle name="Komma 13 2 2" xfId="17622"/>
    <cellStyle name="Komma 13 2 3" xfId="28979"/>
    <cellStyle name="Komma 13 3" xfId="12637"/>
    <cellStyle name="Komma 13 4" xfId="23995"/>
    <cellStyle name="Komma 14" xfId="3491"/>
    <cellStyle name="Komma 14 2" xfId="8476"/>
    <cellStyle name="Komma 14 2 2" xfId="19283"/>
    <cellStyle name="Komma 14 2 3" xfId="30640"/>
    <cellStyle name="Komma 14 3" xfId="14298"/>
    <cellStyle name="Komma 14 4" xfId="25656"/>
    <cellStyle name="Komma 15" xfId="5152"/>
    <cellStyle name="Komma 15 2" xfId="15961"/>
    <cellStyle name="Komma 15 3" xfId="27318"/>
    <cellStyle name="Komma 16" xfId="10409"/>
    <cellStyle name="Komma 16 2" xfId="21216"/>
    <cellStyle name="Komma 16 3" xfId="32573"/>
    <cellStyle name="Komma 17" xfId="11243"/>
    <cellStyle name="Komma 18" xfId="22050"/>
    <cellStyle name="Komma 19" xfId="22603"/>
    <cellStyle name="Komma 2" xfId="61"/>
    <cellStyle name="Komma 2 10" xfId="1012"/>
    <cellStyle name="Komma 2 10 2" xfId="2677"/>
    <cellStyle name="Komma 2 10 2 2" xfId="7665"/>
    <cellStyle name="Komma 2 10 2 2 2" xfId="18472"/>
    <cellStyle name="Komma 2 10 2 2 3" xfId="29829"/>
    <cellStyle name="Komma 2 10 2 3" xfId="13487"/>
    <cellStyle name="Komma 2 10 2 4" xfId="24845"/>
    <cellStyle name="Komma 2 10 3" xfId="4341"/>
    <cellStyle name="Komma 2 10 3 2" xfId="9326"/>
    <cellStyle name="Komma 2 10 3 2 2" xfId="20133"/>
    <cellStyle name="Komma 2 10 3 2 3" xfId="31490"/>
    <cellStyle name="Komma 2 10 3 3" xfId="15148"/>
    <cellStyle name="Komma 2 10 3 4" xfId="26506"/>
    <cellStyle name="Komma 2 10 4" xfId="6003"/>
    <cellStyle name="Komma 2 10 4 2" xfId="16811"/>
    <cellStyle name="Komma 2 10 4 3" xfId="28168"/>
    <cellStyle name="Komma 2 10 5" xfId="11826"/>
    <cellStyle name="Komma 2 10 6" xfId="23184"/>
    <cellStyle name="Komma 2 11" xfId="1847"/>
    <cellStyle name="Komma 2 11 2" xfId="6835"/>
    <cellStyle name="Komma 2 11 2 2" xfId="17643"/>
    <cellStyle name="Komma 2 11 2 3" xfId="29000"/>
    <cellStyle name="Komma 2 11 3" xfId="12658"/>
    <cellStyle name="Komma 2 11 4" xfId="24016"/>
    <cellStyle name="Komma 2 12" xfId="3512"/>
    <cellStyle name="Komma 2 12 2" xfId="8497"/>
    <cellStyle name="Komma 2 12 2 2" xfId="19304"/>
    <cellStyle name="Komma 2 12 2 3" xfId="30661"/>
    <cellStyle name="Komma 2 12 3" xfId="14319"/>
    <cellStyle name="Komma 2 12 4" xfId="25677"/>
    <cellStyle name="Komma 2 13" xfId="5173"/>
    <cellStyle name="Komma 2 13 2" xfId="15982"/>
    <cellStyle name="Komma 2 13 3" xfId="27339"/>
    <cellStyle name="Komma 2 14" xfId="10158"/>
    <cellStyle name="Komma 2 14 2" xfId="20965"/>
    <cellStyle name="Komma 2 14 3" xfId="32322"/>
    <cellStyle name="Komma 2 15" xfId="10992"/>
    <cellStyle name="Komma 2 16" xfId="21799"/>
    <cellStyle name="Komma 2 17" xfId="22352"/>
    <cellStyle name="Komma 2 18" xfId="33155"/>
    <cellStyle name="Komma 2 19" xfId="33423"/>
    <cellStyle name="Komma 2 2" xfId="86"/>
    <cellStyle name="Komma 2 2 10" xfId="3531"/>
    <cellStyle name="Komma 2 2 10 2" xfId="8516"/>
    <cellStyle name="Komma 2 2 10 2 2" xfId="19323"/>
    <cellStyle name="Komma 2 2 10 2 3" xfId="30680"/>
    <cellStyle name="Komma 2 2 10 3" xfId="14338"/>
    <cellStyle name="Komma 2 2 10 4" xfId="25696"/>
    <cellStyle name="Komma 2 2 11" xfId="5192"/>
    <cellStyle name="Komma 2 2 11 2" xfId="16001"/>
    <cellStyle name="Komma 2 2 11 3" xfId="27358"/>
    <cellStyle name="Komma 2 2 12" xfId="10176"/>
    <cellStyle name="Komma 2 2 12 2" xfId="20983"/>
    <cellStyle name="Komma 2 2 12 3" xfId="32340"/>
    <cellStyle name="Komma 2 2 13" xfId="11010"/>
    <cellStyle name="Komma 2 2 14" xfId="21817"/>
    <cellStyle name="Komma 2 2 15" xfId="22370"/>
    <cellStyle name="Komma 2 2 16" xfId="33173"/>
    <cellStyle name="Komma 2 2 17" xfId="33442"/>
    <cellStyle name="Komma 2 2 18" xfId="33713"/>
    <cellStyle name="Komma 2 2 2" xfId="213"/>
    <cellStyle name="Komma 2 2 2 10" xfId="21871"/>
    <cellStyle name="Komma 2 2 2 11" xfId="22424"/>
    <cellStyle name="Komma 2 2 2 12" xfId="33227"/>
    <cellStyle name="Komma 2 2 2 13" xfId="33502"/>
    <cellStyle name="Komma 2 2 2 14" xfId="33773"/>
    <cellStyle name="Komma 2 2 2 2" xfId="531"/>
    <cellStyle name="Komma 2 2 2 2 2" xfId="1363"/>
    <cellStyle name="Komma 2 2 2 2 2 2" xfId="3028"/>
    <cellStyle name="Komma 2 2 2 2 2 2 2" xfId="8016"/>
    <cellStyle name="Komma 2 2 2 2 2 2 2 2" xfId="18823"/>
    <cellStyle name="Komma 2 2 2 2 2 2 2 3" xfId="30180"/>
    <cellStyle name="Komma 2 2 2 2 2 2 3" xfId="13838"/>
    <cellStyle name="Komma 2 2 2 2 2 2 4" xfId="25196"/>
    <cellStyle name="Komma 2 2 2 2 2 3" xfId="4692"/>
    <cellStyle name="Komma 2 2 2 2 2 3 2" xfId="9677"/>
    <cellStyle name="Komma 2 2 2 2 2 3 2 2" xfId="20484"/>
    <cellStyle name="Komma 2 2 2 2 2 3 2 3" xfId="31841"/>
    <cellStyle name="Komma 2 2 2 2 2 3 3" xfId="15499"/>
    <cellStyle name="Komma 2 2 2 2 2 3 4" xfId="26857"/>
    <cellStyle name="Komma 2 2 2 2 2 4" xfId="6354"/>
    <cellStyle name="Komma 2 2 2 2 2 4 2" xfId="17162"/>
    <cellStyle name="Komma 2 2 2 2 2 4 3" xfId="28519"/>
    <cellStyle name="Komma 2 2 2 2 2 5" xfId="12177"/>
    <cellStyle name="Komma 2 2 2 2 2 6" xfId="23535"/>
    <cellStyle name="Komma 2 2 2 2 3" xfId="2197"/>
    <cellStyle name="Komma 2 2 2 2 3 2" xfId="7185"/>
    <cellStyle name="Komma 2 2 2 2 3 2 2" xfId="17992"/>
    <cellStyle name="Komma 2 2 2 2 3 2 3" xfId="29349"/>
    <cellStyle name="Komma 2 2 2 2 3 3" xfId="13007"/>
    <cellStyle name="Komma 2 2 2 2 3 4" xfId="24365"/>
    <cellStyle name="Komma 2 2 2 2 4" xfId="3861"/>
    <cellStyle name="Komma 2 2 2 2 4 2" xfId="8846"/>
    <cellStyle name="Komma 2 2 2 2 4 2 2" xfId="19653"/>
    <cellStyle name="Komma 2 2 2 2 4 2 3" xfId="31010"/>
    <cellStyle name="Komma 2 2 2 2 4 3" xfId="14668"/>
    <cellStyle name="Komma 2 2 2 2 4 4" xfId="26026"/>
    <cellStyle name="Komma 2 2 2 2 5" xfId="5523"/>
    <cellStyle name="Komma 2 2 2 2 5 2" xfId="16331"/>
    <cellStyle name="Komma 2 2 2 2 5 3" xfId="27688"/>
    <cellStyle name="Komma 2 2 2 2 6" xfId="10510"/>
    <cellStyle name="Komma 2 2 2 2 6 2" xfId="21317"/>
    <cellStyle name="Komma 2 2 2 2 6 3" xfId="32674"/>
    <cellStyle name="Komma 2 2 2 2 7" xfId="11344"/>
    <cellStyle name="Komma 2 2 2 2 8" xfId="22150"/>
    <cellStyle name="Komma 2 2 2 2 9" xfId="22704"/>
    <cellStyle name="Komma 2 2 2 3" xfId="805"/>
    <cellStyle name="Komma 2 2 2 3 2" xfId="1637"/>
    <cellStyle name="Komma 2 2 2 3 2 2" xfId="3302"/>
    <cellStyle name="Komma 2 2 2 3 2 2 2" xfId="8290"/>
    <cellStyle name="Komma 2 2 2 3 2 2 2 2" xfId="19097"/>
    <cellStyle name="Komma 2 2 2 3 2 2 2 3" xfId="30454"/>
    <cellStyle name="Komma 2 2 2 3 2 2 3" xfId="14112"/>
    <cellStyle name="Komma 2 2 2 3 2 2 4" xfId="25470"/>
    <cellStyle name="Komma 2 2 2 3 2 3" xfId="4966"/>
    <cellStyle name="Komma 2 2 2 3 2 3 2" xfId="9951"/>
    <cellStyle name="Komma 2 2 2 3 2 3 2 2" xfId="20758"/>
    <cellStyle name="Komma 2 2 2 3 2 3 2 3" xfId="32115"/>
    <cellStyle name="Komma 2 2 2 3 2 3 3" xfId="15773"/>
    <cellStyle name="Komma 2 2 2 3 2 3 4" xfId="27131"/>
    <cellStyle name="Komma 2 2 2 3 2 4" xfId="6628"/>
    <cellStyle name="Komma 2 2 2 3 2 4 2" xfId="17436"/>
    <cellStyle name="Komma 2 2 2 3 2 4 3" xfId="28793"/>
    <cellStyle name="Komma 2 2 2 3 2 5" xfId="12451"/>
    <cellStyle name="Komma 2 2 2 3 2 6" xfId="23809"/>
    <cellStyle name="Komma 2 2 2 3 3" xfId="2471"/>
    <cellStyle name="Komma 2 2 2 3 3 2" xfId="7459"/>
    <cellStyle name="Komma 2 2 2 3 3 2 2" xfId="18266"/>
    <cellStyle name="Komma 2 2 2 3 3 2 3" xfId="29623"/>
    <cellStyle name="Komma 2 2 2 3 3 3" xfId="13281"/>
    <cellStyle name="Komma 2 2 2 3 3 4" xfId="24639"/>
    <cellStyle name="Komma 2 2 2 3 4" xfId="4135"/>
    <cellStyle name="Komma 2 2 2 3 4 2" xfId="9120"/>
    <cellStyle name="Komma 2 2 2 3 4 2 2" xfId="19927"/>
    <cellStyle name="Komma 2 2 2 3 4 2 3" xfId="31284"/>
    <cellStyle name="Komma 2 2 2 3 4 3" xfId="14942"/>
    <cellStyle name="Komma 2 2 2 3 4 4" xfId="26300"/>
    <cellStyle name="Komma 2 2 2 3 5" xfId="5797"/>
    <cellStyle name="Komma 2 2 2 3 5 2" xfId="16605"/>
    <cellStyle name="Komma 2 2 2 3 5 3" xfId="27962"/>
    <cellStyle name="Komma 2 2 2 3 6" xfId="10784"/>
    <cellStyle name="Komma 2 2 2 3 6 2" xfId="21591"/>
    <cellStyle name="Komma 2 2 2 3 6 3" xfId="32948"/>
    <cellStyle name="Komma 2 2 2 3 7" xfId="11619"/>
    <cellStyle name="Komma 2 2 2 3 8" xfId="22978"/>
    <cellStyle name="Komma 2 2 2 4" xfId="1084"/>
    <cellStyle name="Komma 2 2 2 4 2" xfId="2749"/>
    <cellStyle name="Komma 2 2 2 4 2 2" xfId="7737"/>
    <cellStyle name="Komma 2 2 2 4 2 2 2" xfId="18544"/>
    <cellStyle name="Komma 2 2 2 4 2 2 3" xfId="29901"/>
    <cellStyle name="Komma 2 2 2 4 2 3" xfId="13559"/>
    <cellStyle name="Komma 2 2 2 4 2 4" xfId="24917"/>
    <cellStyle name="Komma 2 2 2 4 3" xfId="4413"/>
    <cellStyle name="Komma 2 2 2 4 3 2" xfId="9398"/>
    <cellStyle name="Komma 2 2 2 4 3 2 2" xfId="20205"/>
    <cellStyle name="Komma 2 2 2 4 3 2 3" xfId="31562"/>
    <cellStyle name="Komma 2 2 2 4 3 3" xfId="15220"/>
    <cellStyle name="Komma 2 2 2 4 3 4" xfId="26578"/>
    <cellStyle name="Komma 2 2 2 4 4" xfId="6075"/>
    <cellStyle name="Komma 2 2 2 4 4 2" xfId="16883"/>
    <cellStyle name="Komma 2 2 2 4 4 3" xfId="28240"/>
    <cellStyle name="Komma 2 2 2 4 5" xfId="11898"/>
    <cellStyle name="Komma 2 2 2 4 6" xfId="23256"/>
    <cellStyle name="Komma 2 2 2 5" xfId="1919"/>
    <cellStyle name="Komma 2 2 2 5 2" xfId="6907"/>
    <cellStyle name="Komma 2 2 2 5 2 2" xfId="17715"/>
    <cellStyle name="Komma 2 2 2 5 2 3" xfId="29072"/>
    <cellStyle name="Komma 2 2 2 5 3" xfId="12730"/>
    <cellStyle name="Komma 2 2 2 5 4" xfId="24088"/>
    <cellStyle name="Komma 2 2 2 6" xfId="3584"/>
    <cellStyle name="Komma 2 2 2 6 2" xfId="8569"/>
    <cellStyle name="Komma 2 2 2 6 2 2" xfId="19376"/>
    <cellStyle name="Komma 2 2 2 6 2 3" xfId="30733"/>
    <cellStyle name="Komma 2 2 2 6 3" xfId="14391"/>
    <cellStyle name="Komma 2 2 2 6 4" xfId="25749"/>
    <cellStyle name="Komma 2 2 2 7" xfId="5245"/>
    <cellStyle name="Komma 2 2 2 7 2" xfId="16054"/>
    <cellStyle name="Komma 2 2 2 7 3" xfId="27411"/>
    <cellStyle name="Komma 2 2 2 8" xfId="10230"/>
    <cellStyle name="Komma 2 2 2 8 2" xfId="21037"/>
    <cellStyle name="Komma 2 2 2 8 3" xfId="32394"/>
    <cellStyle name="Komma 2 2 2 9" xfId="11064"/>
    <cellStyle name="Komma 2 2 3" xfId="268"/>
    <cellStyle name="Komma 2 2 3 10" xfId="21925"/>
    <cellStyle name="Komma 2 2 3 11" xfId="22478"/>
    <cellStyle name="Komma 2 2 3 12" xfId="33281"/>
    <cellStyle name="Komma 2 2 3 13" xfId="33556"/>
    <cellStyle name="Komma 2 2 3 14" xfId="33827"/>
    <cellStyle name="Komma 2 2 3 2" xfId="585"/>
    <cellStyle name="Komma 2 2 3 2 2" xfId="1417"/>
    <cellStyle name="Komma 2 2 3 2 2 2" xfId="3082"/>
    <cellStyle name="Komma 2 2 3 2 2 2 2" xfId="8070"/>
    <cellStyle name="Komma 2 2 3 2 2 2 2 2" xfId="18877"/>
    <cellStyle name="Komma 2 2 3 2 2 2 2 3" xfId="30234"/>
    <cellStyle name="Komma 2 2 3 2 2 2 3" xfId="13892"/>
    <cellStyle name="Komma 2 2 3 2 2 2 4" xfId="25250"/>
    <cellStyle name="Komma 2 2 3 2 2 3" xfId="4746"/>
    <cellStyle name="Komma 2 2 3 2 2 3 2" xfId="9731"/>
    <cellStyle name="Komma 2 2 3 2 2 3 2 2" xfId="20538"/>
    <cellStyle name="Komma 2 2 3 2 2 3 2 3" xfId="31895"/>
    <cellStyle name="Komma 2 2 3 2 2 3 3" xfId="15553"/>
    <cellStyle name="Komma 2 2 3 2 2 3 4" xfId="26911"/>
    <cellStyle name="Komma 2 2 3 2 2 4" xfId="6408"/>
    <cellStyle name="Komma 2 2 3 2 2 4 2" xfId="17216"/>
    <cellStyle name="Komma 2 2 3 2 2 4 3" xfId="28573"/>
    <cellStyle name="Komma 2 2 3 2 2 5" xfId="12231"/>
    <cellStyle name="Komma 2 2 3 2 2 6" xfId="23589"/>
    <cellStyle name="Komma 2 2 3 2 3" xfId="2251"/>
    <cellStyle name="Komma 2 2 3 2 3 2" xfId="7239"/>
    <cellStyle name="Komma 2 2 3 2 3 2 2" xfId="18046"/>
    <cellStyle name="Komma 2 2 3 2 3 2 3" xfId="29403"/>
    <cellStyle name="Komma 2 2 3 2 3 3" xfId="13061"/>
    <cellStyle name="Komma 2 2 3 2 3 4" xfId="24419"/>
    <cellStyle name="Komma 2 2 3 2 4" xfId="3915"/>
    <cellStyle name="Komma 2 2 3 2 4 2" xfId="8900"/>
    <cellStyle name="Komma 2 2 3 2 4 2 2" xfId="19707"/>
    <cellStyle name="Komma 2 2 3 2 4 2 3" xfId="31064"/>
    <cellStyle name="Komma 2 2 3 2 4 3" xfId="14722"/>
    <cellStyle name="Komma 2 2 3 2 4 4" xfId="26080"/>
    <cellStyle name="Komma 2 2 3 2 5" xfId="5577"/>
    <cellStyle name="Komma 2 2 3 2 5 2" xfId="16385"/>
    <cellStyle name="Komma 2 2 3 2 5 3" xfId="27742"/>
    <cellStyle name="Komma 2 2 3 2 6" xfId="10564"/>
    <cellStyle name="Komma 2 2 3 2 6 2" xfId="21371"/>
    <cellStyle name="Komma 2 2 3 2 6 3" xfId="32728"/>
    <cellStyle name="Komma 2 2 3 2 7" xfId="11398"/>
    <cellStyle name="Komma 2 2 3 2 8" xfId="22204"/>
    <cellStyle name="Komma 2 2 3 2 9" xfId="22758"/>
    <cellStyle name="Komma 2 2 3 3" xfId="859"/>
    <cellStyle name="Komma 2 2 3 3 2" xfId="1691"/>
    <cellStyle name="Komma 2 2 3 3 2 2" xfId="3356"/>
    <cellStyle name="Komma 2 2 3 3 2 2 2" xfId="8344"/>
    <cellStyle name="Komma 2 2 3 3 2 2 2 2" xfId="19151"/>
    <cellStyle name="Komma 2 2 3 3 2 2 2 3" xfId="30508"/>
    <cellStyle name="Komma 2 2 3 3 2 2 3" xfId="14166"/>
    <cellStyle name="Komma 2 2 3 3 2 2 4" xfId="25524"/>
    <cellStyle name="Komma 2 2 3 3 2 3" xfId="5020"/>
    <cellStyle name="Komma 2 2 3 3 2 3 2" xfId="10005"/>
    <cellStyle name="Komma 2 2 3 3 2 3 2 2" xfId="20812"/>
    <cellStyle name="Komma 2 2 3 3 2 3 2 3" xfId="32169"/>
    <cellStyle name="Komma 2 2 3 3 2 3 3" xfId="15827"/>
    <cellStyle name="Komma 2 2 3 3 2 3 4" xfId="27185"/>
    <cellStyle name="Komma 2 2 3 3 2 4" xfId="6682"/>
    <cellStyle name="Komma 2 2 3 3 2 4 2" xfId="17490"/>
    <cellStyle name="Komma 2 2 3 3 2 4 3" xfId="28847"/>
    <cellStyle name="Komma 2 2 3 3 2 5" xfId="12505"/>
    <cellStyle name="Komma 2 2 3 3 2 6" xfId="23863"/>
    <cellStyle name="Komma 2 2 3 3 3" xfId="2525"/>
    <cellStyle name="Komma 2 2 3 3 3 2" xfId="7513"/>
    <cellStyle name="Komma 2 2 3 3 3 2 2" xfId="18320"/>
    <cellStyle name="Komma 2 2 3 3 3 2 3" xfId="29677"/>
    <cellStyle name="Komma 2 2 3 3 3 3" xfId="13335"/>
    <cellStyle name="Komma 2 2 3 3 3 4" xfId="24693"/>
    <cellStyle name="Komma 2 2 3 3 4" xfId="4189"/>
    <cellStyle name="Komma 2 2 3 3 4 2" xfId="9174"/>
    <cellStyle name="Komma 2 2 3 3 4 2 2" xfId="19981"/>
    <cellStyle name="Komma 2 2 3 3 4 2 3" xfId="31338"/>
    <cellStyle name="Komma 2 2 3 3 4 3" xfId="14996"/>
    <cellStyle name="Komma 2 2 3 3 4 4" xfId="26354"/>
    <cellStyle name="Komma 2 2 3 3 5" xfId="5851"/>
    <cellStyle name="Komma 2 2 3 3 5 2" xfId="16659"/>
    <cellStyle name="Komma 2 2 3 3 5 3" xfId="28016"/>
    <cellStyle name="Komma 2 2 3 3 6" xfId="10838"/>
    <cellStyle name="Komma 2 2 3 3 6 2" xfId="21645"/>
    <cellStyle name="Komma 2 2 3 3 6 3" xfId="33002"/>
    <cellStyle name="Komma 2 2 3 3 7" xfId="11673"/>
    <cellStyle name="Komma 2 2 3 3 8" xfId="23032"/>
    <cellStyle name="Komma 2 2 3 4" xfId="1138"/>
    <cellStyle name="Komma 2 2 3 4 2" xfId="2803"/>
    <cellStyle name="Komma 2 2 3 4 2 2" xfId="7791"/>
    <cellStyle name="Komma 2 2 3 4 2 2 2" xfId="18598"/>
    <cellStyle name="Komma 2 2 3 4 2 2 3" xfId="29955"/>
    <cellStyle name="Komma 2 2 3 4 2 3" xfId="13613"/>
    <cellStyle name="Komma 2 2 3 4 2 4" xfId="24971"/>
    <cellStyle name="Komma 2 2 3 4 3" xfId="4467"/>
    <cellStyle name="Komma 2 2 3 4 3 2" xfId="9452"/>
    <cellStyle name="Komma 2 2 3 4 3 2 2" xfId="20259"/>
    <cellStyle name="Komma 2 2 3 4 3 2 3" xfId="31616"/>
    <cellStyle name="Komma 2 2 3 4 3 3" xfId="15274"/>
    <cellStyle name="Komma 2 2 3 4 3 4" xfId="26632"/>
    <cellStyle name="Komma 2 2 3 4 4" xfId="6129"/>
    <cellStyle name="Komma 2 2 3 4 4 2" xfId="16937"/>
    <cellStyle name="Komma 2 2 3 4 4 3" xfId="28294"/>
    <cellStyle name="Komma 2 2 3 4 5" xfId="11952"/>
    <cellStyle name="Komma 2 2 3 4 6" xfId="23310"/>
    <cellStyle name="Komma 2 2 3 5" xfId="1973"/>
    <cellStyle name="Komma 2 2 3 5 2" xfId="6961"/>
    <cellStyle name="Komma 2 2 3 5 2 2" xfId="17769"/>
    <cellStyle name="Komma 2 2 3 5 2 3" xfId="29126"/>
    <cellStyle name="Komma 2 2 3 5 3" xfId="12784"/>
    <cellStyle name="Komma 2 2 3 5 4" xfId="24142"/>
    <cellStyle name="Komma 2 2 3 6" xfId="3638"/>
    <cellStyle name="Komma 2 2 3 6 2" xfId="8623"/>
    <cellStyle name="Komma 2 2 3 6 2 2" xfId="19430"/>
    <cellStyle name="Komma 2 2 3 6 2 3" xfId="30787"/>
    <cellStyle name="Komma 2 2 3 6 3" xfId="14445"/>
    <cellStyle name="Komma 2 2 3 6 4" xfId="25803"/>
    <cellStyle name="Komma 2 2 3 7" xfId="5299"/>
    <cellStyle name="Komma 2 2 3 7 2" xfId="16108"/>
    <cellStyle name="Komma 2 2 3 7 3" xfId="27465"/>
    <cellStyle name="Komma 2 2 3 8" xfId="10284"/>
    <cellStyle name="Komma 2 2 3 8 2" xfId="21091"/>
    <cellStyle name="Komma 2 2 3 8 3" xfId="32448"/>
    <cellStyle name="Komma 2 2 3 9" xfId="11118"/>
    <cellStyle name="Komma 2 2 4" xfId="323"/>
    <cellStyle name="Komma 2 2 4 10" xfId="21980"/>
    <cellStyle name="Komma 2 2 4 11" xfId="22533"/>
    <cellStyle name="Komma 2 2 4 12" xfId="33336"/>
    <cellStyle name="Komma 2 2 4 13" xfId="33611"/>
    <cellStyle name="Komma 2 2 4 14" xfId="33882"/>
    <cellStyle name="Komma 2 2 4 2" xfId="640"/>
    <cellStyle name="Komma 2 2 4 2 2" xfId="1472"/>
    <cellStyle name="Komma 2 2 4 2 2 2" xfId="3137"/>
    <cellStyle name="Komma 2 2 4 2 2 2 2" xfId="8125"/>
    <cellStyle name="Komma 2 2 4 2 2 2 2 2" xfId="18932"/>
    <cellStyle name="Komma 2 2 4 2 2 2 2 3" xfId="30289"/>
    <cellStyle name="Komma 2 2 4 2 2 2 3" xfId="13947"/>
    <cellStyle name="Komma 2 2 4 2 2 2 4" xfId="25305"/>
    <cellStyle name="Komma 2 2 4 2 2 3" xfId="4801"/>
    <cellStyle name="Komma 2 2 4 2 2 3 2" xfId="9786"/>
    <cellStyle name="Komma 2 2 4 2 2 3 2 2" xfId="20593"/>
    <cellStyle name="Komma 2 2 4 2 2 3 2 3" xfId="31950"/>
    <cellStyle name="Komma 2 2 4 2 2 3 3" xfId="15608"/>
    <cellStyle name="Komma 2 2 4 2 2 3 4" xfId="26966"/>
    <cellStyle name="Komma 2 2 4 2 2 4" xfId="6463"/>
    <cellStyle name="Komma 2 2 4 2 2 4 2" xfId="17271"/>
    <cellStyle name="Komma 2 2 4 2 2 4 3" xfId="28628"/>
    <cellStyle name="Komma 2 2 4 2 2 5" xfId="12286"/>
    <cellStyle name="Komma 2 2 4 2 2 6" xfId="23644"/>
    <cellStyle name="Komma 2 2 4 2 3" xfId="2306"/>
    <cellStyle name="Komma 2 2 4 2 3 2" xfId="7294"/>
    <cellStyle name="Komma 2 2 4 2 3 2 2" xfId="18101"/>
    <cellStyle name="Komma 2 2 4 2 3 2 3" xfId="29458"/>
    <cellStyle name="Komma 2 2 4 2 3 3" xfId="13116"/>
    <cellStyle name="Komma 2 2 4 2 3 4" xfId="24474"/>
    <cellStyle name="Komma 2 2 4 2 4" xfId="3970"/>
    <cellStyle name="Komma 2 2 4 2 4 2" xfId="8955"/>
    <cellStyle name="Komma 2 2 4 2 4 2 2" xfId="19762"/>
    <cellStyle name="Komma 2 2 4 2 4 2 3" xfId="31119"/>
    <cellStyle name="Komma 2 2 4 2 4 3" xfId="14777"/>
    <cellStyle name="Komma 2 2 4 2 4 4" xfId="26135"/>
    <cellStyle name="Komma 2 2 4 2 5" xfId="5632"/>
    <cellStyle name="Komma 2 2 4 2 5 2" xfId="16440"/>
    <cellStyle name="Komma 2 2 4 2 5 3" xfId="27797"/>
    <cellStyle name="Komma 2 2 4 2 6" xfId="10619"/>
    <cellStyle name="Komma 2 2 4 2 6 2" xfId="21426"/>
    <cellStyle name="Komma 2 2 4 2 6 3" xfId="32783"/>
    <cellStyle name="Komma 2 2 4 2 7" xfId="11453"/>
    <cellStyle name="Komma 2 2 4 2 8" xfId="22259"/>
    <cellStyle name="Komma 2 2 4 2 9" xfId="22813"/>
    <cellStyle name="Komma 2 2 4 3" xfId="914"/>
    <cellStyle name="Komma 2 2 4 3 2" xfId="1746"/>
    <cellStyle name="Komma 2 2 4 3 2 2" xfId="3411"/>
    <cellStyle name="Komma 2 2 4 3 2 2 2" xfId="8399"/>
    <cellStyle name="Komma 2 2 4 3 2 2 2 2" xfId="19206"/>
    <cellStyle name="Komma 2 2 4 3 2 2 2 3" xfId="30563"/>
    <cellStyle name="Komma 2 2 4 3 2 2 3" xfId="14221"/>
    <cellStyle name="Komma 2 2 4 3 2 2 4" xfId="25579"/>
    <cellStyle name="Komma 2 2 4 3 2 3" xfId="5075"/>
    <cellStyle name="Komma 2 2 4 3 2 3 2" xfId="10060"/>
    <cellStyle name="Komma 2 2 4 3 2 3 2 2" xfId="20867"/>
    <cellStyle name="Komma 2 2 4 3 2 3 2 3" xfId="32224"/>
    <cellStyle name="Komma 2 2 4 3 2 3 3" xfId="15882"/>
    <cellStyle name="Komma 2 2 4 3 2 3 4" xfId="27240"/>
    <cellStyle name="Komma 2 2 4 3 2 4" xfId="6737"/>
    <cellStyle name="Komma 2 2 4 3 2 4 2" xfId="17545"/>
    <cellStyle name="Komma 2 2 4 3 2 4 3" xfId="28902"/>
    <cellStyle name="Komma 2 2 4 3 2 5" xfId="12560"/>
    <cellStyle name="Komma 2 2 4 3 2 6" xfId="23918"/>
    <cellStyle name="Komma 2 2 4 3 3" xfId="2580"/>
    <cellStyle name="Komma 2 2 4 3 3 2" xfId="7568"/>
    <cellStyle name="Komma 2 2 4 3 3 2 2" xfId="18375"/>
    <cellStyle name="Komma 2 2 4 3 3 2 3" xfId="29732"/>
    <cellStyle name="Komma 2 2 4 3 3 3" xfId="13390"/>
    <cellStyle name="Komma 2 2 4 3 3 4" xfId="24748"/>
    <cellStyle name="Komma 2 2 4 3 4" xfId="4244"/>
    <cellStyle name="Komma 2 2 4 3 4 2" xfId="9229"/>
    <cellStyle name="Komma 2 2 4 3 4 2 2" xfId="20036"/>
    <cellStyle name="Komma 2 2 4 3 4 2 3" xfId="31393"/>
    <cellStyle name="Komma 2 2 4 3 4 3" xfId="15051"/>
    <cellStyle name="Komma 2 2 4 3 4 4" xfId="26409"/>
    <cellStyle name="Komma 2 2 4 3 5" xfId="5906"/>
    <cellStyle name="Komma 2 2 4 3 5 2" xfId="16714"/>
    <cellStyle name="Komma 2 2 4 3 5 3" xfId="28071"/>
    <cellStyle name="Komma 2 2 4 3 6" xfId="10893"/>
    <cellStyle name="Komma 2 2 4 3 6 2" xfId="21700"/>
    <cellStyle name="Komma 2 2 4 3 6 3" xfId="33057"/>
    <cellStyle name="Komma 2 2 4 3 7" xfId="11728"/>
    <cellStyle name="Komma 2 2 4 3 8" xfId="23087"/>
    <cellStyle name="Komma 2 2 4 4" xfId="1193"/>
    <cellStyle name="Komma 2 2 4 4 2" xfId="2858"/>
    <cellStyle name="Komma 2 2 4 4 2 2" xfId="7846"/>
    <cellStyle name="Komma 2 2 4 4 2 2 2" xfId="18653"/>
    <cellStyle name="Komma 2 2 4 4 2 2 3" xfId="30010"/>
    <cellStyle name="Komma 2 2 4 4 2 3" xfId="13668"/>
    <cellStyle name="Komma 2 2 4 4 2 4" xfId="25026"/>
    <cellStyle name="Komma 2 2 4 4 3" xfId="4522"/>
    <cellStyle name="Komma 2 2 4 4 3 2" xfId="9507"/>
    <cellStyle name="Komma 2 2 4 4 3 2 2" xfId="20314"/>
    <cellStyle name="Komma 2 2 4 4 3 2 3" xfId="31671"/>
    <cellStyle name="Komma 2 2 4 4 3 3" xfId="15329"/>
    <cellStyle name="Komma 2 2 4 4 3 4" xfId="26687"/>
    <cellStyle name="Komma 2 2 4 4 4" xfId="6184"/>
    <cellStyle name="Komma 2 2 4 4 4 2" xfId="16992"/>
    <cellStyle name="Komma 2 2 4 4 4 3" xfId="28349"/>
    <cellStyle name="Komma 2 2 4 4 5" xfId="12007"/>
    <cellStyle name="Komma 2 2 4 4 6" xfId="23365"/>
    <cellStyle name="Komma 2 2 4 5" xfId="2028"/>
    <cellStyle name="Komma 2 2 4 5 2" xfId="7016"/>
    <cellStyle name="Komma 2 2 4 5 2 2" xfId="17824"/>
    <cellStyle name="Komma 2 2 4 5 2 3" xfId="29181"/>
    <cellStyle name="Komma 2 2 4 5 3" xfId="12839"/>
    <cellStyle name="Komma 2 2 4 5 4" xfId="24197"/>
    <cellStyle name="Komma 2 2 4 6" xfId="3693"/>
    <cellStyle name="Komma 2 2 4 6 2" xfId="8678"/>
    <cellStyle name="Komma 2 2 4 6 2 2" xfId="19485"/>
    <cellStyle name="Komma 2 2 4 6 2 3" xfId="30842"/>
    <cellStyle name="Komma 2 2 4 6 3" xfId="14500"/>
    <cellStyle name="Komma 2 2 4 6 4" xfId="25858"/>
    <cellStyle name="Komma 2 2 4 7" xfId="5354"/>
    <cellStyle name="Komma 2 2 4 7 2" xfId="16163"/>
    <cellStyle name="Komma 2 2 4 7 3" xfId="27520"/>
    <cellStyle name="Komma 2 2 4 8" xfId="10339"/>
    <cellStyle name="Komma 2 2 4 8 2" xfId="21146"/>
    <cellStyle name="Komma 2 2 4 8 3" xfId="32503"/>
    <cellStyle name="Komma 2 2 4 9" xfId="11173"/>
    <cellStyle name="Komma 2 2 5" xfId="379"/>
    <cellStyle name="Komma 2 2 5 10" xfId="22036"/>
    <cellStyle name="Komma 2 2 5 11" xfId="22589"/>
    <cellStyle name="Komma 2 2 5 12" xfId="33392"/>
    <cellStyle name="Komma 2 2 5 13" xfId="33667"/>
    <cellStyle name="Komma 2 2 5 14" xfId="33938"/>
    <cellStyle name="Komma 2 2 5 2" xfId="696"/>
    <cellStyle name="Komma 2 2 5 2 2" xfId="1528"/>
    <cellStyle name="Komma 2 2 5 2 2 2" xfId="3193"/>
    <cellStyle name="Komma 2 2 5 2 2 2 2" xfId="8181"/>
    <cellStyle name="Komma 2 2 5 2 2 2 2 2" xfId="18988"/>
    <cellStyle name="Komma 2 2 5 2 2 2 2 3" xfId="30345"/>
    <cellStyle name="Komma 2 2 5 2 2 2 3" xfId="14003"/>
    <cellStyle name="Komma 2 2 5 2 2 2 4" xfId="25361"/>
    <cellStyle name="Komma 2 2 5 2 2 3" xfId="4857"/>
    <cellStyle name="Komma 2 2 5 2 2 3 2" xfId="9842"/>
    <cellStyle name="Komma 2 2 5 2 2 3 2 2" xfId="20649"/>
    <cellStyle name="Komma 2 2 5 2 2 3 2 3" xfId="32006"/>
    <cellStyle name="Komma 2 2 5 2 2 3 3" xfId="15664"/>
    <cellStyle name="Komma 2 2 5 2 2 3 4" xfId="27022"/>
    <cellStyle name="Komma 2 2 5 2 2 4" xfId="6519"/>
    <cellStyle name="Komma 2 2 5 2 2 4 2" xfId="17327"/>
    <cellStyle name="Komma 2 2 5 2 2 4 3" xfId="28684"/>
    <cellStyle name="Komma 2 2 5 2 2 5" xfId="12342"/>
    <cellStyle name="Komma 2 2 5 2 2 6" xfId="23700"/>
    <cellStyle name="Komma 2 2 5 2 3" xfId="2362"/>
    <cellStyle name="Komma 2 2 5 2 3 2" xfId="7350"/>
    <cellStyle name="Komma 2 2 5 2 3 2 2" xfId="18157"/>
    <cellStyle name="Komma 2 2 5 2 3 2 3" xfId="29514"/>
    <cellStyle name="Komma 2 2 5 2 3 3" xfId="13172"/>
    <cellStyle name="Komma 2 2 5 2 3 4" xfId="24530"/>
    <cellStyle name="Komma 2 2 5 2 4" xfId="4026"/>
    <cellStyle name="Komma 2 2 5 2 4 2" xfId="9011"/>
    <cellStyle name="Komma 2 2 5 2 4 2 2" xfId="19818"/>
    <cellStyle name="Komma 2 2 5 2 4 2 3" xfId="31175"/>
    <cellStyle name="Komma 2 2 5 2 4 3" xfId="14833"/>
    <cellStyle name="Komma 2 2 5 2 4 4" xfId="26191"/>
    <cellStyle name="Komma 2 2 5 2 5" xfId="5688"/>
    <cellStyle name="Komma 2 2 5 2 5 2" xfId="16496"/>
    <cellStyle name="Komma 2 2 5 2 5 3" xfId="27853"/>
    <cellStyle name="Komma 2 2 5 2 6" xfId="10675"/>
    <cellStyle name="Komma 2 2 5 2 6 2" xfId="21482"/>
    <cellStyle name="Komma 2 2 5 2 6 3" xfId="32839"/>
    <cellStyle name="Komma 2 2 5 2 7" xfId="11509"/>
    <cellStyle name="Komma 2 2 5 2 8" xfId="22315"/>
    <cellStyle name="Komma 2 2 5 2 9" xfId="22869"/>
    <cellStyle name="Komma 2 2 5 3" xfId="970"/>
    <cellStyle name="Komma 2 2 5 3 2" xfId="1802"/>
    <cellStyle name="Komma 2 2 5 3 2 2" xfId="3467"/>
    <cellStyle name="Komma 2 2 5 3 2 2 2" xfId="8455"/>
    <cellStyle name="Komma 2 2 5 3 2 2 2 2" xfId="19262"/>
    <cellStyle name="Komma 2 2 5 3 2 2 2 3" xfId="30619"/>
    <cellStyle name="Komma 2 2 5 3 2 2 3" xfId="14277"/>
    <cellStyle name="Komma 2 2 5 3 2 2 4" xfId="25635"/>
    <cellStyle name="Komma 2 2 5 3 2 3" xfId="5131"/>
    <cellStyle name="Komma 2 2 5 3 2 3 2" xfId="10116"/>
    <cellStyle name="Komma 2 2 5 3 2 3 2 2" xfId="20923"/>
    <cellStyle name="Komma 2 2 5 3 2 3 2 3" xfId="32280"/>
    <cellStyle name="Komma 2 2 5 3 2 3 3" xfId="15938"/>
    <cellStyle name="Komma 2 2 5 3 2 3 4" xfId="27296"/>
    <cellStyle name="Komma 2 2 5 3 2 4" xfId="6793"/>
    <cellStyle name="Komma 2 2 5 3 2 4 2" xfId="17601"/>
    <cellStyle name="Komma 2 2 5 3 2 4 3" xfId="28958"/>
    <cellStyle name="Komma 2 2 5 3 2 5" xfId="12616"/>
    <cellStyle name="Komma 2 2 5 3 2 6" xfId="23974"/>
    <cellStyle name="Komma 2 2 5 3 3" xfId="2636"/>
    <cellStyle name="Komma 2 2 5 3 3 2" xfId="7624"/>
    <cellStyle name="Komma 2 2 5 3 3 2 2" xfId="18431"/>
    <cellStyle name="Komma 2 2 5 3 3 2 3" xfId="29788"/>
    <cellStyle name="Komma 2 2 5 3 3 3" xfId="13446"/>
    <cellStyle name="Komma 2 2 5 3 3 4" xfId="24804"/>
    <cellStyle name="Komma 2 2 5 3 4" xfId="4300"/>
    <cellStyle name="Komma 2 2 5 3 4 2" xfId="9285"/>
    <cellStyle name="Komma 2 2 5 3 4 2 2" xfId="20092"/>
    <cellStyle name="Komma 2 2 5 3 4 2 3" xfId="31449"/>
    <cellStyle name="Komma 2 2 5 3 4 3" xfId="15107"/>
    <cellStyle name="Komma 2 2 5 3 4 4" xfId="26465"/>
    <cellStyle name="Komma 2 2 5 3 5" xfId="5962"/>
    <cellStyle name="Komma 2 2 5 3 5 2" xfId="16770"/>
    <cellStyle name="Komma 2 2 5 3 5 3" xfId="28127"/>
    <cellStyle name="Komma 2 2 5 3 6" xfId="10949"/>
    <cellStyle name="Komma 2 2 5 3 6 2" xfId="21756"/>
    <cellStyle name="Komma 2 2 5 3 6 3" xfId="33113"/>
    <cellStyle name="Komma 2 2 5 3 7" xfId="11784"/>
    <cellStyle name="Komma 2 2 5 3 8" xfId="23143"/>
    <cellStyle name="Komma 2 2 5 4" xfId="1249"/>
    <cellStyle name="Komma 2 2 5 4 2" xfId="2914"/>
    <cellStyle name="Komma 2 2 5 4 2 2" xfId="7902"/>
    <cellStyle name="Komma 2 2 5 4 2 2 2" xfId="18709"/>
    <cellStyle name="Komma 2 2 5 4 2 2 3" xfId="30066"/>
    <cellStyle name="Komma 2 2 5 4 2 3" xfId="13724"/>
    <cellStyle name="Komma 2 2 5 4 2 4" xfId="25082"/>
    <cellStyle name="Komma 2 2 5 4 3" xfId="4578"/>
    <cellStyle name="Komma 2 2 5 4 3 2" xfId="9563"/>
    <cellStyle name="Komma 2 2 5 4 3 2 2" xfId="20370"/>
    <cellStyle name="Komma 2 2 5 4 3 2 3" xfId="31727"/>
    <cellStyle name="Komma 2 2 5 4 3 3" xfId="15385"/>
    <cellStyle name="Komma 2 2 5 4 3 4" xfId="26743"/>
    <cellStyle name="Komma 2 2 5 4 4" xfId="6240"/>
    <cellStyle name="Komma 2 2 5 4 4 2" xfId="17048"/>
    <cellStyle name="Komma 2 2 5 4 4 3" xfId="28405"/>
    <cellStyle name="Komma 2 2 5 4 5" xfId="12063"/>
    <cellStyle name="Komma 2 2 5 4 6" xfId="23421"/>
    <cellStyle name="Komma 2 2 5 5" xfId="2084"/>
    <cellStyle name="Komma 2 2 5 5 2" xfId="7072"/>
    <cellStyle name="Komma 2 2 5 5 2 2" xfId="17880"/>
    <cellStyle name="Komma 2 2 5 5 2 3" xfId="29237"/>
    <cellStyle name="Komma 2 2 5 5 3" xfId="12895"/>
    <cellStyle name="Komma 2 2 5 5 4" xfId="24253"/>
    <cellStyle name="Komma 2 2 5 6" xfId="3749"/>
    <cellStyle name="Komma 2 2 5 6 2" xfId="8734"/>
    <cellStyle name="Komma 2 2 5 6 2 2" xfId="19541"/>
    <cellStyle name="Komma 2 2 5 6 2 3" xfId="30898"/>
    <cellStyle name="Komma 2 2 5 6 3" xfId="14556"/>
    <cellStyle name="Komma 2 2 5 6 4" xfId="25914"/>
    <cellStyle name="Komma 2 2 5 7" xfId="5410"/>
    <cellStyle name="Komma 2 2 5 7 2" xfId="16219"/>
    <cellStyle name="Komma 2 2 5 7 3" xfId="27576"/>
    <cellStyle name="Komma 2 2 5 8" xfId="10395"/>
    <cellStyle name="Komma 2 2 5 8 2" xfId="21202"/>
    <cellStyle name="Komma 2 2 5 8 3" xfId="32559"/>
    <cellStyle name="Komma 2 2 5 9" xfId="11229"/>
    <cellStyle name="Komma 2 2 6" xfId="479"/>
    <cellStyle name="Komma 2 2 6 2" xfId="1309"/>
    <cellStyle name="Komma 2 2 6 2 2" xfId="2974"/>
    <cellStyle name="Komma 2 2 6 2 2 2" xfId="7962"/>
    <cellStyle name="Komma 2 2 6 2 2 2 2" xfId="18769"/>
    <cellStyle name="Komma 2 2 6 2 2 2 3" xfId="30126"/>
    <cellStyle name="Komma 2 2 6 2 2 3" xfId="13784"/>
    <cellStyle name="Komma 2 2 6 2 2 4" xfId="25142"/>
    <cellStyle name="Komma 2 2 6 2 3" xfId="4638"/>
    <cellStyle name="Komma 2 2 6 2 3 2" xfId="9623"/>
    <cellStyle name="Komma 2 2 6 2 3 2 2" xfId="20430"/>
    <cellStyle name="Komma 2 2 6 2 3 2 3" xfId="31787"/>
    <cellStyle name="Komma 2 2 6 2 3 3" xfId="15445"/>
    <cellStyle name="Komma 2 2 6 2 3 4" xfId="26803"/>
    <cellStyle name="Komma 2 2 6 2 4" xfId="6300"/>
    <cellStyle name="Komma 2 2 6 2 4 2" xfId="17108"/>
    <cellStyle name="Komma 2 2 6 2 4 3" xfId="28465"/>
    <cellStyle name="Komma 2 2 6 2 5" xfId="12123"/>
    <cellStyle name="Komma 2 2 6 2 6" xfId="23481"/>
    <cellStyle name="Komma 2 2 6 3" xfId="2145"/>
    <cellStyle name="Komma 2 2 6 3 2" xfId="7133"/>
    <cellStyle name="Komma 2 2 6 3 2 2" xfId="17940"/>
    <cellStyle name="Komma 2 2 6 3 2 3" xfId="29297"/>
    <cellStyle name="Komma 2 2 6 3 3" xfId="12955"/>
    <cellStyle name="Komma 2 2 6 3 4" xfId="24313"/>
    <cellStyle name="Komma 2 2 6 4" xfId="3809"/>
    <cellStyle name="Komma 2 2 6 4 2" xfId="8794"/>
    <cellStyle name="Komma 2 2 6 4 2 2" xfId="19601"/>
    <cellStyle name="Komma 2 2 6 4 2 3" xfId="30958"/>
    <cellStyle name="Komma 2 2 6 4 3" xfId="14616"/>
    <cellStyle name="Komma 2 2 6 4 4" xfId="25974"/>
    <cellStyle name="Komma 2 2 6 5" xfId="5471"/>
    <cellStyle name="Komma 2 2 6 5 2" xfId="16279"/>
    <cellStyle name="Komma 2 2 6 5 3" xfId="27636"/>
    <cellStyle name="Komma 2 2 6 6" xfId="10422"/>
    <cellStyle name="Komma 2 2 6 6 2" xfId="21229"/>
    <cellStyle name="Komma 2 2 6 6 3" xfId="32586"/>
    <cellStyle name="Komma 2 2 6 7" xfId="11290"/>
    <cellStyle name="Komma 2 2 6 8" xfId="22096"/>
    <cellStyle name="Komma 2 2 6 9" xfId="22650"/>
    <cellStyle name="Komma 2 2 7" xfId="751"/>
    <cellStyle name="Komma 2 2 7 2" xfId="1583"/>
    <cellStyle name="Komma 2 2 7 2 2" xfId="3248"/>
    <cellStyle name="Komma 2 2 7 2 2 2" xfId="8236"/>
    <cellStyle name="Komma 2 2 7 2 2 2 2" xfId="19043"/>
    <cellStyle name="Komma 2 2 7 2 2 2 3" xfId="30400"/>
    <cellStyle name="Komma 2 2 7 2 2 3" xfId="14058"/>
    <cellStyle name="Komma 2 2 7 2 2 4" xfId="25416"/>
    <cellStyle name="Komma 2 2 7 2 3" xfId="4912"/>
    <cellStyle name="Komma 2 2 7 2 3 2" xfId="9897"/>
    <cellStyle name="Komma 2 2 7 2 3 2 2" xfId="20704"/>
    <cellStyle name="Komma 2 2 7 2 3 2 3" xfId="32061"/>
    <cellStyle name="Komma 2 2 7 2 3 3" xfId="15719"/>
    <cellStyle name="Komma 2 2 7 2 3 4" xfId="27077"/>
    <cellStyle name="Komma 2 2 7 2 4" xfId="6574"/>
    <cellStyle name="Komma 2 2 7 2 4 2" xfId="17382"/>
    <cellStyle name="Komma 2 2 7 2 4 3" xfId="28739"/>
    <cellStyle name="Komma 2 2 7 2 5" xfId="12397"/>
    <cellStyle name="Komma 2 2 7 2 6" xfId="23755"/>
    <cellStyle name="Komma 2 2 7 3" xfId="2417"/>
    <cellStyle name="Komma 2 2 7 3 2" xfId="7405"/>
    <cellStyle name="Komma 2 2 7 3 2 2" xfId="18212"/>
    <cellStyle name="Komma 2 2 7 3 2 3" xfId="29569"/>
    <cellStyle name="Komma 2 2 7 3 3" xfId="13227"/>
    <cellStyle name="Komma 2 2 7 3 4" xfId="24585"/>
    <cellStyle name="Komma 2 2 7 4" xfId="4081"/>
    <cellStyle name="Komma 2 2 7 4 2" xfId="9066"/>
    <cellStyle name="Komma 2 2 7 4 2 2" xfId="19873"/>
    <cellStyle name="Komma 2 2 7 4 2 3" xfId="31230"/>
    <cellStyle name="Komma 2 2 7 4 3" xfId="14888"/>
    <cellStyle name="Komma 2 2 7 4 4" xfId="26246"/>
    <cellStyle name="Komma 2 2 7 5" xfId="5743"/>
    <cellStyle name="Komma 2 2 7 5 2" xfId="16551"/>
    <cellStyle name="Komma 2 2 7 5 3" xfId="27908"/>
    <cellStyle name="Komma 2 2 7 6" xfId="10730"/>
    <cellStyle name="Komma 2 2 7 6 2" xfId="21537"/>
    <cellStyle name="Komma 2 2 7 6 3" xfId="32894"/>
    <cellStyle name="Komma 2 2 7 7" xfId="11565"/>
    <cellStyle name="Komma 2 2 7 8" xfId="22924"/>
    <cellStyle name="Komma 2 2 8" xfId="1030"/>
    <cellStyle name="Komma 2 2 8 2" xfId="2695"/>
    <cellStyle name="Komma 2 2 8 2 2" xfId="7683"/>
    <cellStyle name="Komma 2 2 8 2 2 2" xfId="18490"/>
    <cellStyle name="Komma 2 2 8 2 2 3" xfId="29847"/>
    <cellStyle name="Komma 2 2 8 2 3" xfId="13505"/>
    <cellStyle name="Komma 2 2 8 2 4" xfId="24863"/>
    <cellStyle name="Komma 2 2 8 3" xfId="4359"/>
    <cellStyle name="Komma 2 2 8 3 2" xfId="9344"/>
    <cellStyle name="Komma 2 2 8 3 2 2" xfId="20151"/>
    <cellStyle name="Komma 2 2 8 3 2 3" xfId="31508"/>
    <cellStyle name="Komma 2 2 8 3 3" xfId="15166"/>
    <cellStyle name="Komma 2 2 8 3 4" xfId="26524"/>
    <cellStyle name="Komma 2 2 8 4" xfId="6021"/>
    <cellStyle name="Komma 2 2 8 4 2" xfId="16829"/>
    <cellStyle name="Komma 2 2 8 4 3" xfId="28186"/>
    <cellStyle name="Komma 2 2 8 5" xfId="11844"/>
    <cellStyle name="Komma 2 2 8 6" xfId="23202"/>
    <cellStyle name="Komma 2 2 9" xfId="1866"/>
    <cellStyle name="Komma 2 2 9 2" xfId="6854"/>
    <cellStyle name="Komma 2 2 9 2 2" xfId="17662"/>
    <cellStyle name="Komma 2 2 9 2 3" xfId="29019"/>
    <cellStyle name="Komma 2 2 9 3" xfId="12677"/>
    <cellStyle name="Komma 2 2 9 4" xfId="24035"/>
    <cellStyle name="Komma 2 20" xfId="33694"/>
    <cellStyle name="Komma 2 3" xfId="156"/>
    <cellStyle name="Komma 2 3 10" xfId="22407"/>
    <cellStyle name="Komma 2 3 11" xfId="33210"/>
    <cellStyle name="Komma 2 3 12" xfId="33483"/>
    <cellStyle name="Komma 2 3 13" xfId="33754"/>
    <cellStyle name="Komma 2 3 2" xfId="395"/>
    <cellStyle name="Komma 2 3 3" xfId="434"/>
    <cellStyle name="Komma 2 3 3 10" xfId="22607"/>
    <cellStyle name="Komma 2 3 3 2" xfId="988"/>
    <cellStyle name="Komma 2 3 3 2 2" xfId="1820"/>
    <cellStyle name="Komma 2 3 3 2 2 2" xfId="3485"/>
    <cellStyle name="Komma 2 3 3 2 2 2 2" xfId="8473"/>
    <cellStyle name="Komma 2 3 3 2 2 2 2 2" xfId="19280"/>
    <cellStyle name="Komma 2 3 3 2 2 2 2 3" xfId="30637"/>
    <cellStyle name="Komma 2 3 3 2 2 2 3" xfId="14295"/>
    <cellStyle name="Komma 2 3 3 2 2 2 4" xfId="25653"/>
    <cellStyle name="Komma 2 3 3 2 2 3" xfId="5149"/>
    <cellStyle name="Komma 2 3 3 2 2 3 2" xfId="10134"/>
    <cellStyle name="Komma 2 3 3 2 2 3 2 2" xfId="20941"/>
    <cellStyle name="Komma 2 3 3 2 2 3 2 3" xfId="32298"/>
    <cellStyle name="Komma 2 3 3 2 2 3 3" xfId="15956"/>
    <cellStyle name="Komma 2 3 3 2 2 3 4" xfId="27314"/>
    <cellStyle name="Komma 2 3 3 2 2 4" xfId="6811"/>
    <cellStyle name="Komma 2 3 3 2 2 4 2" xfId="17619"/>
    <cellStyle name="Komma 2 3 3 2 2 4 3" xfId="28976"/>
    <cellStyle name="Komma 2 3 3 2 2 5" xfId="12634"/>
    <cellStyle name="Komma 2 3 3 2 2 6" xfId="23992"/>
    <cellStyle name="Komma 2 3 3 2 3" xfId="2654"/>
    <cellStyle name="Komma 2 3 3 2 3 2" xfId="7642"/>
    <cellStyle name="Komma 2 3 3 2 3 2 2" xfId="18449"/>
    <cellStyle name="Komma 2 3 3 2 3 2 3" xfId="29806"/>
    <cellStyle name="Komma 2 3 3 2 3 3" xfId="13464"/>
    <cellStyle name="Komma 2 3 3 2 3 4" xfId="24822"/>
    <cellStyle name="Komma 2 3 3 2 4" xfId="4318"/>
    <cellStyle name="Komma 2 3 3 2 4 2" xfId="9303"/>
    <cellStyle name="Komma 2 3 3 2 4 2 2" xfId="20110"/>
    <cellStyle name="Komma 2 3 3 2 4 2 3" xfId="31467"/>
    <cellStyle name="Komma 2 3 3 2 4 3" xfId="15125"/>
    <cellStyle name="Komma 2 3 3 2 4 4" xfId="26483"/>
    <cellStyle name="Komma 2 3 3 2 5" xfId="5980"/>
    <cellStyle name="Komma 2 3 3 2 5 2" xfId="16788"/>
    <cellStyle name="Komma 2 3 3 2 5 3" xfId="28145"/>
    <cellStyle name="Komma 2 3 3 2 6" xfId="10967"/>
    <cellStyle name="Komma 2 3 3 2 6 2" xfId="21774"/>
    <cellStyle name="Komma 2 3 3 2 6 3" xfId="33131"/>
    <cellStyle name="Komma 2 3 3 2 7" xfId="11802"/>
    <cellStyle name="Komma 2 3 3 2 8" xfId="23161"/>
    <cellStyle name="Komma 2 3 3 3" xfId="1266"/>
    <cellStyle name="Komma 2 3 3 3 2" xfId="2931"/>
    <cellStyle name="Komma 2 3 3 3 2 2" xfId="7919"/>
    <cellStyle name="Komma 2 3 3 3 2 2 2" xfId="18726"/>
    <cellStyle name="Komma 2 3 3 3 2 2 3" xfId="30083"/>
    <cellStyle name="Komma 2 3 3 3 2 3" xfId="13741"/>
    <cellStyle name="Komma 2 3 3 3 2 4" xfId="25099"/>
    <cellStyle name="Komma 2 3 3 3 3" xfId="4595"/>
    <cellStyle name="Komma 2 3 3 3 3 2" xfId="9580"/>
    <cellStyle name="Komma 2 3 3 3 3 2 2" xfId="20387"/>
    <cellStyle name="Komma 2 3 3 3 3 2 3" xfId="31744"/>
    <cellStyle name="Komma 2 3 3 3 3 3" xfId="15402"/>
    <cellStyle name="Komma 2 3 3 3 3 4" xfId="26760"/>
    <cellStyle name="Komma 2 3 3 3 4" xfId="6257"/>
    <cellStyle name="Komma 2 3 3 3 4 2" xfId="17065"/>
    <cellStyle name="Komma 2 3 3 3 4 3" xfId="28422"/>
    <cellStyle name="Komma 2 3 3 3 5" xfId="12080"/>
    <cellStyle name="Komma 2 3 3 3 6" xfId="23438"/>
    <cellStyle name="Komma 2 3 3 4" xfId="2101"/>
    <cellStyle name="Komma 2 3 3 4 2" xfId="7089"/>
    <cellStyle name="Komma 2 3 3 4 2 2" xfId="17897"/>
    <cellStyle name="Komma 2 3 3 4 2 3" xfId="29254"/>
    <cellStyle name="Komma 2 3 3 4 3" xfId="12912"/>
    <cellStyle name="Komma 2 3 3 4 4" xfId="24270"/>
    <cellStyle name="Komma 2 3 3 5" xfId="3766"/>
    <cellStyle name="Komma 2 3 3 5 2" xfId="8751"/>
    <cellStyle name="Komma 2 3 3 5 2 2" xfId="19558"/>
    <cellStyle name="Komma 2 3 3 5 2 3" xfId="30915"/>
    <cellStyle name="Komma 2 3 3 5 3" xfId="14573"/>
    <cellStyle name="Komma 2 3 3 5 4" xfId="25931"/>
    <cellStyle name="Komma 2 3 3 6" xfId="5427"/>
    <cellStyle name="Komma 2 3 3 6 2" xfId="16236"/>
    <cellStyle name="Komma 2 3 3 6 3" xfId="27593"/>
    <cellStyle name="Komma 2 3 3 7" xfId="10413"/>
    <cellStyle name="Komma 2 3 3 7 2" xfId="21220"/>
    <cellStyle name="Komma 2 3 3 7 3" xfId="32577"/>
    <cellStyle name="Komma 2 3 3 8" xfId="11247"/>
    <cellStyle name="Komma 2 3 3 9" xfId="22054"/>
    <cellStyle name="Komma 2 3 4" xfId="196"/>
    <cellStyle name="Komma 2 3 4 2" xfId="1346"/>
    <cellStyle name="Komma 2 3 4 2 2" xfId="3011"/>
    <cellStyle name="Komma 2 3 4 2 2 2" xfId="7999"/>
    <cellStyle name="Komma 2 3 4 2 2 2 2" xfId="18806"/>
    <cellStyle name="Komma 2 3 4 2 2 2 3" xfId="30163"/>
    <cellStyle name="Komma 2 3 4 2 2 3" xfId="13821"/>
    <cellStyle name="Komma 2 3 4 2 2 4" xfId="25179"/>
    <cellStyle name="Komma 2 3 4 2 3" xfId="4675"/>
    <cellStyle name="Komma 2 3 4 2 3 2" xfId="9660"/>
    <cellStyle name="Komma 2 3 4 2 3 2 2" xfId="20467"/>
    <cellStyle name="Komma 2 3 4 2 3 2 3" xfId="31824"/>
    <cellStyle name="Komma 2 3 4 2 3 3" xfId="15482"/>
    <cellStyle name="Komma 2 3 4 2 3 4" xfId="26840"/>
    <cellStyle name="Komma 2 3 4 2 4" xfId="6337"/>
    <cellStyle name="Komma 2 3 4 2 4 2" xfId="17145"/>
    <cellStyle name="Komma 2 3 4 2 4 3" xfId="28502"/>
    <cellStyle name="Komma 2 3 4 2 5" xfId="12160"/>
    <cellStyle name="Komma 2 3 4 2 6" xfId="23518"/>
    <cellStyle name="Komma 2 3 4 3" xfId="1902"/>
    <cellStyle name="Komma 2 3 4 3 2" xfId="6890"/>
    <cellStyle name="Komma 2 3 4 3 2 2" xfId="17698"/>
    <cellStyle name="Komma 2 3 4 3 2 3" xfId="29055"/>
    <cellStyle name="Komma 2 3 4 3 3" xfId="12713"/>
    <cellStyle name="Komma 2 3 4 3 4" xfId="24071"/>
    <cellStyle name="Komma 2 3 4 4" xfId="3567"/>
    <cellStyle name="Komma 2 3 4 4 2" xfId="8552"/>
    <cellStyle name="Komma 2 3 4 4 2 2" xfId="19359"/>
    <cellStyle name="Komma 2 3 4 4 2 3" xfId="30716"/>
    <cellStyle name="Komma 2 3 4 4 3" xfId="14374"/>
    <cellStyle name="Komma 2 3 4 4 4" xfId="25732"/>
    <cellStyle name="Komma 2 3 4 5" xfId="5228"/>
    <cellStyle name="Komma 2 3 4 5 2" xfId="16037"/>
    <cellStyle name="Komma 2 3 4 5 3" xfId="27394"/>
    <cellStyle name="Komma 2 3 4 6" xfId="10493"/>
    <cellStyle name="Komma 2 3 4 6 2" xfId="21300"/>
    <cellStyle name="Komma 2 3 4 6 3" xfId="32657"/>
    <cellStyle name="Komma 2 3 4 7" xfId="11327"/>
    <cellStyle name="Komma 2 3 4 8" xfId="22133"/>
    <cellStyle name="Komma 2 3 4 9" xfId="22687"/>
    <cellStyle name="Komma 2 3 5" xfId="788"/>
    <cellStyle name="Komma 2 3 5 2" xfId="1620"/>
    <cellStyle name="Komma 2 3 5 2 2" xfId="3285"/>
    <cellStyle name="Komma 2 3 5 2 2 2" xfId="8273"/>
    <cellStyle name="Komma 2 3 5 2 2 2 2" xfId="19080"/>
    <cellStyle name="Komma 2 3 5 2 2 2 3" xfId="30437"/>
    <cellStyle name="Komma 2 3 5 2 2 3" xfId="14095"/>
    <cellStyle name="Komma 2 3 5 2 2 4" xfId="25453"/>
    <cellStyle name="Komma 2 3 5 2 3" xfId="4949"/>
    <cellStyle name="Komma 2 3 5 2 3 2" xfId="9934"/>
    <cellStyle name="Komma 2 3 5 2 3 2 2" xfId="20741"/>
    <cellStyle name="Komma 2 3 5 2 3 2 3" xfId="32098"/>
    <cellStyle name="Komma 2 3 5 2 3 3" xfId="15756"/>
    <cellStyle name="Komma 2 3 5 2 3 4" xfId="27114"/>
    <cellStyle name="Komma 2 3 5 2 4" xfId="6611"/>
    <cellStyle name="Komma 2 3 5 2 4 2" xfId="17419"/>
    <cellStyle name="Komma 2 3 5 2 4 3" xfId="28776"/>
    <cellStyle name="Komma 2 3 5 2 5" xfId="12434"/>
    <cellStyle name="Komma 2 3 5 2 6" xfId="23792"/>
    <cellStyle name="Komma 2 3 5 3" xfId="2454"/>
    <cellStyle name="Komma 2 3 5 3 2" xfId="7442"/>
    <cellStyle name="Komma 2 3 5 3 2 2" xfId="18249"/>
    <cellStyle name="Komma 2 3 5 3 2 3" xfId="29606"/>
    <cellStyle name="Komma 2 3 5 3 3" xfId="13264"/>
    <cellStyle name="Komma 2 3 5 3 4" xfId="24622"/>
    <cellStyle name="Komma 2 3 5 4" xfId="4118"/>
    <cellStyle name="Komma 2 3 5 4 2" xfId="9103"/>
    <cellStyle name="Komma 2 3 5 4 2 2" xfId="19910"/>
    <cellStyle name="Komma 2 3 5 4 2 3" xfId="31267"/>
    <cellStyle name="Komma 2 3 5 4 3" xfId="14925"/>
    <cellStyle name="Komma 2 3 5 4 4" xfId="26283"/>
    <cellStyle name="Komma 2 3 5 5" xfId="5780"/>
    <cellStyle name="Komma 2 3 5 5 2" xfId="16588"/>
    <cellStyle name="Komma 2 3 5 5 3" xfId="27945"/>
    <cellStyle name="Komma 2 3 5 6" xfId="10767"/>
    <cellStyle name="Komma 2 3 5 6 2" xfId="21574"/>
    <cellStyle name="Komma 2 3 5 6 3" xfId="32931"/>
    <cellStyle name="Komma 2 3 5 7" xfId="11602"/>
    <cellStyle name="Komma 2 3 5 8" xfId="22961"/>
    <cellStyle name="Komma 2 3 6" xfId="1067"/>
    <cellStyle name="Komma 2 3 6 2" xfId="2732"/>
    <cellStyle name="Komma 2 3 6 2 2" xfId="7720"/>
    <cellStyle name="Komma 2 3 6 2 2 2" xfId="18527"/>
    <cellStyle name="Komma 2 3 6 2 2 3" xfId="29884"/>
    <cellStyle name="Komma 2 3 6 2 3" xfId="13542"/>
    <cellStyle name="Komma 2 3 6 2 4" xfId="24900"/>
    <cellStyle name="Komma 2 3 6 3" xfId="4396"/>
    <cellStyle name="Komma 2 3 6 3 2" xfId="9381"/>
    <cellStyle name="Komma 2 3 6 3 2 2" xfId="20188"/>
    <cellStyle name="Komma 2 3 6 3 2 3" xfId="31545"/>
    <cellStyle name="Komma 2 3 6 3 3" xfId="15203"/>
    <cellStyle name="Komma 2 3 6 3 4" xfId="26561"/>
    <cellStyle name="Komma 2 3 6 4" xfId="6058"/>
    <cellStyle name="Komma 2 3 6 4 2" xfId="16866"/>
    <cellStyle name="Komma 2 3 6 4 3" xfId="28223"/>
    <cellStyle name="Komma 2 3 6 5" xfId="11881"/>
    <cellStyle name="Komma 2 3 6 6" xfId="23239"/>
    <cellStyle name="Komma 2 3 7" xfId="10213"/>
    <cellStyle name="Komma 2 3 7 2" xfId="21020"/>
    <cellStyle name="Komma 2 3 7 3" xfId="32377"/>
    <cellStyle name="Komma 2 3 8" xfId="11047"/>
    <cellStyle name="Komma 2 3 9" xfId="21854"/>
    <cellStyle name="Komma 2 4" xfId="250"/>
    <cellStyle name="Komma 2 4 10" xfId="21907"/>
    <cellStyle name="Komma 2 4 11" xfId="22460"/>
    <cellStyle name="Komma 2 4 12" xfId="33263"/>
    <cellStyle name="Komma 2 4 13" xfId="33538"/>
    <cellStyle name="Komma 2 4 14" xfId="33809"/>
    <cellStyle name="Komma 2 4 2" xfId="567"/>
    <cellStyle name="Komma 2 4 2 2" xfId="1399"/>
    <cellStyle name="Komma 2 4 2 2 2" xfId="3064"/>
    <cellStyle name="Komma 2 4 2 2 2 2" xfId="8052"/>
    <cellStyle name="Komma 2 4 2 2 2 2 2" xfId="18859"/>
    <cellStyle name="Komma 2 4 2 2 2 2 3" xfId="30216"/>
    <cellStyle name="Komma 2 4 2 2 2 3" xfId="13874"/>
    <cellStyle name="Komma 2 4 2 2 2 4" xfId="25232"/>
    <cellStyle name="Komma 2 4 2 2 3" xfId="4728"/>
    <cellStyle name="Komma 2 4 2 2 3 2" xfId="9713"/>
    <cellStyle name="Komma 2 4 2 2 3 2 2" xfId="20520"/>
    <cellStyle name="Komma 2 4 2 2 3 2 3" xfId="31877"/>
    <cellStyle name="Komma 2 4 2 2 3 3" xfId="15535"/>
    <cellStyle name="Komma 2 4 2 2 3 4" xfId="26893"/>
    <cellStyle name="Komma 2 4 2 2 4" xfId="6390"/>
    <cellStyle name="Komma 2 4 2 2 4 2" xfId="17198"/>
    <cellStyle name="Komma 2 4 2 2 4 3" xfId="28555"/>
    <cellStyle name="Komma 2 4 2 2 5" xfId="12213"/>
    <cellStyle name="Komma 2 4 2 2 6" xfId="23571"/>
    <cellStyle name="Komma 2 4 2 3" xfId="2233"/>
    <cellStyle name="Komma 2 4 2 3 2" xfId="7221"/>
    <cellStyle name="Komma 2 4 2 3 2 2" xfId="18028"/>
    <cellStyle name="Komma 2 4 2 3 2 3" xfId="29385"/>
    <cellStyle name="Komma 2 4 2 3 3" xfId="13043"/>
    <cellStyle name="Komma 2 4 2 3 4" xfId="24401"/>
    <cellStyle name="Komma 2 4 2 4" xfId="3897"/>
    <cellStyle name="Komma 2 4 2 4 2" xfId="8882"/>
    <cellStyle name="Komma 2 4 2 4 2 2" xfId="19689"/>
    <cellStyle name="Komma 2 4 2 4 2 3" xfId="31046"/>
    <cellStyle name="Komma 2 4 2 4 3" xfId="14704"/>
    <cellStyle name="Komma 2 4 2 4 4" xfId="26062"/>
    <cellStyle name="Komma 2 4 2 5" xfId="5559"/>
    <cellStyle name="Komma 2 4 2 5 2" xfId="16367"/>
    <cellStyle name="Komma 2 4 2 5 3" xfId="27724"/>
    <cellStyle name="Komma 2 4 2 6" xfId="10546"/>
    <cellStyle name="Komma 2 4 2 6 2" xfId="21353"/>
    <cellStyle name="Komma 2 4 2 6 3" xfId="32710"/>
    <cellStyle name="Komma 2 4 2 7" xfId="11380"/>
    <cellStyle name="Komma 2 4 2 8" xfId="22186"/>
    <cellStyle name="Komma 2 4 2 9" xfId="22740"/>
    <cellStyle name="Komma 2 4 3" xfId="841"/>
    <cellStyle name="Komma 2 4 3 2" xfId="1673"/>
    <cellStyle name="Komma 2 4 3 2 2" xfId="3338"/>
    <cellStyle name="Komma 2 4 3 2 2 2" xfId="8326"/>
    <cellStyle name="Komma 2 4 3 2 2 2 2" xfId="19133"/>
    <cellStyle name="Komma 2 4 3 2 2 2 3" xfId="30490"/>
    <cellStyle name="Komma 2 4 3 2 2 3" xfId="14148"/>
    <cellStyle name="Komma 2 4 3 2 2 4" xfId="25506"/>
    <cellStyle name="Komma 2 4 3 2 3" xfId="5002"/>
    <cellStyle name="Komma 2 4 3 2 3 2" xfId="9987"/>
    <cellStyle name="Komma 2 4 3 2 3 2 2" xfId="20794"/>
    <cellStyle name="Komma 2 4 3 2 3 2 3" xfId="32151"/>
    <cellStyle name="Komma 2 4 3 2 3 3" xfId="15809"/>
    <cellStyle name="Komma 2 4 3 2 3 4" xfId="27167"/>
    <cellStyle name="Komma 2 4 3 2 4" xfId="6664"/>
    <cellStyle name="Komma 2 4 3 2 4 2" xfId="17472"/>
    <cellStyle name="Komma 2 4 3 2 4 3" xfId="28829"/>
    <cellStyle name="Komma 2 4 3 2 5" xfId="12487"/>
    <cellStyle name="Komma 2 4 3 2 6" xfId="23845"/>
    <cellStyle name="Komma 2 4 3 3" xfId="2507"/>
    <cellStyle name="Komma 2 4 3 3 2" xfId="7495"/>
    <cellStyle name="Komma 2 4 3 3 2 2" xfId="18302"/>
    <cellStyle name="Komma 2 4 3 3 2 3" xfId="29659"/>
    <cellStyle name="Komma 2 4 3 3 3" xfId="13317"/>
    <cellStyle name="Komma 2 4 3 3 4" xfId="24675"/>
    <cellStyle name="Komma 2 4 3 4" xfId="4171"/>
    <cellStyle name="Komma 2 4 3 4 2" xfId="9156"/>
    <cellStyle name="Komma 2 4 3 4 2 2" xfId="19963"/>
    <cellStyle name="Komma 2 4 3 4 2 3" xfId="31320"/>
    <cellStyle name="Komma 2 4 3 4 3" xfId="14978"/>
    <cellStyle name="Komma 2 4 3 4 4" xfId="26336"/>
    <cellStyle name="Komma 2 4 3 5" xfId="5833"/>
    <cellStyle name="Komma 2 4 3 5 2" xfId="16641"/>
    <cellStyle name="Komma 2 4 3 5 3" xfId="27998"/>
    <cellStyle name="Komma 2 4 3 6" xfId="10820"/>
    <cellStyle name="Komma 2 4 3 6 2" xfId="21627"/>
    <cellStyle name="Komma 2 4 3 6 3" xfId="32984"/>
    <cellStyle name="Komma 2 4 3 7" xfId="11655"/>
    <cellStyle name="Komma 2 4 3 8" xfId="23014"/>
    <cellStyle name="Komma 2 4 4" xfId="1120"/>
    <cellStyle name="Komma 2 4 4 2" xfId="2785"/>
    <cellStyle name="Komma 2 4 4 2 2" xfId="7773"/>
    <cellStyle name="Komma 2 4 4 2 2 2" xfId="18580"/>
    <cellStyle name="Komma 2 4 4 2 2 3" xfId="29937"/>
    <cellStyle name="Komma 2 4 4 2 3" xfId="13595"/>
    <cellStyle name="Komma 2 4 4 2 4" xfId="24953"/>
    <cellStyle name="Komma 2 4 4 3" xfId="4449"/>
    <cellStyle name="Komma 2 4 4 3 2" xfId="9434"/>
    <cellStyle name="Komma 2 4 4 3 2 2" xfId="20241"/>
    <cellStyle name="Komma 2 4 4 3 2 3" xfId="31598"/>
    <cellStyle name="Komma 2 4 4 3 3" xfId="15256"/>
    <cellStyle name="Komma 2 4 4 3 4" xfId="26614"/>
    <cellStyle name="Komma 2 4 4 4" xfId="6111"/>
    <cellStyle name="Komma 2 4 4 4 2" xfId="16919"/>
    <cellStyle name="Komma 2 4 4 4 3" xfId="28276"/>
    <cellStyle name="Komma 2 4 4 5" xfId="11934"/>
    <cellStyle name="Komma 2 4 4 6" xfId="23292"/>
    <cellStyle name="Komma 2 4 5" xfId="1955"/>
    <cellStyle name="Komma 2 4 5 2" xfId="6943"/>
    <cellStyle name="Komma 2 4 5 2 2" xfId="17751"/>
    <cellStyle name="Komma 2 4 5 2 3" xfId="29108"/>
    <cellStyle name="Komma 2 4 5 3" xfId="12766"/>
    <cellStyle name="Komma 2 4 5 4" xfId="24124"/>
    <cellStyle name="Komma 2 4 6" xfId="3620"/>
    <cellStyle name="Komma 2 4 6 2" xfId="8605"/>
    <cellStyle name="Komma 2 4 6 2 2" xfId="19412"/>
    <cellStyle name="Komma 2 4 6 2 3" xfId="30769"/>
    <cellStyle name="Komma 2 4 6 3" xfId="14427"/>
    <cellStyle name="Komma 2 4 6 4" xfId="25785"/>
    <cellStyle name="Komma 2 4 7" xfId="5281"/>
    <cellStyle name="Komma 2 4 7 2" xfId="16090"/>
    <cellStyle name="Komma 2 4 7 3" xfId="27447"/>
    <cellStyle name="Komma 2 4 8" xfId="10266"/>
    <cellStyle name="Komma 2 4 8 2" xfId="21073"/>
    <cellStyle name="Komma 2 4 8 3" xfId="32430"/>
    <cellStyle name="Komma 2 4 9" xfId="11100"/>
    <cellStyle name="Komma 2 5" xfId="304"/>
    <cellStyle name="Komma 2 5 10" xfId="21961"/>
    <cellStyle name="Komma 2 5 11" xfId="22514"/>
    <cellStyle name="Komma 2 5 12" xfId="33317"/>
    <cellStyle name="Komma 2 5 13" xfId="33592"/>
    <cellStyle name="Komma 2 5 14" xfId="33863"/>
    <cellStyle name="Komma 2 5 2" xfId="621"/>
    <cellStyle name="Komma 2 5 2 2" xfId="1453"/>
    <cellStyle name="Komma 2 5 2 2 2" xfId="3118"/>
    <cellStyle name="Komma 2 5 2 2 2 2" xfId="8106"/>
    <cellStyle name="Komma 2 5 2 2 2 2 2" xfId="18913"/>
    <cellStyle name="Komma 2 5 2 2 2 2 3" xfId="30270"/>
    <cellStyle name="Komma 2 5 2 2 2 3" xfId="13928"/>
    <cellStyle name="Komma 2 5 2 2 2 4" xfId="25286"/>
    <cellStyle name="Komma 2 5 2 2 3" xfId="4782"/>
    <cellStyle name="Komma 2 5 2 2 3 2" xfId="9767"/>
    <cellStyle name="Komma 2 5 2 2 3 2 2" xfId="20574"/>
    <cellStyle name="Komma 2 5 2 2 3 2 3" xfId="31931"/>
    <cellStyle name="Komma 2 5 2 2 3 3" xfId="15589"/>
    <cellStyle name="Komma 2 5 2 2 3 4" xfId="26947"/>
    <cellStyle name="Komma 2 5 2 2 4" xfId="6444"/>
    <cellStyle name="Komma 2 5 2 2 4 2" xfId="17252"/>
    <cellStyle name="Komma 2 5 2 2 4 3" xfId="28609"/>
    <cellStyle name="Komma 2 5 2 2 5" xfId="12267"/>
    <cellStyle name="Komma 2 5 2 2 6" xfId="23625"/>
    <cellStyle name="Komma 2 5 2 3" xfId="2287"/>
    <cellStyle name="Komma 2 5 2 3 2" xfId="7275"/>
    <cellStyle name="Komma 2 5 2 3 2 2" xfId="18082"/>
    <cellStyle name="Komma 2 5 2 3 2 3" xfId="29439"/>
    <cellStyle name="Komma 2 5 2 3 3" xfId="13097"/>
    <cellStyle name="Komma 2 5 2 3 4" xfId="24455"/>
    <cellStyle name="Komma 2 5 2 4" xfId="3951"/>
    <cellStyle name="Komma 2 5 2 4 2" xfId="8936"/>
    <cellStyle name="Komma 2 5 2 4 2 2" xfId="19743"/>
    <cellStyle name="Komma 2 5 2 4 2 3" xfId="31100"/>
    <cellStyle name="Komma 2 5 2 4 3" xfId="14758"/>
    <cellStyle name="Komma 2 5 2 4 4" xfId="26116"/>
    <cellStyle name="Komma 2 5 2 5" xfId="5613"/>
    <cellStyle name="Komma 2 5 2 5 2" xfId="16421"/>
    <cellStyle name="Komma 2 5 2 5 3" xfId="27778"/>
    <cellStyle name="Komma 2 5 2 6" xfId="10600"/>
    <cellStyle name="Komma 2 5 2 6 2" xfId="21407"/>
    <cellStyle name="Komma 2 5 2 6 3" xfId="32764"/>
    <cellStyle name="Komma 2 5 2 7" xfId="11434"/>
    <cellStyle name="Komma 2 5 2 8" xfId="22240"/>
    <cellStyle name="Komma 2 5 2 9" xfId="22794"/>
    <cellStyle name="Komma 2 5 3" xfId="895"/>
    <cellStyle name="Komma 2 5 3 2" xfId="1727"/>
    <cellStyle name="Komma 2 5 3 2 2" xfId="3392"/>
    <cellStyle name="Komma 2 5 3 2 2 2" xfId="8380"/>
    <cellStyle name="Komma 2 5 3 2 2 2 2" xfId="19187"/>
    <cellStyle name="Komma 2 5 3 2 2 2 3" xfId="30544"/>
    <cellStyle name="Komma 2 5 3 2 2 3" xfId="14202"/>
    <cellStyle name="Komma 2 5 3 2 2 4" xfId="25560"/>
    <cellStyle name="Komma 2 5 3 2 3" xfId="5056"/>
    <cellStyle name="Komma 2 5 3 2 3 2" xfId="10041"/>
    <cellStyle name="Komma 2 5 3 2 3 2 2" xfId="20848"/>
    <cellStyle name="Komma 2 5 3 2 3 2 3" xfId="32205"/>
    <cellStyle name="Komma 2 5 3 2 3 3" xfId="15863"/>
    <cellStyle name="Komma 2 5 3 2 3 4" xfId="27221"/>
    <cellStyle name="Komma 2 5 3 2 4" xfId="6718"/>
    <cellStyle name="Komma 2 5 3 2 4 2" xfId="17526"/>
    <cellStyle name="Komma 2 5 3 2 4 3" xfId="28883"/>
    <cellStyle name="Komma 2 5 3 2 5" xfId="12541"/>
    <cellStyle name="Komma 2 5 3 2 6" xfId="23899"/>
    <cellStyle name="Komma 2 5 3 3" xfId="2561"/>
    <cellStyle name="Komma 2 5 3 3 2" xfId="7549"/>
    <cellStyle name="Komma 2 5 3 3 2 2" xfId="18356"/>
    <cellStyle name="Komma 2 5 3 3 2 3" xfId="29713"/>
    <cellStyle name="Komma 2 5 3 3 3" xfId="13371"/>
    <cellStyle name="Komma 2 5 3 3 4" xfId="24729"/>
    <cellStyle name="Komma 2 5 3 4" xfId="4225"/>
    <cellStyle name="Komma 2 5 3 4 2" xfId="9210"/>
    <cellStyle name="Komma 2 5 3 4 2 2" xfId="20017"/>
    <cellStyle name="Komma 2 5 3 4 2 3" xfId="31374"/>
    <cellStyle name="Komma 2 5 3 4 3" xfId="15032"/>
    <cellStyle name="Komma 2 5 3 4 4" xfId="26390"/>
    <cellStyle name="Komma 2 5 3 5" xfId="5887"/>
    <cellStyle name="Komma 2 5 3 5 2" xfId="16695"/>
    <cellStyle name="Komma 2 5 3 5 3" xfId="28052"/>
    <cellStyle name="Komma 2 5 3 6" xfId="10874"/>
    <cellStyle name="Komma 2 5 3 6 2" xfId="21681"/>
    <cellStyle name="Komma 2 5 3 6 3" xfId="33038"/>
    <cellStyle name="Komma 2 5 3 7" xfId="11709"/>
    <cellStyle name="Komma 2 5 3 8" xfId="23068"/>
    <cellStyle name="Komma 2 5 4" xfId="1174"/>
    <cellStyle name="Komma 2 5 4 2" xfId="2839"/>
    <cellStyle name="Komma 2 5 4 2 2" xfId="7827"/>
    <cellStyle name="Komma 2 5 4 2 2 2" xfId="18634"/>
    <cellStyle name="Komma 2 5 4 2 2 3" xfId="29991"/>
    <cellStyle name="Komma 2 5 4 2 3" xfId="13649"/>
    <cellStyle name="Komma 2 5 4 2 4" xfId="25007"/>
    <cellStyle name="Komma 2 5 4 3" xfId="4503"/>
    <cellStyle name="Komma 2 5 4 3 2" xfId="9488"/>
    <cellStyle name="Komma 2 5 4 3 2 2" xfId="20295"/>
    <cellStyle name="Komma 2 5 4 3 2 3" xfId="31652"/>
    <cellStyle name="Komma 2 5 4 3 3" xfId="15310"/>
    <cellStyle name="Komma 2 5 4 3 4" xfId="26668"/>
    <cellStyle name="Komma 2 5 4 4" xfId="6165"/>
    <cellStyle name="Komma 2 5 4 4 2" xfId="16973"/>
    <cellStyle name="Komma 2 5 4 4 3" xfId="28330"/>
    <cellStyle name="Komma 2 5 4 5" xfId="11988"/>
    <cellStyle name="Komma 2 5 4 6" xfId="23346"/>
    <cellStyle name="Komma 2 5 5" xfId="2009"/>
    <cellStyle name="Komma 2 5 5 2" xfId="6997"/>
    <cellStyle name="Komma 2 5 5 2 2" xfId="17805"/>
    <cellStyle name="Komma 2 5 5 2 3" xfId="29162"/>
    <cellStyle name="Komma 2 5 5 3" xfId="12820"/>
    <cellStyle name="Komma 2 5 5 4" xfId="24178"/>
    <cellStyle name="Komma 2 5 6" xfId="3674"/>
    <cellStyle name="Komma 2 5 6 2" xfId="8659"/>
    <cellStyle name="Komma 2 5 6 2 2" xfId="19466"/>
    <cellStyle name="Komma 2 5 6 2 3" xfId="30823"/>
    <cellStyle name="Komma 2 5 6 3" xfId="14481"/>
    <cellStyle name="Komma 2 5 6 4" xfId="25839"/>
    <cellStyle name="Komma 2 5 7" xfId="5335"/>
    <cellStyle name="Komma 2 5 7 2" xfId="16144"/>
    <cellStyle name="Komma 2 5 7 3" xfId="27501"/>
    <cellStyle name="Komma 2 5 8" xfId="10320"/>
    <cellStyle name="Komma 2 5 8 2" xfId="21127"/>
    <cellStyle name="Komma 2 5 8 3" xfId="32484"/>
    <cellStyle name="Komma 2 5 9" xfId="11154"/>
    <cellStyle name="Komma 2 6" xfId="360"/>
    <cellStyle name="Komma 2 6 10" xfId="22017"/>
    <cellStyle name="Komma 2 6 11" xfId="22570"/>
    <cellStyle name="Komma 2 6 12" xfId="33373"/>
    <cellStyle name="Komma 2 6 13" xfId="33648"/>
    <cellStyle name="Komma 2 6 14" xfId="33919"/>
    <cellStyle name="Komma 2 6 2" xfId="677"/>
    <cellStyle name="Komma 2 6 2 2" xfId="1509"/>
    <cellStyle name="Komma 2 6 2 2 2" xfId="3174"/>
    <cellStyle name="Komma 2 6 2 2 2 2" xfId="8162"/>
    <cellStyle name="Komma 2 6 2 2 2 2 2" xfId="18969"/>
    <cellStyle name="Komma 2 6 2 2 2 2 3" xfId="30326"/>
    <cellStyle name="Komma 2 6 2 2 2 3" xfId="13984"/>
    <cellStyle name="Komma 2 6 2 2 2 4" xfId="25342"/>
    <cellStyle name="Komma 2 6 2 2 3" xfId="4838"/>
    <cellStyle name="Komma 2 6 2 2 3 2" xfId="9823"/>
    <cellStyle name="Komma 2 6 2 2 3 2 2" xfId="20630"/>
    <cellStyle name="Komma 2 6 2 2 3 2 3" xfId="31987"/>
    <cellStyle name="Komma 2 6 2 2 3 3" xfId="15645"/>
    <cellStyle name="Komma 2 6 2 2 3 4" xfId="27003"/>
    <cellStyle name="Komma 2 6 2 2 4" xfId="6500"/>
    <cellStyle name="Komma 2 6 2 2 4 2" xfId="17308"/>
    <cellStyle name="Komma 2 6 2 2 4 3" xfId="28665"/>
    <cellStyle name="Komma 2 6 2 2 5" xfId="12323"/>
    <cellStyle name="Komma 2 6 2 2 6" xfId="23681"/>
    <cellStyle name="Komma 2 6 2 3" xfId="2343"/>
    <cellStyle name="Komma 2 6 2 3 2" xfId="7331"/>
    <cellStyle name="Komma 2 6 2 3 2 2" xfId="18138"/>
    <cellStyle name="Komma 2 6 2 3 2 3" xfId="29495"/>
    <cellStyle name="Komma 2 6 2 3 3" xfId="13153"/>
    <cellStyle name="Komma 2 6 2 3 4" xfId="24511"/>
    <cellStyle name="Komma 2 6 2 4" xfId="4007"/>
    <cellStyle name="Komma 2 6 2 4 2" xfId="8992"/>
    <cellStyle name="Komma 2 6 2 4 2 2" xfId="19799"/>
    <cellStyle name="Komma 2 6 2 4 2 3" xfId="31156"/>
    <cellStyle name="Komma 2 6 2 4 3" xfId="14814"/>
    <cellStyle name="Komma 2 6 2 4 4" xfId="26172"/>
    <cellStyle name="Komma 2 6 2 5" xfId="5669"/>
    <cellStyle name="Komma 2 6 2 5 2" xfId="16477"/>
    <cellStyle name="Komma 2 6 2 5 3" xfId="27834"/>
    <cellStyle name="Komma 2 6 2 6" xfId="10656"/>
    <cellStyle name="Komma 2 6 2 6 2" xfId="21463"/>
    <cellStyle name="Komma 2 6 2 6 3" xfId="32820"/>
    <cellStyle name="Komma 2 6 2 7" xfId="11490"/>
    <cellStyle name="Komma 2 6 2 8" xfId="22296"/>
    <cellStyle name="Komma 2 6 2 9" xfId="22850"/>
    <cellStyle name="Komma 2 6 3" xfId="951"/>
    <cellStyle name="Komma 2 6 3 2" xfId="1783"/>
    <cellStyle name="Komma 2 6 3 2 2" xfId="3448"/>
    <cellStyle name="Komma 2 6 3 2 2 2" xfId="8436"/>
    <cellStyle name="Komma 2 6 3 2 2 2 2" xfId="19243"/>
    <cellStyle name="Komma 2 6 3 2 2 2 3" xfId="30600"/>
    <cellStyle name="Komma 2 6 3 2 2 3" xfId="14258"/>
    <cellStyle name="Komma 2 6 3 2 2 4" xfId="25616"/>
    <cellStyle name="Komma 2 6 3 2 3" xfId="5112"/>
    <cellStyle name="Komma 2 6 3 2 3 2" xfId="10097"/>
    <cellStyle name="Komma 2 6 3 2 3 2 2" xfId="20904"/>
    <cellStyle name="Komma 2 6 3 2 3 2 3" xfId="32261"/>
    <cellStyle name="Komma 2 6 3 2 3 3" xfId="15919"/>
    <cellStyle name="Komma 2 6 3 2 3 4" xfId="27277"/>
    <cellStyle name="Komma 2 6 3 2 4" xfId="6774"/>
    <cellStyle name="Komma 2 6 3 2 4 2" xfId="17582"/>
    <cellStyle name="Komma 2 6 3 2 4 3" xfId="28939"/>
    <cellStyle name="Komma 2 6 3 2 5" xfId="12597"/>
    <cellStyle name="Komma 2 6 3 2 6" xfId="23955"/>
    <cellStyle name="Komma 2 6 3 3" xfId="2617"/>
    <cellStyle name="Komma 2 6 3 3 2" xfId="7605"/>
    <cellStyle name="Komma 2 6 3 3 2 2" xfId="18412"/>
    <cellStyle name="Komma 2 6 3 3 2 3" xfId="29769"/>
    <cellStyle name="Komma 2 6 3 3 3" xfId="13427"/>
    <cellStyle name="Komma 2 6 3 3 4" xfId="24785"/>
    <cellStyle name="Komma 2 6 3 4" xfId="4281"/>
    <cellStyle name="Komma 2 6 3 4 2" xfId="9266"/>
    <cellStyle name="Komma 2 6 3 4 2 2" xfId="20073"/>
    <cellStyle name="Komma 2 6 3 4 2 3" xfId="31430"/>
    <cellStyle name="Komma 2 6 3 4 3" xfId="15088"/>
    <cellStyle name="Komma 2 6 3 4 4" xfId="26446"/>
    <cellStyle name="Komma 2 6 3 5" xfId="5943"/>
    <cellStyle name="Komma 2 6 3 5 2" xfId="16751"/>
    <cellStyle name="Komma 2 6 3 5 3" xfId="28108"/>
    <cellStyle name="Komma 2 6 3 6" xfId="10930"/>
    <cellStyle name="Komma 2 6 3 6 2" xfId="21737"/>
    <cellStyle name="Komma 2 6 3 6 3" xfId="33094"/>
    <cellStyle name="Komma 2 6 3 7" xfId="11765"/>
    <cellStyle name="Komma 2 6 3 8" xfId="23124"/>
    <cellStyle name="Komma 2 6 4" xfId="1230"/>
    <cellStyle name="Komma 2 6 4 2" xfId="2895"/>
    <cellStyle name="Komma 2 6 4 2 2" xfId="7883"/>
    <cellStyle name="Komma 2 6 4 2 2 2" xfId="18690"/>
    <cellStyle name="Komma 2 6 4 2 2 3" xfId="30047"/>
    <cellStyle name="Komma 2 6 4 2 3" xfId="13705"/>
    <cellStyle name="Komma 2 6 4 2 4" xfId="25063"/>
    <cellStyle name="Komma 2 6 4 3" xfId="4559"/>
    <cellStyle name="Komma 2 6 4 3 2" xfId="9544"/>
    <cellStyle name="Komma 2 6 4 3 2 2" xfId="20351"/>
    <cellStyle name="Komma 2 6 4 3 2 3" xfId="31708"/>
    <cellStyle name="Komma 2 6 4 3 3" xfId="15366"/>
    <cellStyle name="Komma 2 6 4 3 4" xfId="26724"/>
    <cellStyle name="Komma 2 6 4 4" xfId="6221"/>
    <cellStyle name="Komma 2 6 4 4 2" xfId="17029"/>
    <cellStyle name="Komma 2 6 4 4 3" xfId="28386"/>
    <cellStyle name="Komma 2 6 4 5" xfId="12044"/>
    <cellStyle name="Komma 2 6 4 6" xfId="23402"/>
    <cellStyle name="Komma 2 6 5" xfId="2065"/>
    <cellStyle name="Komma 2 6 5 2" xfId="7053"/>
    <cellStyle name="Komma 2 6 5 2 2" xfId="17861"/>
    <cellStyle name="Komma 2 6 5 2 3" xfId="29218"/>
    <cellStyle name="Komma 2 6 5 3" xfId="12876"/>
    <cellStyle name="Komma 2 6 5 4" xfId="24234"/>
    <cellStyle name="Komma 2 6 6" xfId="3730"/>
    <cellStyle name="Komma 2 6 6 2" xfId="8715"/>
    <cellStyle name="Komma 2 6 6 2 2" xfId="19522"/>
    <cellStyle name="Komma 2 6 6 2 3" xfId="30879"/>
    <cellStyle name="Komma 2 6 6 3" xfId="14537"/>
    <cellStyle name="Komma 2 6 6 4" xfId="25895"/>
    <cellStyle name="Komma 2 6 7" xfId="5391"/>
    <cellStyle name="Komma 2 6 7 2" xfId="16200"/>
    <cellStyle name="Komma 2 6 7 3" xfId="27557"/>
    <cellStyle name="Komma 2 6 8" xfId="10376"/>
    <cellStyle name="Komma 2 6 8 2" xfId="21183"/>
    <cellStyle name="Komma 2 6 8 3" xfId="32540"/>
    <cellStyle name="Komma 2 6 9" xfId="11210"/>
    <cellStyle name="Komma 2 7" xfId="430"/>
    <cellStyle name="Komma 2 7 2" xfId="436"/>
    <cellStyle name="Komma 2 7 2 2" xfId="1268"/>
    <cellStyle name="Komma 2 7 2 2 2" xfId="2933"/>
    <cellStyle name="Komma 2 7 2 2 2 2" xfId="7921"/>
    <cellStyle name="Komma 2 7 2 2 2 2 2" xfId="18728"/>
    <cellStyle name="Komma 2 7 2 2 2 2 3" xfId="30085"/>
    <cellStyle name="Komma 2 7 2 2 2 3" xfId="13743"/>
    <cellStyle name="Komma 2 7 2 2 2 4" xfId="25101"/>
    <cellStyle name="Komma 2 7 2 2 3" xfId="4597"/>
    <cellStyle name="Komma 2 7 2 2 3 2" xfId="9582"/>
    <cellStyle name="Komma 2 7 2 2 3 2 2" xfId="20389"/>
    <cellStyle name="Komma 2 7 2 2 3 2 3" xfId="31746"/>
    <cellStyle name="Komma 2 7 2 2 3 3" xfId="15404"/>
    <cellStyle name="Komma 2 7 2 2 3 4" xfId="26762"/>
    <cellStyle name="Komma 2 7 2 2 4" xfId="6259"/>
    <cellStyle name="Komma 2 7 2 2 4 2" xfId="17067"/>
    <cellStyle name="Komma 2 7 2 2 4 3" xfId="28424"/>
    <cellStyle name="Komma 2 7 2 2 5" xfId="12082"/>
    <cellStyle name="Komma 2 7 2 2 6" xfId="23440"/>
    <cellStyle name="Komma 2 7 2 3" xfId="2103"/>
    <cellStyle name="Komma 2 7 2 3 2" xfId="7091"/>
    <cellStyle name="Komma 2 7 2 3 2 2" xfId="17899"/>
    <cellStyle name="Komma 2 7 2 3 2 3" xfId="29256"/>
    <cellStyle name="Komma 2 7 2 3 3" xfId="12914"/>
    <cellStyle name="Komma 2 7 2 3 4" xfId="24272"/>
    <cellStyle name="Komma 2 7 2 4" xfId="3768"/>
    <cellStyle name="Komma 2 7 2 4 2" xfId="8753"/>
    <cellStyle name="Komma 2 7 2 4 2 2" xfId="19560"/>
    <cellStyle name="Komma 2 7 2 4 2 3" xfId="30917"/>
    <cellStyle name="Komma 2 7 2 4 3" xfId="14575"/>
    <cellStyle name="Komma 2 7 2 4 4" xfId="25933"/>
    <cellStyle name="Komma 2 7 2 5" xfId="5429"/>
    <cellStyle name="Komma 2 7 2 5 2" xfId="16238"/>
    <cellStyle name="Komma 2 7 2 5 3" xfId="27595"/>
    <cellStyle name="Komma 2 7 2 6" xfId="10415"/>
    <cellStyle name="Komma 2 7 2 6 2" xfId="21222"/>
    <cellStyle name="Komma 2 7 2 6 3" xfId="32579"/>
    <cellStyle name="Komma 2 7 2 7" xfId="11804"/>
    <cellStyle name="Komma 2 7 2 8" xfId="22609"/>
    <cellStyle name="Komma 2 8" xfId="461"/>
    <cellStyle name="Komma 2 8 2" xfId="1291"/>
    <cellStyle name="Komma 2 8 2 2" xfId="2956"/>
    <cellStyle name="Komma 2 8 2 2 2" xfId="7944"/>
    <cellStyle name="Komma 2 8 2 2 2 2" xfId="18751"/>
    <cellStyle name="Komma 2 8 2 2 2 3" xfId="30108"/>
    <cellStyle name="Komma 2 8 2 2 3" xfId="13766"/>
    <cellStyle name="Komma 2 8 2 2 4" xfId="25124"/>
    <cellStyle name="Komma 2 8 2 3" xfId="4620"/>
    <cellStyle name="Komma 2 8 2 3 2" xfId="9605"/>
    <cellStyle name="Komma 2 8 2 3 2 2" xfId="20412"/>
    <cellStyle name="Komma 2 8 2 3 2 3" xfId="31769"/>
    <cellStyle name="Komma 2 8 2 3 3" xfId="15427"/>
    <cellStyle name="Komma 2 8 2 3 4" xfId="26785"/>
    <cellStyle name="Komma 2 8 2 4" xfId="6282"/>
    <cellStyle name="Komma 2 8 2 4 2" xfId="17090"/>
    <cellStyle name="Komma 2 8 2 4 3" xfId="28447"/>
    <cellStyle name="Komma 2 8 2 5" xfId="12105"/>
    <cellStyle name="Komma 2 8 2 6" xfId="23463"/>
    <cellStyle name="Komma 2 8 3" xfId="2127"/>
    <cellStyle name="Komma 2 8 3 2" xfId="7115"/>
    <cellStyle name="Komma 2 8 3 2 2" xfId="17922"/>
    <cellStyle name="Komma 2 8 3 2 3" xfId="29279"/>
    <cellStyle name="Komma 2 8 3 3" xfId="12937"/>
    <cellStyle name="Komma 2 8 3 4" xfId="24295"/>
    <cellStyle name="Komma 2 8 4" xfId="3791"/>
    <cellStyle name="Komma 2 8 4 2" xfId="8776"/>
    <cellStyle name="Komma 2 8 4 2 2" xfId="19583"/>
    <cellStyle name="Komma 2 8 4 2 3" xfId="30940"/>
    <cellStyle name="Komma 2 8 4 3" xfId="14598"/>
    <cellStyle name="Komma 2 8 4 4" xfId="25956"/>
    <cellStyle name="Komma 2 8 5" xfId="5453"/>
    <cellStyle name="Komma 2 8 5 2" xfId="16261"/>
    <cellStyle name="Komma 2 8 5 3" xfId="27618"/>
    <cellStyle name="Komma 2 8 6" xfId="10449"/>
    <cellStyle name="Komma 2 8 6 2" xfId="21256"/>
    <cellStyle name="Komma 2 8 6 3" xfId="32613"/>
    <cellStyle name="Komma 2 8 7" xfId="11272"/>
    <cellStyle name="Komma 2 8 8" xfId="22078"/>
    <cellStyle name="Komma 2 8 9" xfId="22632"/>
    <cellStyle name="Komma 2 9" xfId="733"/>
    <cellStyle name="Komma 2 9 2" xfId="1565"/>
    <cellStyle name="Komma 2 9 2 2" xfId="3230"/>
    <cellStyle name="Komma 2 9 2 2 2" xfId="8218"/>
    <cellStyle name="Komma 2 9 2 2 2 2" xfId="19025"/>
    <cellStyle name="Komma 2 9 2 2 2 3" xfId="30382"/>
    <cellStyle name="Komma 2 9 2 2 3" xfId="14040"/>
    <cellStyle name="Komma 2 9 2 2 4" xfId="25398"/>
    <cellStyle name="Komma 2 9 2 3" xfId="4894"/>
    <cellStyle name="Komma 2 9 2 3 2" xfId="9879"/>
    <cellStyle name="Komma 2 9 2 3 2 2" xfId="20686"/>
    <cellStyle name="Komma 2 9 2 3 2 3" xfId="32043"/>
    <cellStyle name="Komma 2 9 2 3 3" xfId="15701"/>
    <cellStyle name="Komma 2 9 2 3 4" xfId="27059"/>
    <cellStyle name="Komma 2 9 2 4" xfId="6556"/>
    <cellStyle name="Komma 2 9 2 4 2" xfId="17364"/>
    <cellStyle name="Komma 2 9 2 4 3" xfId="28721"/>
    <cellStyle name="Komma 2 9 2 5" xfId="12379"/>
    <cellStyle name="Komma 2 9 2 6" xfId="23737"/>
    <cellStyle name="Komma 2 9 3" xfId="2399"/>
    <cellStyle name="Komma 2 9 3 2" xfId="7387"/>
    <cellStyle name="Komma 2 9 3 2 2" xfId="18194"/>
    <cellStyle name="Komma 2 9 3 2 3" xfId="29551"/>
    <cellStyle name="Komma 2 9 3 3" xfId="13209"/>
    <cellStyle name="Komma 2 9 3 4" xfId="24567"/>
    <cellStyle name="Komma 2 9 4" xfId="4063"/>
    <cellStyle name="Komma 2 9 4 2" xfId="9048"/>
    <cellStyle name="Komma 2 9 4 2 2" xfId="19855"/>
    <cellStyle name="Komma 2 9 4 2 3" xfId="31212"/>
    <cellStyle name="Komma 2 9 4 3" xfId="14870"/>
    <cellStyle name="Komma 2 9 4 4" xfId="26228"/>
    <cellStyle name="Komma 2 9 5" xfId="5725"/>
    <cellStyle name="Komma 2 9 5 2" xfId="16533"/>
    <cellStyle name="Komma 2 9 5 3" xfId="27890"/>
    <cellStyle name="Komma 2 9 6" xfId="10712"/>
    <cellStyle name="Komma 2 9 6 2" xfId="21519"/>
    <cellStyle name="Komma 2 9 6 3" xfId="32876"/>
    <cellStyle name="Komma 2 9 7" xfId="11547"/>
    <cellStyle name="Komma 2 9 8" xfId="22906"/>
    <cellStyle name="Komma 2_Ark1" xfId="15959"/>
    <cellStyle name="Komma 20" xfId="33406"/>
    <cellStyle name="Komma 21" xfId="33953"/>
    <cellStyle name="Komma 22" xfId="33955"/>
    <cellStyle name="Komma 23" xfId="33957"/>
    <cellStyle name="Komma 3" xfId="85"/>
    <cellStyle name="Komma 3 2" xfId="157"/>
    <cellStyle name="Komma 3 3" xfId="409"/>
    <cellStyle name="Komma 4" xfId="68"/>
    <cellStyle name="Komma 4 10" xfId="3516"/>
    <cellStyle name="Komma 4 10 2" xfId="8501"/>
    <cellStyle name="Komma 4 10 2 2" xfId="19308"/>
    <cellStyle name="Komma 4 10 2 3" xfId="30665"/>
    <cellStyle name="Komma 4 10 3" xfId="14323"/>
    <cellStyle name="Komma 4 10 4" xfId="25681"/>
    <cellStyle name="Komma 4 11" xfId="5177"/>
    <cellStyle name="Komma 4 11 2" xfId="15986"/>
    <cellStyle name="Komma 4 11 3" xfId="27343"/>
    <cellStyle name="Komma 4 12" xfId="10161"/>
    <cellStyle name="Komma 4 12 2" xfId="20968"/>
    <cellStyle name="Komma 4 12 3" xfId="32325"/>
    <cellStyle name="Komma 4 13" xfId="10995"/>
    <cellStyle name="Komma 4 14" xfId="21802"/>
    <cellStyle name="Komma 4 15" xfId="22355"/>
    <cellStyle name="Komma 4 16" xfId="33158"/>
    <cellStyle name="Komma 4 17" xfId="33427"/>
    <cellStyle name="Komma 4 18" xfId="33698"/>
    <cellStyle name="Komma 4 2" xfId="120"/>
    <cellStyle name="Komma 4 2 10" xfId="22409"/>
    <cellStyle name="Komma 4 2 11" xfId="33212"/>
    <cellStyle name="Komma 4 2 12" xfId="33487"/>
    <cellStyle name="Komma 4 2 13" xfId="33758"/>
    <cellStyle name="Komma 4 2 2" xfId="394"/>
    <cellStyle name="Komma 4 2 3" xfId="435"/>
    <cellStyle name="Komma 4 2 3 10" xfId="22608"/>
    <cellStyle name="Komma 4 2 3 2" xfId="989"/>
    <cellStyle name="Komma 4 2 3 2 2" xfId="1821"/>
    <cellStyle name="Komma 4 2 3 2 2 2" xfId="3486"/>
    <cellStyle name="Komma 4 2 3 2 2 2 2" xfId="8474"/>
    <cellStyle name="Komma 4 2 3 2 2 2 2 2" xfId="19281"/>
    <cellStyle name="Komma 4 2 3 2 2 2 2 3" xfId="30638"/>
    <cellStyle name="Komma 4 2 3 2 2 2 3" xfId="14296"/>
    <cellStyle name="Komma 4 2 3 2 2 2 4" xfId="25654"/>
    <cellStyle name="Komma 4 2 3 2 2 3" xfId="5150"/>
    <cellStyle name="Komma 4 2 3 2 2 3 2" xfId="10135"/>
    <cellStyle name="Komma 4 2 3 2 2 3 2 2" xfId="20942"/>
    <cellStyle name="Komma 4 2 3 2 2 3 2 3" xfId="32299"/>
    <cellStyle name="Komma 4 2 3 2 2 3 3" xfId="15957"/>
    <cellStyle name="Komma 4 2 3 2 2 3 4" xfId="27315"/>
    <cellStyle name="Komma 4 2 3 2 2 4" xfId="6812"/>
    <cellStyle name="Komma 4 2 3 2 2 4 2" xfId="17620"/>
    <cellStyle name="Komma 4 2 3 2 2 4 3" xfId="28977"/>
    <cellStyle name="Komma 4 2 3 2 2 5" xfId="12635"/>
    <cellStyle name="Komma 4 2 3 2 2 6" xfId="23993"/>
    <cellStyle name="Komma 4 2 3 2 3" xfId="2655"/>
    <cellStyle name="Komma 4 2 3 2 3 2" xfId="7643"/>
    <cellStyle name="Komma 4 2 3 2 3 2 2" xfId="18450"/>
    <cellStyle name="Komma 4 2 3 2 3 2 3" xfId="29807"/>
    <cellStyle name="Komma 4 2 3 2 3 3" xfId="13465"/>
    <cellStyle name="Komma 4 2 3 2 3 4" xfId="24823"/>
    <cellStyle name="Komma 4 2 3 2 4" xfId="4319"/>
    <cellStyle name="Komma 4 2 3 2 4 2" xfId="9304"/>
    <cellStyle name="Komma 4 2 3 2 4 2 2" xfId="20111"/>
    <cellStyle name="Komma 4 2 3 2 4 2 3" xfId="31468"/>
    <cellStyle name="Komma 4 2 3 2 4 3" xfId="15126"/>
    <cellStyle name="Komma 4 2 3 2 4 4" xfId="26484"/>
    <cellStyle name="Komma 4 2 3 2 5" xfId="5981"/>
    <cellStyle name="Komma 4 2 3 2 5 2" xfId="16789"/>
    <cellStyle name="Komma 4 2 3 2 5 3" xfId="28146"/>
    <cellStyle name="Komma 4 2 3 2 6" xfId="10968"/>
    <cellStyle name="Komma 4 2 3 2 6 2" xfId="21775"/>
    <cellStyle name="Komma 4 2 3 2 6 3" xfId="33132"/>
    <cellStyle name="Komma 4 2 3 2 7" xfId="11803"/>
    <cellStyle name="Komma 4 2 3 2 8" xfId="23162"/>
    <cellStyle name="Komma 4 2 3 3" xfId="1267"/>
    <cellStyle name="Komma 4 2 3 3 2" xfId="2932"/>
    <cellStyle name="Komma 4 2 3 3 2 2" xfId="7920"/>
    <cellStyle name="Komma 4 2 3 3 2 2 2" xfId="18727"/>
    <cellStyle name="Komma 4 2 3 3 2 2 3" xfId="30084"/>
    <cellStyle name="Komma 4 2 3 3 2 3" xfId="13742"/>
    <cellStyle name="Komma 4 2 3 3 2 4" xfId="25100"/>
    <cellStyle name="Komma 4 2 3 3 3" xfId="4596"/>
    <cellStyle name="Komma 4 2 3 3 3 2" xfId="9581"/>
    <cellStyle name="Komma 4 2 3 3 3 2 2" xfId="20388"/>
    <cellStyle name="Komma 4 2 3 3 3 2 3" xfId="31745"/>
    <cellStyle name="Komma 4 2 3 3 3 3" xfId="15403"/>
    <cellStyle name="Komma 4 2 3 3 3 4" xfId="26761"/>
    <cellStyle name="Komma 4 2 3 3 4" xfId="6258"/>
    <cellStyle name="Komma 4 2 3 3 4 2" xfId="17066"/>
    <cellStyle name="Komma 4 2 3 3 4 3" xfId="28423"/>
    <cellStyle name="Komma 4 2 3 3 5" xfId="12081"/>
    <cellStyle name="Komma 4 2 3 3 6" xfId="23439"/>
    <cellStyle name="Komma 4 2 3 4" xfId="2102"/>
    <cellStyle name="Komma 4 2 3 4 2" xfId="7090"/>
    <cellStyle name="Komma 4 2 3 4 2 2" xfId="17898"/>
    <cellStyle name="Komma 4 2 3 4 2 3" xfId="29255"/>
    <cellStyle name="Komma 4 2 3 4 3" xfId="12913"/>
    <cellStyle name="Komma 4 2 3 4 4" xfId="24271"/>
    <cellStyle name="Komma 4 2 3 5" xfId="3767"/>
    <cellStyle name="Komma 4 2 3 5 2" xfId="8752"/>
    <cellStyle name="Komma 4 2 3 5 2 2" xfId="19559"/>
    <cellStyle name="Komma 4 2 3 5 2 3" xfId="30916"/>
    <cellStyle name="Komma 4 2 3 5 3" xfId="14574"/>
    <cellStyle name="Komma 4 2 3 5 4" xfId="25932"/>
    <cellStyle name="Komma 4 2 3 6" xfId="5428"/>
    <cellStyle name="Komma 4 2 3 6 2" xfId="16237"/>
    <cellStyle name="Komma 4 2 3 6 3" xfId="27594"/>
    <cellStyle name="Komma 4 2 3 7" xfId="10414"/>
    <cellStyle name="Komma 4 2 3 7 2" xfId="21221"/>
    <cellStyle name="Komma 4 2 3 7 3" xfId="32578"/>
    <cellStyle name="Komma 4 2 3 8" xfId="11248"/>
    <cellStyle name="Komma 4 2 3 9" xfId="22055"/>
    <cellStyle name="Komma 4 2 4" xfId="198"/>
    <cellStyle name="Komma 4 2 4 2" xfId="1348"/>
    <cellStyle name="Komma 4 2 4 2 2" xfId="3013"/>
    <cellStyle name="Komma 4 2 4 2 2 2" xfId="8001"/>
    <cellStyle name="Komma 4 2 4 2 2 2 2" xfId="18808"/>
    <cellStyle name="Komma 4 2 4 2 2 2 3" xfId="30165"/>
    <cellStyle name="Komma 4 2 4 2 2 3" xfId="13823"/>
    <cellStyle name="Komma 4 2 4 2 2 4" xfId="25181"/>
    <cellStyle name="Komma 4 2 4 2 3" xfId="4677"/>
    <cellStyle name="Komma 4 2 4 2 3 2" xfId="9662"/>
    <cellStyle name="Komma 4 2 4 2 3 2 2" xfId="20469"/>
    <cellStyle name="Komma 4 2 4 2 3 2 3" xfId="31826"/>
    <cellStyle name="Komma 4 2 4 2 3 3" xfId="15484"/>
    <cellStyle name="Komma 4 2 4 2 3 4" xfId="26842"/>
    <cellStyle name="Komma 4 2 4 2 4" xfId="6339"/>
    <cellStyle name="Komma 4 2 4 2 4 2" xfId="17147"/>
    <cellStyle name="Komma 4 2 4 2 4 3" xfId="28504"/>
    <cellStyle name="Komma 4 2 4 2 5" xfId="12162"/>
    <cellStyle name="Komma 4 2 4 2 6" xfId="23520"/>
    <cellStyle name="Komma 4 2 4 3" xfId="1904"/>
    <cellStyle name="Komma 4 2 4 3 2" xfId="6892"/>
    <cellStyle name="Komma 4 2 4 3 2 2" xfId="17700"/>
    <cellStyle name="Komma 4 2 4 3 2 3" xfId="29057"/>
    <cellStyle name="Komma 4 2 4 3 3" xfId="12715"/>
    <cellStyle name="Komma 4 2 4 3 4" xfId="24073"/>
    <cellStyle name="Komma 4 2 4 4" xfId="3569"/>
    <cellStyle name="Komma 4 2 4 4 2" xfId="8554"/>
    <cellStyle name="Komma 4 2 4 4 2 2" xfId="19361"/>
    <cellStyle name="Komma 4 2 4 4 2 3" xfId="30718"/>
    <cellStyle name="Komma 4 2 4 4 3" xfId="14376"/>
    <cellStyle name="Komma 4 2 4 4 4" xfId="25734"/>
    <cellStyle name="Komma 4 2 4 5" xfId="5230"/>
    <cellStyle name="Komma 4 2 4 5 2" xfId="16039"/>
    <cellStyle name="Komma 4 2 4 5 3" xfId="27396"/>
    <cellStyle name="Komma 4 2 4 6" xfId="10495"/>
    <cellStyle name="Komma 4 2 4 6 2" xfId="21302"/>
    <cellStyle name="Komma 4 2 4 6 3" xfId="32659"/>
    <cellStyle name="Komma 4 2 4 7" xfId="11329"/>
    <cellStyle name="Komma 4 2 4 8" xfId="22135"/>
    <cellStyle name="Komma 4 2 4 9" xfId="22689"/>
    <cellStyle name="Komma 4 2 5" xfId="790"/>
    <cellStyle name="Komma 4 2 5 2" xfId="1622"/>
    <cellStyle name="Komma 4 2 5 2 2" xfId="3287"/>
    <cellStyle name="Komma 4 2 5 2 2 2" xfId="8275"/>
    <cellStyle name="Komma 4 2 5 2 2 2 2" xfId="19082"/>
    <cellStyle name="Komma 4 2 5 2 2 2 3" xfId="30439"/>
    <cellStyle name="Komma 4 2 5 2 2 3" xfId="14097"/>
    <cellStyle name="Komma 4 2 5 2 2 4" xfId="25455"/>
    <cellStyle name="Komma 4 2 5 2 3" xfId="4951"/>
    <cellStyle name="Komma 4 2 5 2 3 2" xfId="9936"/>
    <cellStyle name="Komma 4 2 5 2 3 2 2" xfId="20743"/>
    <cellStyle name="Komma 4 2 5 2 3 2 3" xfId="32100"/>
    <cellStyle name="Komma 4 2 5 2 3 3" xfId="15758"/>
    <cellStyle name="Komma 4 2 5 2 3 4" xfId="27116"/>
    <cellStyle name="Komma 4 2 5 2 4" xfId="6613"/>
    <cellStyle name="Komma 4 2 5 2 4 2" xfId="17421"/>
    <cellStyle name="Komma 4 2 5 2 4 3" xfId="28778"/>
    <cellStyle name="Komma 4 2 5 2 5" xfId="12436"/>
    <cellStyle name="Komma 4 2 5 2 6" xfId="23794"/>
    <cellStyle name="Komma 4 2 5 3" xfId="2456"/>
    <cellStyle name="Komma 4 2 5 3 2" xfId="7444"/>
    <cellStyle name="Komma 4 2 5 3 2 2" xfId="18251"/>
    <cellStyle name="Komma 4 2 5 3 2 3" xfId="29608"/>
    <cellStyle name="Komma 4 2 5 3 3" xfId="13266"/>
    <cellStyle name="Komma 4 2 5 3 4" xfId="24624"/>
    <cellStyle name="Komma 4 2 5 4" xfId="4120"/>
    <cellStyle name="Komma 4 2 5 4 2" xfId="9105"/>
    <cellStyle name="Komma 4 2 5 4 2 2" xfId="19912"/>
    <cellStyle name="Komma 4 2 5 4 2 3" xfId="31269"/>
    <cellStyle name="Komma 4 2 5 4 3" xfId="14927"/>
    <cellStyle name="Komma 4 2 5 4 4" xfId="26285"/>
    <cellStyle name="Komma 4 2 5 5" xfId="5782"/>
    <cellStyle name="Komma 4 2 5 5 2" xfId="16590"/>
    <cellStyle name="Komma 4 2 5 5 3" xfId="27947"/>
    <cellStyle name="Komma 4 2 5 6" xfId="10769"/>
    <cellStyle name="Komma 4 2 5 6 2" xfId="21576"/>
    <cellStyle name="Komma 4 2 5 6 3" xfId="32933"/>
    <cellStyle name="Komma 4 2 5 7" xfId="11604"/>
    <cellStyle name="Komma 4 2 5 8" xfId="22963"/>
    <cellStyle name="Komma 4 2 6" xfId="1069"/>
    <cellStyle name="Komma 4 2 6 2" xfId="2734"/>
    <cellStyle name="Komma 4 2 6 2 2" xfId="7722"/>
    <cellStyle name="Komma 4 2 6 2 2 2" xfId="18529"/>
    <cellStyle name="Komma 4 2 6 2 2 3" xfId="29886"/>
    <cellStyle name="Komma 4 2 6 2 3" xfId="13544"/>
    <cellStyle name="Komma 4 2 6 2 4" xfId="24902"/>
    <cellStyle name="Komma 4 2 6 3" xfId="4398"/>
    <cellStyle name="Komma 4 2 6 3 2" xfId="9383"/>
    <cellStyle name="Komma 4 2 6 3 2 2" xfId="20190"/>
    <cellStyle name="Komma 4 2 6 3 2 3" xfId="31547"/>
    <cellStyle name="Komma 4 2 6 3 3" xfId="15205"/>
    <cellStyle name="Komma 4 2 6 3 4" xfId="26563"/>
    <cellStyle name="Komma 4 2 6 4" xfId="6060"/>
    <cellStyle name="Komma 4 2 6 4 2" xfId="16868"/>
    <cellStyle name="Komma 4 2 6 4 3" xfId="28225"/>
    <cellStyle name="Komma 4 2 6 5" xfId="11883"/>
    <cellStyle name="Komma 4 2 6 6" xfId="23241"/>
    <cellStyle name="Komma 4 2 7" xfId="10215"/>
    <cellStyle name="Komma 4 2 7 2" xfId="21022"/>
    <cellStyle name="Komma 4 2 7 3" xfId="32379"/>
    <cellStyle name="Komma 4 2 8" xfId="11049"/>
    <cellStyle name="Komma 4 2 9" xfId="21856"/>
    <cellStyle name="Komma 4 3" xfId="253"/>
    <cellStyle name="Komma 4 3 10" xfId="21910"/>
    <cellStyle name="Komma 4 3 11" xfId="22463"/>
    <cellStyle name="Komma 4 3 12" xfId="33266"/>
    <cellStyle name="Komma 4 3 13" xfId="33541"/>
    <cellStyle name="Komma 4 3 14" xfId="33812"/>
    <cellStyle name="Komma 4 3 2" xfId="570"/>
    <cellStyle name="Komma 4 3 2 2" xfId="1402"/>
    <cellStyle name="Komma 4 3 2 2 2" xfId="3067"/>
    <cellStyle name="Komma 4 3 2 2 2 2" xfId="8055"/>
    <cellStyle name="Komma 4 3 2 2 2 2 2" xfId="18862"/>
    <cellStyle name="Komma 4 3 2 2 2 2 3" xfId="30219"/>
    <cellStyle name="Komma 4 3 2 2 2 3" xfId="13877"/>
    <cellStyle name="Komma 4 3 2 2 2 4" xfId="25235"/>
    <cellStyle name="Komma 4 3 2 2 3" xfId="4731"/>
    <cellStyle name="Komma 4 3 2 2 3 2" xfId="9716"/>
    <cellStyle name="Komma 4 3 2 2 3 2 2" xfId="20523"/>
    <cellStyle name="Komma 4 3 2 2 3 2 3" xfId="31880"/>
    <cellStyle name="Komma 4 3 2 2 3 3" xfId="15538"/>
    <cellStyle name="Komma 4 3 2 2 3 4" xfId="26896"/>
    <cellStyle name="Komma 4 3 2 2 4" xfId="6393"/>
    <cellStyle name="Komma 4 3 2 2 4 2" xfId="17201"/>
    <cellStyle name="Komma 4 3 2 2 4 3" xfId="28558"/>
    <cellStyle name="Komma 4 3 2 2 5" xfId="12216"/>
    <cellStyle name="Komma 4 3 2 2 6" xfId="23574"/>
    <cellStyle name="Komma 4 3 2 3" xfId="2236"/>
    <cellStyle name="Komma 4 3 2 3 2" xfId="7224"/>
    <cellStyle name="Komma 4 3 2 3 2 2" xfId="18031"/>
    <cellStyle name="Komma 4 3 2 3 2 3" xfId="29388"/>
    <cellStyle name="Komma 4 3 2 3 3" xfId="13046"/>
    <cellStyle name="Komma 4 3 2 3 4" xfId="24404"/>
    <cellStyle name="Komma 4 3 2 4" xfId="3900"/>
    <cellStyle name="Komma 4 3 2 4 2" xfId="8885"/>
    <cellStyle name="Komma 4 3 2 4 2 2" xfId="19692"/>
    <cellStyle name="Komma 4 3 2 4 2 3" xfId="31049"/>
    <cellStyle name="Komma 4 3 2 4 3" xfId="14707"/>
    <cellStyle name="Komma 4 3 2 4 4" xfId="26065"/>
    <cellStyle name="Komma 4 3 2 5" xfId="5562"/>
    <cellStyle name="Komma 4 3 2 5 2" xfId="16370"/>
    <cellStyle name="Komma 4 3 2 5 3" xfId="27727"/>
    <cellStyle name="Komma 4 3 2 6" xfId="10549"/>
    <cellStyle name="Komma 4 3 2 6 2" xfId="21356"/>
    <cellStyle name="Komma 4 3 2 6 3" xfId="32713"/>
    <cellStyle name="Komma 4 3 2 7" xfId="11383"/>
    <cellStyle name="Komma 4 3 2 8" xfId="22189"/>
    <cellStyle name="Komma 4 3 2 9" xfId="22743"/>
    <cellStyle name="Komma 4 3 3" xfId="844"/>
    <cellStyle name="Komma 4 3 3 2" xfId="1676"/>
    <cellStyle name="Komma 4 3 3 2 2" xfId="3341"/>
    <cellStyle name="Komma 4 3 3 2 2 2" xfId="8329"/>
    <cellStyle name="Komma 4 3 3 2 2 2 2" xfId="19136"/>
    <cellStyle name="Komma 4 3 3 2 2 2 3" xfId="30493"/>
    <cellStyle name="Komma 4 3 3 2 2 3" xfId="14151"/>
    <cellStyle name="Komma 4 3 3 2 2 4" xfId="25509"/>
    <cellStyle name="Komma 4 3 3 2 3" xfId="5005"/>
    <cellStyle name="Komma 4 3 3 2 3 2" xfId="9990"/>
    <cellStyle name="Komma 4 3 3 2 3 2 2" xfId="20797"/>
    <cellStyle name="Komma 4 3 3 2 3 2 3" xfId="32154"/>
    <cellStyle name="Komma 4 3 3 2 3 3" xfId="15812"/>
    <cellStyle name="Komma 4 3 3 2 3 4" xfId="27170"/>
    <cellStyle name="Komma 4 3 3 2 4" xfId="6667"/>
    <cellStyle name="Komma 4 3 3 2 4 2" xfId="17475"/>
    <cellStyle name="Komma 4 3 3 2 4 3" xfId="28832"/>
    <cellStyle name="Komma 4 3 3 2 5" xfId="12490"/>
    <cellStyle name="Komma 4 3 3 2 6" xfId="23848"/>
    <cellStyle name="Komma 4 3 3 3" xfId="2510"/>
    <cellStyle name="Komma 4 3 3 3 2" xfId="7498"/>
    <cellStyle name="Komma 4 3 3 3 2 2" xfId="18305"/>
    <cellStyle name="Komma 4 3 3 3 2 3" xfId="29662"/>
    <cellStyle name="Komma 4 3 3 3 3" xfId="13320"/>
    <cellStyle name="Komma 4 3 3 3 4" xfId="24678"/>
    <cellStyle name="Komma 4 3 3 4" xfId="4174"/>
    <cellStyle name="Komma 4 3 3 4 2" xfId="9159"/>
    <cellStyle name="Komma 4 3 3 4 2 2" xfId="19966"/>
    <cellStyle name="Komma 4 3 3 4 2 3" xfId="31323"/>
    <cellStyle name="Komma 4 3 3 4 3" xfId="14981"/>
    <cellStyle name="Komma 4 3 3 4 4" xfId="26339"/>
    <cellStyle name="Komma 4 3 3 5" xfId="5836"/>
    <cellStyle name="Komma 4 3 3 5 2" xfId="16644"/>
    <cellStyle name="Komma 4 3 3 5 3" xfId="28001"/>
    <cellStyle name="Komma 4 3 3 6" xfId="10823"/>
    <cellStyle name="Komma 4 3 3 6 2" xfId="21630"/>
    <cellStyle name="Komma 4 3 3 6 3" xfId="32987"/>
    <cellStyle name="Komma 4 3 3 7" xfId="11658"/>
    <cellStyle name="Komma 4 3 3 8" xfId="23017"/>
    <cellStyle name="Komma 4 3 4" xfId="1123"/>
    <cellStyle name="Komma 4 3 4 2" xfId="2788"/>
    <cellStyle name="Komma 4 3 4 2 2" xfId="7776"/>
    <cellStyle name="Komma 4 3 4 2 2 2" xfId="18583"/>
    <cellStyle name="Komma 4 3 4 2 2 3" xfId="29940"/>
    <cellStyle name="Komma 4 3 4 2 3" xfId="13598"/>
    <cellStyle name="Komma 4 3 4 2 4" xfId="24956"/>
    <cellStyle name="Komma 4 3 4 3" xfId="4452"/>
    <cellStyle name="Komma 4 3 4 3 2" xfId="9437"/>
    <cellStyle name="Komma 4 3 4 3 2 2" xfId="20244"/>
    <cellStyle name="Komma 4 3 4 3 2 3" xfId="31601"/>
    <cellStyle name="Komma 4 3 4 3 3" xfId="15259"/>
    <cellStyle name="Komma 4 3 4 3 4" xfId="26617"/>
    <cellStyle name="Komma 4 3 4 4" xfId="6114"/>
    <cellStyle name="Komma 4 3 4 4 2" xfId="16922"/>
    <cellStyle name="Komma 4 3 4 4 3" xfId="28279"/>
    <cellStyle name="Komma 4 3 4 5" xfId="11937"/>
    <cellStyle name="Komma 4 3 4 6" xfId="23295"/>
    <cellStyle name="Komma 4 3 5" xfId="1958"/>
    <cellStyle name="Komma 4 3 5 2" xfId="6946"/>
    <cellStyle name="Komma 4 3 5 2 2" xfId="17754"/>
    <cellStyle name="Komma 4 3 5 2 3" xfId="29111"/>
    <cellStyle name="Komma 4 3 5 3" xfId="12769"/>
    <cellStyle name="Komma 4 3 5 4" xfId="24127"/>
    <cellStyle name="Komma 4 3 6" xfId="3623"/>
    <cellStyle name="Komma 4 3 6 2" xfId="8608"/>
    <cellStyle name="Komma 4 3 6 2 2" xfId="19415"/>
    <cellStyle name="Komma 4 3 6 2 3" xfId="30772"/>
    <cellStyle name="Komma 4 3 6 3" xfId="14430"/>
    <cellStyle name="Komma 4 3 6 4" xfId="25788"/>
    <cellStyle name="Komma 4 3 7" xfId="5284"/>
    <cellStyle name="Komma 4 3 7 2" xfId="16093"/>
    <cellStyle name="Komma 4 3 7 3" xfId="27450"/>
    <cellStyle name="Komma 4 3 8" xfId="10269"/>
    <cellStyle name="Komma 4 3 8 2" xfId="21076"/>
    <cellStyle name="Komma 4 3 8 3" xfId="32433"/>
    <cellStyle name="Komma 4 3 9" xfId="11103"/>
    <cellStyle name="Komma 4 4" xfId="308"/>
    <cellStyle name="Komma 4 4 10" xfId="21965"/>
    <cellStyle name="Komma 4 4 11" xfId="22518"/>
    <cellStyle name="Komma 4 4 12" xfId="33321"/>
    <cellStyle name="Komma 4 4 13" xfId="33596"/>
    <cellStyle name="Komma 4 4 14" xfId="33867"/>
    <cellStyle name="Komma 4 4 2" xfId="625"/>
    <cellStyle name="Komma 4 4 2 2" xfId="1457"/>
    <cellStyle name="Komma 4 4 2 2 2" xfId="3122"/>
    <cellStyle name="Komma 4 4 2 2 2 2" xfId="8110"/>
    <cellStyle name="Komma 4 4 2 2 2 2 2" xfId="18917"/>
    <cellStyle name="Komma 4 4 2 2 2 2 3" xfId="30274"/>
    <cellStyle name="Komma 4 4 2 2 2 3" xfId="13932"/>
    <cellStyle name="Komma 4 4 2 2 2 4" xfId="25290"/>
    <cellStyle name="Komma 4 4 2 2 3" xfId="4786"/>
    <cellStyle name="Komma 4 4 2 2 3 2" xfId="9771"/>
    <cellStyle name="Komma 4 4 2 2 3 2 2" xfId="20578"/>
    <cellStyle name="Komma 4 4 2 2 3 2 3" xfId="31935"/>
    <cellStyle name="Komma 4 4 2 2 3 3" xfId="15593"/>
    <cellStyle name="Komma 4 4 2 2 3 4" xfId="26951"/>
    <cellStyle name="Komma 4 4 2 2 4" xfId="6448"/>
    <cellStyle name="Komma 4 4 2 2 4 2" xfId="17256"/>
    <cellStyle name="Komma 4 4 2 2 4 3" xfId="28613"/>
    <cellStyle name="Komma 4 4 2 2 5" xfId="12271"/>
    <cellStyle name="Komma 4 4 2 2 6" xfId="23629"/>
    <cellStyle name="Komma 4 4 2 3" xfId="2291"/>
    <cellStyle name="Komma 4 4 2 3 2" xfId="7279"/>
    <cellStyle name="Komma 4 4 2 3 2 2" xfId="18086"/>
    <cellStyle name="Komma 4 4 2 3 2 3" xfId="29443"/>
    <cellStyle name="Komma 4 4 2 3 3" xfId="13101"/>
    <cellStyle name="Komma 4 4 2 3 4" xfId="24459"/>
    <cellStyle name="Komma 4 4 2 4" xfId="3955"/>
    <cellStyle name="Komma 4 4 2 4 2" xfId="8940"/>
    <cellStyle name="Komma 4 4 2 4 2 2" xfId="19747"/>
    <cellStyle name="Komma 4 4 2 4 2 3" xfId="31104"/>
    <cellStyle name="Komma 4 4 2 4 3" xfId="14762"/>
    <cellStyle name="Komma 4 4 2 4 4" xfId="26120"/>
    <cellStyle name="Komma 4 4 2 5" xfId="5617"/>
    <cellStyle name="Komma 4 4 2 5 2" xfId="16425"/>
    <cellStyle name="Komma 4 4 2 5 3" xfId="27782"/>
    <cellStyle name="Komma 4 4 2 6" xfId="10604"/>
    <cellStyle name="Komma 4 4 2 6 2" xfId="21411"/>
    <cellStyle name="Komma 4 4 2 6 3" xfId="32768"/>
    <cellStyle name="Komma 4 4 2 7" xfId="11438"/>
    <cellStyle name="Komma 4 4 2 8" xfId="22244"/>
    <cellStyle name="Komma 4 4 2 9" xfId="22798"/>
    <cellStyle name="Komma 4 4 3" xfId="899"/>
    <cellStyle name="Komma 4 4 3 2" xfId="1731"/>
    <cellStyle name="Komma 4 4 3 2 2" xfId="3396"/>
    <cellStyle name="Komma 4 4 3 2 2 2" xfId="8384"/>
    <cellStyle name="Komma 4 4 3 2 2 2 2" xfId="19191"/>
    <cellStyle name="Komma 4 4 3 2 2 2 3" xfId="30548"/>
    <cellStyle name="Komma 4 4 3 2 2 3" xfId="14206"/>
    <cellStyle name="Komma 4 4 3 2 2 4" xfId="25564"/>
    <cellStyle name="Komma 4 4 3 2 3" xfId="5060"/>
    <cellStyle name="Komma 4 4 3 2 3 2" xfId="10045"/>
    <cellStyle name="Komma 4 4 3 2 3 2 2" xfId="20852"/>
    <cellStyle name="Komma 4 4 3 2 3 2 3" xfId="32209"/>
    <cellStyle name="Komma 4 4 3 2 3 3" xfId="15867"/>
    <cellStyle name="Komma 4 4 3 2 3 4" xfId="27225"/>
    <cellStyle name="Komma 4 4 3 2 4" xfId="6722"/>
    <cellStyle name="Komma 4 4 3 2 4 2" xfId="17530"/>
    <cellStyle name="Komma 4 4 3 2 4 3" xfId="28887"/>
    <cellStyle name="Komma 4 4 3 2 5" xfId="12545"/>
    <cellStyle name="Komma 4 4 3 2 6" xfId="23903"/>
    <cellStyle name="Komma 4 4 3 3" xfId="2565"/>
    <cellStyle name="Komma 4 4 3 3 2" xfId="7553"/>
    <cellStyle name="Komma 4 4 3 3 2 2" xfId="18360"/>
    <cellStyle name="Komma 4 4 3 3 2 3" xfId="29717"/>
    <cellStyle name="Komma 4 4 3 3 3" xfId="13375"/>
    <cellStyle name="Komma 4 4 3 3 4" xfId="24733"/>
    <cellStyle name="Komma 4 4 3 4" xfId="4229"/>
    <cellStyle name="Komma 4 4 3 4 2" xfId="9214"/>
    <cellStyle name="Komma 4 4 3 4 2 2" xfId="20021"/>
    <cellStyle name="Komma 4 4 3 4 2 3" xfId="31378"/>
    <cellStyle name="Komma 4 4 3 4 3" xfId="15036"/>
    <cellStyle name="Komma 4 4 3 4 4" xfId="26394"/>
    <cellStyle name="Komma 4 4 3 5" xfId="5891"/>
    <cellStyle name="Komma 4 4 3 5 2" xfId="16699"/>
    <cellStyle name="Komma 4 4 3 5 3" xfId="28056"/>
    <cellStyle name="Komma 4 4 3 6" xfId="10878"/>
    <cellStyle name="Komma 4 4 3 6 2" xfId="21685"/>
    <cellStyle name="Komma 4 4 3 6 3" xfId="33042"/>
    <cellStyle name="Komma 4 4 3 7" xfId="11713"/>
    <cellStyle name="Komma 4 4 3 8" xfId="23072"/>
    <cellStyle name="Komma 4 4 4" xfId="1178"/>
    <cellStyle name="Komma 4 4 4 2" xfId="2843"/>
    <cellStyle name="Komma 4 4 4 2 2" xfId="7831"/>
    <cellStyle name="Komma 4 4 4 2 2 2" xfId="18638"/>
    <cellStyle name="Komma 4 4 4 2 2 3" xfId="29995"/>
    <cellStyle name="Komma 4 4 4 2 3" xfId="13653"/>
    <cellStyle name="Komma 4 4 4 2 4" xfId="25011"/>
    <cellStyle name="Komma 4 4 4 3" xfId="4507"/>
    <cellStyle name="Komma 4 4 4 3 2" xfId="9492"/>
    <cellStyle name="Komma 4 4 4 3 2 2" xfId="20299"/>
    <cellStyle name="Komma 4 4 4 3 2 3" xfId="31656"/>
    <cellStyle name="Komma 4 4 4 3 3" xfId="15314"/>
    <cellStyle name="Komma 4 4 4 3 4" xfId="26672"/>
    <cellStyle name="Komma 4 4 4 4" xfId="6169"/>
    <cellStyle name="Komma 4 4 4 4 2" xfId="16977"/>
    <cellStyle name="Komma 4 4 4 4 3" xfId="28334"/>
    <cellStyle name="Komma 4 4 4 5" xfId="11992"/>
    <cellStyle name="Komma 4 4 4 6" xfId="23350"/>
    <cellStyle name="Komma 4 4 5" xfId="2013"/>
    <cellStyle name="Komma 4 4 5 2" xfId="7001"/>
    <cellStyle name="Komma 4 4 5 2 2" xfId="17809"/>
    <cellStyle name="Komma 4 4 5 2 3" xfId="29166"/>
    <cellStyle name="Komma 4 4 5 3" xfId="12824"/>
    <cellStyle name="Komma 4 4 5 4" xfId="24182"/>
    <cellStyle name="Komma 4 4 6" xfId="3678"/>
    <cellStyle name="Komma 4 4 6 2" xfId="8663"/>
    <cellStyle name="Komma 4 4 6 2 2" xfId="19470"/>
    <cellStyle name="Komma 4 4 6 2 3" xfId="30827"/>
    <cellStyle name="Komma 4 4 6 3" xfId="14485"/>
    <cellStyle name="Komma 4 4 6 4" xfId="25843"/>
    <cellStyle name="Komma 4 4 7" xfId="5339"/>
    <cellStyle name="Komma 4 4 7 2" xfId="16148"/>
    <cellStyle name="Komma 4 4 7 3" xfId="27505"/>
    <cellStyle name="Komma 4 4 8" xfId="10324"/>
    <cellStyle name="Komma 4 4 8 2" xfId="21131"/>
    <cellStyle name="Komma 4 4 8 3" xfId="32488"/>
    <cellStyle name="Komma 4 4 9" xfId="11158"/>
    <cellStyle name="Komma 4 5" xfId="364"/>
    <cellStyle name="Komma 4 5 10" xfId="22021"/>
    <cellStyle name="Komma 4 5 11" xfId="22574"/>
    <cellStyle name="Komma 4 5 12" xfId="33377"/>
    <cellStyle name="Komma 4 5 13" xfId="33652"/>
    <cellStyle name="Komma 4 5 14" xfId="33923"/>
    <cellStyle name="Komma 4 5 2" xfId="681"/>
    <cellStyle name="Komma 4 5 2 2" xfId="1513"/>
    <cellStyle name="Komma 4 5 2 2 2" xfId="3178"/>
    <cellStyle name="Komma 4 5 2 2 2 2" xfId="8166"/>
    <cellStyle name="Komma 4 5 2 2 2 2 2" xfId="18973"/>
    <cellStyle name="Komma 4 5 2 2 2 2 3" xfId="30330"/>
    <cellStyle name="Komma 4 5 2 2 2 3" xfId="13988"/>
    <cellStyle name="Komma 4 5 2 2 2 4" xfId="25346"/>
    <cellStyle name="Komma 4 5 2 2 3" xfId="4842"/>
    <cellStyle name="Komma 4 5 2 2 3 2" xfId="9827"/>
    <cellStyle name="Komma 4 5 2 2 3 2 2" xfId="20634"/>
    <cellStyle name="Komma 4 5 2 2 3 2 3" xfId="31991"/>
    <cellStyle name="Komma 4 5 2 2 3 3" xfId="15649"/>
    <cellStyle name="Komma 4 5 2 2 3 4" xfId="27007"/>
    <cellStyle name="Komma 4 5 2 2 4" xfId="6504"/>
    <cellStyle name="Komma 4 5 2 2 4 2" xfId="17312"/>
    <cellStyle name="Komma 4 5 2 2 4 3" xfId="28669"/>
    <cellStyle name="Komma 4 5 2 2 5" xfId="12327"/>
    <cellStyle name="Komma 4 5 2 2 6" xfId="23685"/>
    <cellStyle name="Komma 4 5 2 3" xfId="2347"/>
    <cellStyle name="Komma 4 5 2 3 2" xfId="7335"/>
    <cellStyle name="Komma 4 5 2 3 2 2" xfId="18142"/>
    <cellStyle name="Komma 4 5 2 3 2 3" xfId="29499"/>
    <cellStyle name="Komma 4 5 2 3 3" xfId="13157"/>
    <cellStyle name="Komma 4 5 2 3 4" xfId="24515"/>
    <cellStyle name="Komma 4 5 2 4" xfId="4011"/>
    <cellStyle name="Komma 4 5 2 4 2" xfId="8996"/>
    <cellStyle name="Komma 4 5 2 4 2 2" xfId="19803"/>
    <cellStyle name="Komma 4 5 2 4 2 3" xfId="31160"/>
    <cellStyle name="Komma 4 5 2 4 3" xfId="14818"/>
    <cellStyle name="Komma 4 5 2 4 4" xfId="26176"/>
    <cellStyle name="Komma 4 5 2 5" xfId="5673"/>
    <cellStyle name="Komma 4 5 2 5 2" xfId="16481"/>
    <cellStyle name="Komma 4 5 2 5 3" xfId="27838"/>
    <cellStyle name="Komma 4 5 2 6" xfId="10660"/>
    <cellStyle name="Komma 4 5 2 6 2" xfId="21467"/>
    <cellStyle name="Komma 4 5 2 6 3" xfId="32824"/>
    <cellStyle name="Komma 4 5 2 7" xfId="11494"/>
    <cellStyle name="Komma 4 5 2 8" xfId="22300"/>
    <cellStyle name="Komma 4 5 2 9" xfId="22854"/>
    <cellStyle name="Komma 4 5 3" xfId="955"/>
    <cellStyle name="Komma 4 5 3 2" xfId="1787"/>
    <cellStyle name="Komma 4 5 3 2 2" xfId="3452"/>
    <cellStyle name="Komma 4 5 3 2 2 2" xfId="8440"/>
    <cellStyle name="Komma 4 5 3 2 2 2 2" xfId="19247"/>
    <cellStyle name="Komma 4 5 3 2 2 2 3" xfId="30604"/>
    <cellStyle name="Komma 4 5 3 2 2 3" xfId="14262"/>
    <cellStyle name="Komma 4 5 3 2 2 4" xfId="25620"/>
    <cellStyle name="Komma 4 5 3 2 3" xfId="5116"/>
    <cellStyle name="Komma 4 5 3 2 3 2" xfId="10101"/>
    <cellStyle name="Komma 4 5 3 2 3 2 2" xfId="20908"/>
    <cellStyle name="Komma 4 5 3 2 3 2 3" xfId="32265"/>
    <cellStyle name="Komma 4 5 3 2 3 3" xfId="15923"/>
    <cellStyle name="Komma 4 5 3 2 3 4" xfId="27281"/>
    <cellStyle name="Komma 4 5 3 2 4" xfId="6778"/>
    <cellStyle name="Komma 4 5 3 2 4 2" xfId="17586"/>
    <cellStyle name="Komma 4 5 3 2 4 3" xfId="28943"/>
    <cellStyle name="Komma 4 5 3 2 5" xfId="12601"/>
    <cellStyle name="Komma 4 5 3 2 6" xfId="23959"/>
    <cellStyle name="Komma 4 5 3 3" xfId="2621"/>
    <cellStyle name="Komma 4 5 3 3 2" xfId="7609"/>
    <cellStyle name="Komma 4 5 3 3 2 2" xfId="18416"/>
    <cellStyle name="Komma 4 5 3 3 2 3" xfId="29773"/>
    <cellStyle name="Komma 4 5 3 3 3" xfId="13431"/>
    <cellStyle name="Komma 4 5 3 3 4" xfId="24789"/>
    <cellStyle name="Komma 4 5 3 4" xfId="4285"/>
    <cellStyle name="Komma 4 5 3 4 2" xfId="9270"/>
    <cellStyle name="Komma 4 5 3 4 2 2" xfId="20077"/>
    <cellStyle name="Komma 4 5 3 4 2 3" xfId="31434"/>
    <cellStyle name="Komma 4 5 3 4 3" xfId="15092"/>
    <cellStyle name="Komma 4 5 3 4 4" xfId="26450"/>
    <cellStyle name="Komma 4 5 3 5" xfId="5947"/>
    <cellStyle name="Komma 4 5 3 5 2" xfId="16755"/>
    <cellStyle name="Komma 4 5 3 5 3" xfId="28112"/>
    <cellStyle name="Komma 4 5 3 6" xfId="10934"/>
    <cellStyle name="Komma 4 5 3 6 2" xfId="21741"/>
    <cellStyle name="Komma 4 5 3 6 3" xfId="33098"/>
    <cellStyle name="Komma 4 5 3 7" xfId="11769"/>
    <cellStyle name="Komma 4 5 3 8" xfId="23128"/>
    <cellStyle name="Komma 4 5 4" xfId="1234"/>
    <cellStyle name="Komma 4 5 4 2" xfId="2899"/>
    <cellStyle name="Komma 4 5 4 2 2" xfId="7887"/>
    <cellStyle name="Komma 4 5 4 2 2 2" xfId="18694"/>
    <cellStyle name="Komma 4 5 4 2 2 3" xfId="30051"/>
    <cellStyle name="Komma 4 5 4 2 3" xfId="13709"/>
    <cellStyle name="Komma 4 5 4 2 4" xfId="25067"/>
    <cellStyle name="Komma 4 5 4 3" xfId="4563"/>
    <cellStyle name="Komma 4 5 4 3 2" xfId="9548"/>
    <cellStyle name="Komma 4 5 4 3 2 2" xfId="20355"/>
    <cellStyle name="Komma 4 5 4 3 2 3" xfId="31712"/>
    <cellStyle name="Komma 4 5 4 3 3" xfId="15370"/>
    <cellStyle name="Komma 4 5 4 3 4" xfId="26728"/>
    <cellStyle name="Komma 4 5 4 4" xfId="6225"/>
    <cellStyle name="Komma 4 5 4 4 2" xfId="17033"/>
    <cellStyle name="Komma 4 5 4 4 3" xfId="28390"/>
    <cellStyle name="Komma 4 5 4 5" xfId="12048"/>
    <cellStyle name="Komma 4 5 4 6" xfId="23406"/>
    <cellStyle name="Komma 4 5 5" xfId="2069"/>
    <cellStyle name="Komma 4 5 5 2" xfId="7057"/>
    <cellStyle name="Komma 4 5 5 2 2" xfId="17865"/>
    <cellStyle name="Komma 4 5 5 2 3" xfId="29222"/>
    <cellStyle name="Komma 4 5 5 3" xfId="12880"/>
    <cellStyle name="Komma 4 5 5 4" xfId="24238"/>
    <cellStyle name="Komma 4 5 6" xfId="3734"/>
    <cellStyle name="Komma 4 5 6 2" xfId="8719"/>
    <cellStyle name="Komma 4 5 6 2 2" xfId="19526"/>
    <cellStyle name="Komma 4 5 6 2 3" xfId="30883"/>
    <cellStyle name="Komma 4 5 6 3" xfId="14541"/>
    <cellStyle name="Komma 4 5 6 4" xfId="25899"/>
    <cellStyle name="Komma 4 5 7" xfId="5395"/>
    <cellStyle name="Komma 4 5 7 2" xfId="16204"/>
    <cellStyle name="Komma 4 5 7 3" xfId="27561"/>
    <cellStyle name="Komma 4 5 8" xfId="10380"/>
    <cellStyle name="Komma 4 5 8 2" xfId="21187"/>
    <cellStyle name="Komma 4 5 8 3" xfId="32544"/>
    <cellStyle name="Komma 4 5 9" xfId="11214"/>
    <cellStyle name="Komma 4 6" xfId="464"/>
    <cellStyle name="Komma 4 6 2" xfId="1294"/>
    <cellStyle name="Komma 4 6 2 2" xfId="2959"/>
    <cellStyle name="Komma 4 6 2 2 2" xfId="7947"/>
    <cellStyle name="Komma 4 6 2 2 2 2" xfId="18754"/>
    <cellStyle name="Komma 4 6 2 2 2 3" xfId="30111"/>
    <cellStyle name="Komma 4 6 2 2 3" xfId="13769"/>
    <cellStyle name="Komma 4 6 2 2 4" xfId="25127"/>
    <cellStyle name="Komma 4 6 2 3" xfId="4623"/>
    <cellStyle name="Komma 4 6 2 3 2" xfId="9608"/>
    <cellStyle name="Komma 4 6 2 3 2 2" xfId="20415"/>
    <cellStyle name="Komma 4 6 2 3 2 3" xfId="31772"/>
    <cellStyle name="Komma 4 6 2 3 3" xfId="15430"/>
    <cellStyle name="Komma 4 6 2 3 4" xfId="26788"/>
    <cellStyle name="Komma 4 6 2 4" xfId="6285"/>
    <cellStyle name="Komma 4 6 2 4 2" xfId="17093"/>
    <cellStyle name="Komma 4 6 2 4 3" xfId="28450"/>
    <cellStyle name="Komma 4 6 2 5" xfId="12108"/>
    <cellStyle name="Komma 4 6 2 6" xfId="23466"/>
    <cellStyle name="Komma 4 6 3" xfId="2130"/>
    <cellStyle name="Komma 4 6 3 2" xfId="7118"/>
    <cellStyle name="Komma 4 6 3 2 2" xfId="17925"/>
    <cellStyle name="Komma 4 6 3 2 3" xfId="29282"/>
    <cellStyle name="Komma 4 6 3 3" xfId="12940"/>
    <cellStyle name="Komma 4 6 3 4" xfId="24298"/>
    <cellStyle name="Komma 4 6 4" xfId="3794"/>
    <cellStyle name="Komma 4 6 4 2" xfId="8779"/>
    <cellStyle name="Komma 4 6 4 2 2" xfId="19586"/>
    <cellStyle name="Komma 4 6 4 2 3" xfId="30943"/>
    <cellStyle name="Komma 4 6 4 3" xfId="14601"/>
    <cellStyle name="Komma 4 6 4 4" xfId="25959"/>
    <cellStyle name="Komma 4 6 5" xfId="5456"/>
    <cellStyle name="Komma 4 6 5 2" xfId="16264"/>
    <cellStyle name="Komma 4 6 5 3" xfId="27621"/>
    <cellStyle name="Komma 4 6 6" xfId="10423"/>
    <cellStyle name="Komma 4 6 6 2" xfId="21230"/>
    <cellStyle name="Komma 4 6 6 3" xfId="32587"/>
    <cellStyle name="Komma 4 6 7" xfId="11275"/>
    <cellStyle name="Komma 4 6 8" xfId="22081"/>
    <cellStyle name="Komma 4 6 9" xfId="22635"/>
    <cellStyle name="Komma 4 7" xfId="736"/>
    <cellStyle name="Komma 4 7 2" xfId="1568"/>
    <cellStyle name="Komma 4 7 2 2" xfId="3233"/>
    <cellStyle name="Komma 4 7 2 2 2" xfId="8221"/>
    <cellStyle name="Komma 4 7 2 2 2 2" xfId="19028"/>
    <cellStyle name="Komma 4 7 2 2 2 3" xfId="30385"/>
    <cellStyle name="Komma 4 7 2 2 3" xfId="14043"/>
    <cellStyle name="Komma 4 7 2 2 4" xfId="25401"/>
    <cellStyle name="Komma 4 7 2 3" xfId="4897"/>
    <cellStyle name="Komma 4 7 2 3 2" xfId="9882"/>
    <cellStyle name="Komma 4 7 2 3 2 2" xfId="20689"/>
    <cellStyle name="Komma 4 7 2 3 2 3" xfId="32046"/>
    <cellStyle name="Komma 4 7 2 3 3" xfId="15704"/>
    <cellStyle name="Komma 4 7 2 3 4" xfId="27062"/>
    <cellStyle name="Komma 4 7 2 4" xfId="6559"/>
    <cellStyle name="Komma 4 7 2 4 2" xfId="17367"/>
    <cellStyle name="Komma 4 7 2 4 3" xfId="28724"/>
    <cellStyle name="Komma 4 7 2 5" xfId="12382"/>
    <cellStyle name="Komma 4 7 2 6" xfId="23740"/>
    <cellStyle name="Komma 4 7 3" xfId="2402"/>
    <cellStyle name="Komma 4 7 3 2" xfId="7390"/>
    <cellStyle name="Komma 4 7 3 2 2" xfId="18197"/>
    <cellStyle name="Komma 4 7 3 2 3" xfId="29554"/>
    <cellStyle name="Komma 4 7 3 3" xfId="13212"/>
    <cellStyle name="Komma 4 7 3 4" xfId="24570"/>
    <cellStyle name="Komma 4 7 4" xfId="4066"/>
    <cellStyle name="Komma 4 7 4 2" xfId="9051"/>
    <cellStyle name="Komma 4 7 4 2 2" xfId="19858"/>
    <cellStyle name="Komma 4 7 4 2 3" xfId="31215"/>
    <cellStyle name="Komma 4 7 4 3" xfId="14873"/>
    <cellStyle name="Komma 4 7 4 4" xfId="26231"/>
    <cellStyle name="Komma 4 7 5" xfId="5728"/>
    <cellStyle name="Komma 4 7 5 2" xfId="16536"/>
    <cellStyle name="Komma 4 7 5 3" xfId="27893"/>
    <cellStyle name="Komma 4 7 6" xfId="10715"/>
    <cellStyle name="Komma 4 7 6 2" xfId="21522"/>
    <cellStyle name="Komma 4 7 6 3" xfId="32879"/>
    <cellStyle name="Komma 4 7 7" xfId="11550"/>
    <cellStyle name="Komma 4 7 8" xfId="22909"/>
    <cellStyle name="Komma 4 8" xfId="1015"/>
    <cellStyle name="Komma 4 8 2" xfId="2680"/>
    <cellStyle name="Komma 4 8 2 2" xfId="7668"/>
    <cellStyle name="Komma 4 8 2 2 2" xfId="18475"/>
    <cellStyle name="Komma 4 8 2 2 3" xfId="29832"/>
    <cellStyle name="Komma 4 8 2 3" xfId="13490"/>
    <cellStyle name="Komma 4 8 2 4" xfId="24848"/>
    <cellStyle name="Komma 4 8 3" xfId="4344"/>
    <cellStyle name="Komma 4 8 3 2" xfId="9329"/>
    <cellStyle name="Komma 4 8 3 2 2" xfId="20136"/>
    <cellStyle name="Komma 4 8 3 2 3" xfId="31493"/>
    <cellStyle name="Komma 4 8 3 3" xfId="15151"/>
    <cellStyle name="Komma 4 8 3 4" xfId="26509"/>
    <cellStyle name="Komma 4 8 4" xfId="6006"/>
    <cellStyle name="Komma 4 8 4 2" xfId="16814"/>
    <cellStyle name="Komma 4 8 4 3" xfId="28171"/>
    <cellStyle name="Komma 4 8 5" xfId="11829"/>
    <cellStyle name="Komma 4 8 6" xfId="23187"/>
    <cellStyle name="Komma 4 9" xfId="1851"/>
    <cellStyle name="Komma 4 9 2" xfId="6839"/>
    <cellStyle name="Komma 4 9 2 2" xfId="17647"/>
    <cellStyle name="Komma 4 9 2 3" xfId="29004"/>
    <cellStyle name="Komma 4 9 3" xfId="12662"/>
    <cellStyle name="Komma 4 9 4" xfId="24020"/>
    <cellStyle name="Komma 5" xfId="97"/>
    <cellStyle name="Komma 5 10" xfId="1034"/>
    <cellStyle name="Komma 5 10 2" xfId="2699"/>
    <cellStyle name="Komma 5 10 2 2" xfId="7687"/>
    <cellStyle name="Komma 5 10 2 2 2" xfId="18494"/>
    <cellStyle name="Komma 5 10 2 2 3" xfId="29851"/>
    <cellStyle name="Komma 5 10 2 3" xfId="13509"/>
    <cellStyle name="Komma 5 10 2 4" xfId="24867"/>
    <cellStyle name="Komma 5 10 3" xfId="4363"/>
    <cellStyle name="Komma 5 10 3 2" xfId="9348"/>
    <cellStyle name="Komma 5 10 3 2 2" xfId="20155"/>
    <cellStyle name="Komma 5 10 3 2 3" xfId="31512"/>
    <cellStyle name="Komma 5 10 3 3" xfId="15170"/>
    <cellStyle name="Komma 5 10 3 4" xfId="26528"/>
    <cellStyle name="Komma 5 10 4" xfId="6025"/>
    <cellStyle name="Komma 5 10 4 2" xfId="16833"/>
    <cellStyle name="Komma 5 10 4 3" xfId="28190"/>
    <cellStyle name="Komma 5 10 5" xfId="11848"/>
    <cellStyle name="Komma 5 10 6" xfId="23206"/>
    <cellStyle name="Komma 5 11" xfId="1870"/>
    <cellStyle name="Komma 5 11 2" xfId="6858"/>
    <cellStyle name="Komma 5 11 2 2" xfId="17666"/>
    <cellStyle name="Komma 5 11 2 3" xfId="29023"/>
    <cellStyle name="Komma 5 11 3" xfId="12681"/>
    <cellStyle name="Komma 5 11 4" xfId="24039"/>
    <cellStyle name="Komma 5 12" xfId="3535"/>
    <cellStyle name="Komma 5 12 2" xfId="8520"/>
    <cellStyle name="Komma 5 12 2 2" xfId="19327"/>
    <cellStyle name="Komma 5 12 2 3" xfId="30684"/>
    <cellStyle name="Komma 5 12 3" xfId="14342"/>
    <cellStyle name="Komma 5 12 4" xfId="25700"/>
    <cellStyle name="Komma 5 13" xfId="5196"/>
    <cellStyle name="Komma 5 13 2" xfId="16005"/>
    <cellStyle name="Komma 5 13 3" xfId="27362"/>
    <cellStyle name="Komma 5 14" xfId="10180"/>
    <cellStyle name="Komma 5 14 2" xfId="20987"/>
    <cellStyle name="Komma 5 14 3" xfId="32344"/>
    <cellStyle name="Komma 5 15" xfId="11014"/>
    <cellStyle name="Komma 5 16" xfId="21821"/>
    <cellStyle name="Komma 5 17" xfId="22374"/>
    <cellStyle name="Komma 5 18" xfId="33177"/>
    <cellStyle name="Komma 5 19" xfId="33451"/>
    <cellStyle name="Komma 5 2" xfId="217"/>
    <cellStyle name="Komma 5 2 10" xfId="21875"/>
    <cellStyle name="Komma 5 2 11" xfId="22428"/>
    <cellStyle name="Komma 5 2 12" xfId="33231"/>
    <cellStyle name="Komma 5 2 13" xfId="33506"/>
    <cellStyle name="Komma 5 2 14" xfId="33777"/>
    <cellStyle name="Komma 5 2 2" xfId="535"/>
    <cellStyle name="Komma 5 2 2 2" xfId="1367"/>
    <cellStyle name="Komma 5 2 2 2 2" xfId="3032"/>
    <cellStyle name="Komma 5 2 2 2 2 2" xfId="8020"/>
    <cellStyle name="Komma 5 2 2 2 2 2 2" xfId="18827"/>
    <cellStyle name="Komma 5 2 2 2 2 2 3" xfId="30184"/>
    <cellStyle name="Komma 5 2 2 2 2 3" xfId="13842"/>
    <cellStyle name="Komma 5 2 2 2 2 4" xfId="25200"/>
    <cellStyle name="Komma 5 2 2 2 3" xfId="4696"/>
    <cellStyle name="Komma 5 2 2 2 3 2" xfId="9681"/>
    <cellStyle name="Komma 5 2 2 2 3 2 2" xfId="20488"/>
    <cellStyle name="Komma 5 2 2 2 3 2 3" xfId="31845"/>
    <cellStyle name="Komma 5 2 2 2 3 3" xfId="15503"/>
    <cellStyle name="Komma 5 2 2 2 3 4" xfId="26861"/>
    <cellStyle name="Komma 5 2 2 2 4" xfId="6358"/>
    <cellStyle name="Komma 5 2 2 2 4 2" xfId="17166"/>
    <cellStyle name="Komma 5 2 2 2 4 3" xfId="28523"/>
    <cellStyle name="Komma 5 2 2 2 5" xfId="12181"/>
    <cellStyle name="Komma 5 2 2 2 6" xfId="23539"/>
    <cellStyle name="Komma 5 2 2 3" xfId="2201"/>
    <cellStyle name="Komma 5 2 2 3 2" xfId="7189"/>
    <cellStyle name="Komma 5 2 2 3 2 2" xfId="17996"/>
    <cellStyle name="Komma 5 2 2 3 2 3" xfId="29353"/>
    <cellStyle name="Komma 5 2 2 3 3" xfId="13011"/>
    <cellStyle name="Komma 5 2 2 3 4" xfId="24369"/>
    <cellStyle name="Komma 5 2 2 4" xfId="3865"/>
    <cellStyle name="Komma 5 2 2 4 2" xfId="8850"/>
    <cellStyle name="Komma 5 2 2 4 2 2" xfId="19657"/>
    <cellStyle name="Komma 5 2 2 4 2 3" xfId="31014"/>
    <cellStyle name="Komma 5 2 2 4 3" xfId="14672"/>
    <cellStyle name="Komma 5 2 2 4 4" xfId="26030"/>
    <cellStyle name="Komma 5 2 2 5" xfId="5527"/>
    <cellStyle name="Komma 5 2 2 5 2" xfId="16335"/>
    <cellStyle name="Komma 5 2 2 5 3" xfId="27692"/>
    <cellStyle name="Komma 5 2 2 6" xfId="10514"/>
    <cellStyle name="Komma 5 2 2 6 2" xfId="21321"/>
    <cellStyle name="Komma 5 2 2 6 3" xfId="32678"/>
    <cellStyle name="Komma 5 2 2 7" xfId="11348"/>
    <cellStyle name="Komma 5 2 2 8" xfId="22154"/>
    <cellStyle name="Komma 5 2 2 9" xfId="22708"/>
    <cellStyle name="Komma 5 2 3" xfId="809"/>
    <cellStyle name="Komma 5 2 3 2" xfId="1641"/>
    <cellStyle name="Komma 5 2 3 2 2" xfId="3306"/>
    <cellStyle name="Komma 5 2 3 2 2 2" xfId="8294"/>
    <cellStyle name="Komma 5 2 3 2 2 2 2" xfId="19101"/>
    <cellStyle name="Komma 5 2 3 2 2 2 3" xfId="30458"/>
    <cellStyle name="Komma 5 2 3 2 2 3" xfId="14116"/>
    <cellStyle name="Komma 5 2 3 2 2 4" xfId="25474"/>
    <cellStyle name="Komma 5 2 3 2 3" xfId="4970"/>
    <cellStyle name="Komma 5 2 3 2 3 2" xfId="9955"/>
    <cellStyle name="Komma 5 2 3 2 3 2 2" xfId="20762"/>
    <cellStyle name="Komma 5 2 3 2 3 2 3" xfId="32119"/>
    <cellStyle name="Komma 5 2 3 2 3 3" xfId="15777"/>
    <cellStyle name="Komma 5 2 3 2 3 4" xfId="27135"/>
    <cellStyle name="Komma 5 2 3 2 4" xfId="6632"/>
    <cellStyle name="Komma 5 2 3 2 4 2" xfId="17440"/>
    <cellStyle name="Komma 5 2 3 2 4 3" xfId="28797"/>
    <cellStyle name="Komma 5 2 3 2 5" xfId="12455"/>
    <cellStyle name="Komma 5 2 3 2 6" xfId="23813"/>
    <cellStyle name="Komma 5 2 3 3" xfId="2475"/>
    <cellStyle name="Komma 5 2 3 3 2" xfId="7463"/>
    <cellStyle name="Komma 5 2 3 3 2 2" xfId="18270"/>
    <cellStyle name="Komma 5 2 3 3 2 3" xfId="29627"/>
    <cellStyle name="Komma 5 2 3 3 3" xfId="13285"/>
    <cellStyle name="Komma 5 2 3 3 4" xfId="24643"/>
    <cellStyle name="Komma 5 2 3 4" xfId="4139"/>
    <cellStyle name="Komma 5 2 3 4 2" xfId="9124"/>
    <cellStyle name="Komma 5 2 3 4 2 2" xfId="19931"/>
    <cellStyle name="Komma 5 2 3 4 2 3" xfId="31288"/>
    <cellStyle name="Komma 5 2 3 4 3" xfId="14946"/>
    <cellStyle name="Komma 5 2 3 4 4" xfId="26304"/>
    <cellStyle name="Komma 5 2 3 5" xfId="5801"/>
    <cellStyle name="Komma 5 2 3 5 2" xfId="16609"/>
    <cellStyle name="Komma 5 2 3 5 3" xfId="27966"/>
    <cellStyle name="Komma 5 2 3 6" xfId="10788"/>
    <cellStyle name="Komma 5 2 3 6 2" xfId="21595"/>
    <cellStyle name="Komma 5 2 3 6 3" xfId="32952"/>
    <cellStyle name="Komma 5 2 3 7" xfId="11623"/>
    <cellStyle name="Komma 5 2 3 8" xfId="22982"/>
    <cellStyle name="Komma 5 2 4" xfId="1088"/>
    <cellStyle name="Komma 5 2 4 2" xfId="2753"/>
    <cellStyle name="Komma 5 2 4 2 2" xfId="7741"/>
    <cellStyle name="Komma 5 2 4 2 2 2" xfId="18548"/>
    <cellStyle name="Komma 5 2 4 2 2 3" xfId="29905"/>
    <cellStyle name="Komma 5 2 4 2 3" xfId="13563"/>
    <cellStyle name="Komma 5 2 4 2 4" xfId="24921"/>
    <cellStyle name="Komma 5 2 4 3" xfId="4417"/>
    <cellStyle name="Komma 5 2 4 3 2" xfId="9402"/>
    <cellStyle name="Komma 5 2 4 3 2 2" xfId="20209"/>
    <cellStyle name="Komma 5 2 4 3 2 3" xfId="31566"/>
    <cellStyle name="Komma 5 2 4 3 3" xfId="15224"/>
    <cellStyle name="Komma 5 2 4 3 4" xfId="26582"/>
    <cellStyle name="Komma 5 2 4 4" xfId="6079"/>
    <cellStyle name="Komma 5 2 4 4 2" xfId="16887"/>
    <cellStyle name="Komma 5 2 4 4 3" xfId="28244"/>
    <cellStyle name="Komma 5 2 4 5" xfId="11902"/>
    <cellStyle name="Komma 5 2 4 6" xfId="23260"/>
    <cellStyle name="Komma 5 2 5" xfId="1923"/>
    <cellStyle name="Komma 5 2 5 2" xfId="6911"/>
    <cellStyle name="Komma 5 2 5 2 2" xfId="17719"/>
    <cellStyle name="Komma 5 2 5 2 3" xfId="29076"/>
    <cellStyle name="Komma 5 2 5 3" xfId="12734"/>
    <cellStyle name="Komma 5 2 5 4" xfId="24092"/>
    <cellStyle name="Komma 5 2 6" xfId="3588"/>
    <cellStyle name="Komma 5 2 6 2" xfId="8573"/>
    <cellStyle name="Komma 5 2 6 2 2" xfId="19380"/>
    <cellStyle name="Komma 5 2 6 2 3" xfId="30737"/>
    <cellStyle name="Komma 5 2 6 3" xfId="14395"/>
    <cellStyle name="Komma 5 2 6 4" xfId="25753"/>
    <cellStyle name="Komma 5 2 7" xfId="5249"/>
    <cellStyle name="Komma 5 2 7 2" xfId="16058"/>
    <cellStyle name="Komma 5 2 7 3" xfId="27415"/>
    <cellStyle name="Komma 5 2 8" xfId="10234"/>
    <cellStyle name="Komma 5 2 8 2" xfId="21041"/>
    <cellStyle name="Komma 5 2 8 3" xfId="32398"/>
    <cellStyle name="Komma 5 2 9" xfId="11068"/>
    <cellStyle name="Komma 5 20" xfId="33722"/>
    <cellStyle name="Komma 5 3" xfId="272"/>
    <cellStyle name="Komma 5 3 10" xfId="21929"/>
    <cellStyle name="Komma 5 3 11" xfId="22482"/>
    <cellStyle name="Komma 5 3 12" xfId="33285"/>
    <cellStyle name="Komma 5 3 13" xfId="33560"/>
    <cellStyle name="Komma 5 3 14" xfId="33831"/>
    <cellStyle name="Komma 5 3 2" xfId="589"/>
    <cellStyle name="Komma 5 3 2 2" xfId="1421"/>
    <cellStyle name="Komma 5 3 2 2 2" xfId="3086"/>
    <cellStyle name="Komma 5 3 2 2 2 2" xfId="8074"/>
    <cellStyle name="Komma 5 3 2 2 2 2 2" xfId="18881"/>
    <cellStyle name="Komma 5 3 2 2 2 2 3" xfId="30238"/>
    <cellStyle name="Komma 5 3 2 2 2 3" xfId="13896"/>
    <cellStyle name="Komma 5 3 2 2 2 4" xfId="25254"/>
    <cellStyle name="Komma 5 3 2 2 3" xfId="4750"/>
    <cellStyle name="Komma 5 3 2 2 3 2" xfId="9735"/>
    <cellStyle name="Komma 5 3 2 2 3 2 2" xfId="20542"/>
    <cellStyle name="Komma 5 3 2 2 3 2 3" xfId="31899"/>
    <cellStyle name="Komma 5 3 2 2 3 3" xfId="15557"/>
    <cellStyle name="Komma 5 3 2 2 3 4" xfId="26915"/>
    <cellStyle name="Komma 5 3 2 2 4" xfId="6412"/>
    <cellStyle name="Komma 5 3 2 2 4 2" xfId="17220"/>
    <cellStyle name="Komma 5 3 2 2 4 3" xfId="28577"/>
    <cellStyle name="Komma 5 3 2 2 5" xfId="12235"/>
    <cellStyle name="Komma 5 3 2 2 6" xfId="23593"/>
    <cellStyle name="Komma 5 3 2 3" xfId="2255"/>
    <cellStyle name="Komma 5 3 2 3 2" xfId="7243"/>
    <cellStyle name="Komma 5 3 2 3 2 2" xfId="18050"/>
    <cellStyle name="Komma 5 3 2 3 2 3" xfId="29407"/>
    <cellStyle name="Komma 5 3 2 3 3" xfId="13065"/>
    <cellStyle name="Komma 5 3 2 3 4" xfId="24423"/>
    <cellStyle name="Komma 5 3 2 4" xfId="3919"/>
    <cellStyle name="Komma 5 3 2 4 2" xfId="8904"/>
    <cellStyle name="Komma 5 3 2 4 2 2" xfId="19711"/>
    <cellStyle name="Komma 5 3 2 4 2 3" xfId="31068"/>
    <cellStyle name="Komma 5 3 2 4 3" xfId="14726"/>
    <cellStyle name="Komma 5 3 2 4 4" xfId="26084"/>
    <cellStyle name="Komma 5 3 2 5" xfId="5581"/>
    <cellStyle name="Komma 5 3 2 5 2" xfId="16389"/>
    <cellStyle name="Komma 5 3 2 5 3" xfId="27746"/>
    <cellStyle name="Komma 5 3 2 6" xfId="10568"/>
    <cellStyle name="Komma 5 3 2 6 2" xfId="21375"/>
    <cellStyle name="Komma 5 3 2 6 3" xfId="32732"/>
    <cellStyle name="Komma 5 3 2 7" xfId="11402"/>
    <cellStyle name="Komma 5 3 2 8" xfId="22208"/>
    <cellStyle name="Komma 5 3 2 9" xfId="22762"/>
    <cellStyle name="Komma 5 3 3" xfId="863"/>
    <cellStyle name="Komma 5 3 3 2" xfId="1695"/>
    <cellStyle name="Komma 5 3 3 2 2" xfId="3360"/>
    <cellStyle name="Komma 5 3 3 2 2 2" xfId="8348"/>
    <cellStyle name="Komma 5 3 3 2 2 2 2" xfId="19155"/>
    <cellStyle name="Komma 5 3 3 2 2 2 3" xfId="30512"/>
    <cellStyle name="Komma 5 3 3 2 2 3" xfId="14170"/>
    <cellStyle name="Komma 5 3 3 2 2 4" xfId="25528"/>
    <cellStyle name="Komma 5 3 3 2 3" xfId="5024"/>
    <cellStyle name="Komma 5 3 3 2 3 2" xfId="10009"/>
    <cellStyle name="Komma 5 3 3 2 3 2 2" xfId="20816"/>
    <cellStyle name="Komma 5 3 3 2 3 2 3" xfId="32173"/>
    <cellStyle name="Komma 5 3 3 2 3 3" xfId="15831"/>
    <cellStyle name="Komma 5 3 3 2 3 4" xfId="27189"/>
    <cellStyle name="Komma 5 3 3 2 4" xfId="6686"/>
    <cellStyle name="Komma 5 3 3 2 4 2" xfId="17494"/>
    <cellStyle name="Komma 5 3 3 2 4 3" xfId="28851"/>
    <cellStyle name="Komma 5 3 3 2 5" xfId="12509"/>
    <cellStyle name="Komma 5 3 3 2 6" xfId="23867"/>
    <cellStyle name="Komma 5 3 3 3" xfId="2529"/>
    <cellStyle name="Komma 5 3 3 3 2" xfId="7517"/>
    <cellStyle name="Komma 5 3 3 3 2 2" xfId="18324"/>
    <cellStyle name="Komma 5 3 3 3 2 3" xfId="29681"/>
    <cellStyle name="Komma 5 3 3 3 3" xfId="13339"/>
    <cellStyle name="Komma 5 3 3 3 4" xfId="24697"/>
    <cellStyle name="Komma 5 3 3 4" xfId="4193"/>
    <cellStyle name="Komma 5 3 3 4 2" xfId="9178"/>
    <cellStyle name="Komma 5 3 3 4 2 2" xfId="19985"/>
    <cellStyle name="Komma 5 3 3 4 2 3" xfId="31342"/>
    <cellStyle name="Komma 5 3 3 4 3" xfId="15000"/>
    <cellStyle name="Komma 5 3 3 4 4" xfId="26358"/>
    <cellStyle name="Komma 5 3 3 5" xfId="5855"/>
    <cellStyle name="Komma 5 3 3 5 2" xfId="16663"/>
    <cellStyle name="Komma 5 3 3 5 3" xfId="28020"/>
    <cellStyle name="Komma 5 3 3 6" xfId="10842"/>
    <cellStyle name="Komma 5 3 3 6 2" xfId="21649"/>
    <cellStyle name="Komma 5 3 3 6 3" xfId="33006"/>
    <cellStyle name="Komma 5 3 3 7" xfId="11677"/>
    <cellStyle name="Komma 5 3 3 8" xfId="23036"/>
    <cellStyle name="Komma 5 3 4" xfId="1142"/>
    <cellStyle name="Komma 5 3 4 2" xfId="2807"/>
    <cellStyle name="Komma 5 3 4 2 2" xfId="7795"/>
    <cellStyle name="Komma 5 3 4 2 2 2" xfId="18602"/>
    <cellStyle name="Komma 5 3 4 2 2 3" xfId="29959"/>
    <cellStyle name="Komma 5 3 4 2 3" xfId="13617"/>
    <cellStyle name="Komma 5 3 4 2 4" xfId="24975"/>
    <cellStyle name="Komma 5 3 4 3" xfId="4471"/>
    <cellStyle name="Komma 5 3 4 3 2" xfId="9456"/>
    <cellStyle name="Komma 5 3 4 3 2 2" xfId="20263"/>
    <cellStyle name="Komma 5 3 4 3 2 3" xfId="31620"/>
    <cellStyle name="Komma 5 3 4 3 3" xfId="15278"/>
    <cellStyle name="Komma 5 3 4 3 4" xfId="26636"/>
    <cellStyle name="Komma 5 3 4 4" xfId="6133"/>
    <cellStyle name="Komma 5 3 4 4 2" xfId="16941"/>
    <cellStyle name="Komma 5 3 4 4 3" xfId="28298"/>
    <cellStyle name="Komma 5 3 4 5" xfId="11956"/>
    <cellStyle name="Komma 5 3 4 6" xfId="23314"/>
    <cellStyle name="Komma 5 3 5" xfId="1977"/>
    <cellStyle name="Komma 5 3 5 2" xfId="6965"/>
    <cellStyle name="Komma 5 3 5 2 2" xfId="17773"/>
    <cellStyle name="Komma 5 3 5 2 3" xfId="29130"/>
    <cellStyle name="Komma 5 3 5 3" xfId="12788"/>
    <cellStyle name="Komma 5 3 5 4" xfId="24146"/>
    <cellStyle name="Komma 5 3 6" xfId="3642"/>
    <cellStyle name="Komma 5 3 6 2" xfId="8627"/>
    <cellStyle name="Komma 5 3 6 2 2" xfId="19434"/>
    <cellStyle name="Komma 5 3 6 2 3" xfId="30791"/>
    <cellStyle name="Komma 5 3 6 3" xfId="14449"/>
    <cellStyle name="Komma 5 3 6 4" xfId="25807"/>
    <cellStyle name="Komma 5 3 7" xfId="5303"/>
    <cellStyle name="Komma 5 3 7 2" xfId="16112"/>
    <cellStyle name="Komma 5 3 7 3" xfId="27469"/>
    <cellStyle name="Komma 5 3 8" xfId="10288"/>
    <cellStyle name="Komma 5 3 8 2" xfId="21095"/>
    <cellStyle name="Komma 5 3 8 3" xfId="32452"/>
    <cellStyle name="Komma 5 3 9" xfId="11122"/>
    <cellStyle name="Komma 5 4" xfId="327"/>
    <cellStyle name="Komma 5 4 10" xfId="21984"/>
    <cellStyle name="Komma 5 4 11" xfId="22537"/>
    <cellStyle name="Komma 5 4 12" xfId="33340"/>
    <cellStyle name="Komma 5 4 13" xfId="33615"/>
    <cellStyle name="Komma 5 4 14" xfId="33886"/>
    <cellStyle name="Komma 5 4 2" xfId="644"/>
    <cellStyle name="Komma 5 4 2 2" xfId="1476"/>
    <cellStyle name="Komma 5 4 2 2 2" xfId="3141"/>
    <cellStyle name="Komma 5 4 2 2 2 2" xfId="8129"/>
    <cellStyle name="Komma 5 4 2 2 2 2 2" xfId="18936"/>
    <cellStyle name="Komma 5 4 2 2 2 2 3" xfId="30293"/>
    <cellStyle name="Komma 5 4 2 2 2 3" xfId="13951"/>
    <cellStyle name="Komma 5 4 2 2 2 4" xfId="25309"/>
    <cellStyle name="Komma 5 4 2 2 3" xfId="4805"/>
    <cellStyle name="Komma 5 4 2 2 3 2" xfId="9790"/>
    <cellStyle name="Komma 5 4 2 2 3 2 2" xfId="20597"/>
    <cellStyle name="Komma 5 4 2 2 3 2 3" xfId="31954"/>
    <cellStyle name="Komma 5 4 2 2 3 3" xfId="15612"/>
    <cellStyle name="Komma 5 4 2 2 3 4" xfId="26970"/>
    <cellStyle name="Komma 5 4 2 2 4" xfId="6467"/>
    <cellStyle name="Komma 5 4 2 2 4 2" xfId="17275"/>
    <cellStyle name="Komma 5 4 2 2 4 3" xfId="28632"/>
    <cellStyle name="Komma 5 4 2 2 5" xfId="12290"/>
    <cellStyle name="Komma 5 4 2 2 6" xfId="23648"/>
    <cellStyle name="Komma 5 4 2 3" xfId="2310"/>
    <cellStyle name="Komma 5 4 2 3 2" xfId="7298"/>
    <cellStyle name="Komma 5 4 2 3 2 2" xfId="18105"/>
    <cellStyle name="Komma 5 4 2 3 2 3" xfId="29462"/>
    <cellStyle name="Komma 5 4 2 3 3" xfId="13120"/>
    <cellStyle name="Komma 5 4 2 3 4" xfId="24478"/>
    <cellStyle name="Komma 5 4 2 4" xfId="3974"/>
    <cellStyle name="Komma 5 4 2 4 2" xfId="8959"/>
    <cellStyle name="Komma 5 4 2 4 2 2" xfId="19766"/>
    <cellStyle name="Komma 5 4 2 4 2 3" xfId="31123"/>
    <cellStyle name="Komma 5 4 2 4 3" xfId="14781"/>
    <cellStyle name="Komma 5 4 2 4 4" xfId="26139"/>
    <cellStyle name="Komma 5 4 2 5" xfId="5636"/>
    <cellStyle name="Komma 5 4 2 5 2" xfId="16444"/>
    <cellStyle name="Komma 5 4 2 5 3" xfId="27801"/>
    <cellStyle name="Komma 5 4 2 6" xfId="10623"/>
    <cellStyle name="Komma 5 4 2 6 2" xfId="21430"/>
    <cellStyle name="Komma 5 4 2 6 3" xfId="32787"/>
    <cellStyle name="Komma 5 4 2 7" xfId="11457"/>
    <cellStyle name="Komma 5 4 2 8" xfId="22263"/>
    <cellStyle name="Komma 5 4 2 9" xfId="22817"/>
    <cellStyle name="Komma 5 4 3" xfId="918"/>
    <cellStyle name="Komma 5 4 3 2" xfId="1750"/>
    <cellStyle name="Komma 5 4 3 2 2" xfId="3415"/>
    <cellStyle name="Komma 5 4 3 2 2 2" xfId="8403"/>
    <cellStyle name="Komma 5 4 3 2 2 2 2" xfId="19210"/>
    <cellStyle name="Komma 5 4 3 2 2 2 3" xfId="30567"/>
    <cellStyle name="Komma 5 4 3 2 2 3" xfId="14225"/>
    <cellStyle name="Komma 5 4 3 2 2 4" xfId="25583"/>
    <cellStyle name="Komma 5 4 3 2 3" xfId="5079"/>
    <cellStyle name="Komma 5 4 3 2 3 2" xfId="10064"/>
    <cellStyle name="Komma 5 4 3 2 3 2 2" xfId="20871"/>
    <cellStyle name="Komma 5 4 3 2 3 2 3" xfId="32228"/>
    <cellStyle name="Komma 5 4 3 2 3 3" xfId="15886"/>
    <cellStyle name="Komma 5 4 3 2 3 4" xfId="27244"/>
    <cellStyle name="Komma 5 4 3 2 4" xfId="6741"/>
    <cellStyle name="Komma 5 4 3 2 4 2" xfId="17549"/>
    <cellStyle name="Komma 5 4 3 2 4 3" xfId="28906"/>
    <cellStyle name="Komma 5 4 3 2 5" xfId="12564"/>
    <cellStyle name="Komma 5 4 3 2 6" xfId="23922"/>
    <cellStyle name="Komma 5 4 3 3" xfId="2584"/>
    <cellStyle name="Komma 5 4 3 3 2" xfId="7572"/>
    <cellStyle name="Komma 5 4 3 3 2 2" xfId="18379"/>
    <cellStyle name="Komma 5 4 3 3 2 3" xfId="29736"/>
    <cellStyle name="Komma 5 4 3 3 3" xfId="13394"/>
    <cellStyle name="Komma 5 4 3 3 4" xfId="24752"/>
    <cellStyle name="Komma 5 4 3 4" xfId="4248"/>
    <cellStyle name="Komma 5 4 3 4 2" xfId="9233"/>
    <cellStyle name="Komma 5 4 3 4 2 2" xfId="20040"/>
    <cellStyle name="Komma 5 4 3 4 2 3" xfId="31397"/>
    <cellStyle name="Komma 5 4 3 4 3" xfId="15055"/>
    <cellStyle name="Komma 5 4 3 4 4" xfId="26413"/>
    <cellStyle name="Komma 5 4 3 5" xfId="5910"/>
    <cellStyle name="Komma 5 4 3 5 2" xfId="16718"/>
    <cellStyle name="Komma 5 4 3 5 3" xfId="28075"/>
    <cellStyle name="Komma 5 4 3 6" xfId="10897"/>
    <cellStyle name="Komma 5 4 3 6 2" xfId="21704"/>
    <cellStyle name="Komma 5 4 3 6 3" xfId="33061"/>
    <cellStyle name="Komma 5 4 3 7" xfId="11732"/>
    <cellStyle name="Komma 5 4 3 8" xfId="23091"/>
    <cellStyle name="Komma 5 4 4" xfId="1197"/>
    <cellStyle name="Komma 5 4 4 2" xfId="2862"/>
    <cellStyle name="Komma 5 4 4 2 2" xfId="7850"/>
    <cellStyle name="Komma 5 4 4 2 2 2" xfId="18657"/>
    <cellStyle name="Komma 5 4 4 2 2 3" xfId="30014"/>
    <cellStyle name="Komma 5 4 4 2 3" xfId="13672"/>
    <cellStyle name="Komma 5 4 4 2 4" xfId="25030"/>
    <cellStyle name="Komma 5 4 4 3" xfId="4526"/>
    <cellStyle name="Komma 5 4 4 3 2" xfId="9511"/>
    <cellStyle name="Komma 5 4 4 3 2 2" xfId="20318"/>
    <cellStyle name="Komma 5 4 4 3 2 3" xfId="31675"/>
    <cellStyle name="Komma 5 4 4 3 3" xfId="15333"/>
    <cellStyle name="Komma 5 4 4 3 4" xfId="26691"/>
    <cellStyle name="Komma 5 4 4 4" xfId="6188"/>
    <cellStyle name="Komma 5 4 4 4 2" xfId="16996"/>
    <cellStyle name="Komma 5 4 4 4 3" xfId="28353"/>
    <cellStyle name="Komma 5 4 4 5" xfId="12011"/>
    <cellStyle name="Komma 5 4 4 6" xfId="23369"/>
    <cellStyle name="Komma 5 4 5" xfId="2032"/>
    <cellStyle name="Komma 5 4 5 2" xfId="7020"/>
    <cellStyle name="Komma 5 4 5 2 2" xfId="17828"/>
    <cellStyle name="Komma 5 4 5 2 3" xfId="29185"/>
    <cellStyle name="Komma 5 4 5 3" xfId="12843"/>
    <cellStyle name="Komma 5 4 5 4" xfId="24201"/>
    <cellStyle name="Komma 5 4 6" xfId="3697"/>
    <cellStyle name="Komma 5 4 6 2" xfId="8682"/>
    <cellStyle name="Komma 5 4 6 2 2" xfId="19489"/>
    <cellStyle name="Komma 5 4 6 2 3" xfId="30846"/>
    <cellStyle name="Komma 5 4 6 3" xfId="14504"/>
    <cellStyle name="Komma 5 4 6 4" xfId="25862"/>
    <cellStyle name="Komma 5 4 7" xfId="5358"/>
    <cellStyle name="Komma 5 4 7 2" xfId="16167"/>
    <cellStyle name="Komma 5 4 7 3" xfId="27524"/>
    <cellStyle name="Komma 5 4 8" xfId="10343"/>
    <cellStyle name="Komma 5 4 8 2" xfId="21150"/>
    <cellStyle name="Komma 5 4 8 3" xfId="32507"/>
    <cellStyle name="Komma 5 4 9" xfId="11177"/>
    <cellStyle name="Komma 5 5" xfId="383"/>
    <cellStyle name="Komma 5 5 10" xfId="22040"/>
    <cellStyle name="Komma 5 5 11" xfId="22593"/>
    <cellStyle name="Komma 5 5 12" xfId="33396"/>
    <cellStyle name="Komma 5 5 13" xfId="33671"/>
    <cellStyle name="Komma 5 5 14" xfId="33942"/>
    <cellStyle name="Komma 5 5 2" xfId="700"/>
    <cellStyle name="Komma 5 5 2 2" xfId="1532"/>
    <cellStyle name="Komma 5 5 2 2 2" xfId="3197"/>
    <cellStyle name="Komma 5 5 2 2 2 2" xfId="8185"/>
    <cellStyle name="Komma 5 5 2 2 2 2 2" xfId="18992"/>
    <cellStyle name="Komma 5 5 2 2 2 2 3" xfId="30349"/>
    <cellStyle name="Komma 5 5 2 2 2 3" xfId="14007"/>
    <cellStyle name="Komma 5 5 2 2 2 4" xfId="25365"/>
    <cellStyle name="Komma 5 5 2 2 3" xfId="4861"/>
    <cellStyle name="Komma 5 5 2 2 3 2" xfId="9846"/>
    <cellStyle name="Komma 5 5 2 2 3 2 2" xfId="20653"/>
    <cellStyle name="Komma 5 5 2 2 3 2 3" xfId="32010"/>
    <cellStyle name="Komma 5 5 2 2 3 3" xfId="15668"/>
    <cellStyle name="Komma 5 5 2 2 3 4" xfId="27026"/>
    <cellStyle name="Komma 5 5 2 2 4" xfId="6523"/>
    <cellStyle name="Komma 5 5 2 2 4 2" xfId="17331"/>
    <cellStyle name="Komma 5 5 2 2 4 3" xfId="28688"/>
    <cellStyle name="Komma 5 5 2 2 5" xfId="12346"/>
    <cellStyle name="Komma 5 5 2 2 6" xfId="23704"/>
    <cellStyle name="Komma 5 5 2 3" xfId="2366"/>
    <cellStyle name="Komma 5 5 2 3 2" xfId="7354"/>
    <cellStyle name="Komma 5 5 2 3 2 2" xfId="18161"/>
    <cellStyle name="Komma 5 5 2 3 2 3" xfId="29518"/>
    <cellStyle name="Komma 5 5 2 3 3" xfId="13176"/>
    <cellStyle name="Komma 5 5 2 3 4" xfId="24534"/>
    <cellStyle name="Komma 5 5 2 4" xfId="4030"/>
    <cellStyle name="Komma 5 5 2 4 2" xfId="9015"/>
    <cellStyle name="Komma 5 5 2 4 2 2" xfId="19822"/>
    <cellStyle name="Komma 5 5 2 4 2 3" xfId="31179"/>
    <cellStyle name="Komma 5 5 2 4 3" xfId="14837"/>
    <cellStyle name="Komma 5 5 2 4 4" xfId="26195"/>
    <cellStyle name="Komma 5 5 2 5" xfId="5692"/>
    <cellStyle name="Komma 5 5 2 5 2" xfId="16500"/>
    <cellStyle name="Komma 5 5 2 5 3" xfId="27857"/>
    <cellStyle name="Komma 5 5 2 6" xfId="10679"/>
    <cellStyle name="Komma 5 5 2 6 2" xfId="21486"/>
    <cellStyle name="Komma 5 5 2 6 3" xfId="32843"/>
    <cellStyle name="Komma 5 5 2 7" xfId="11513"/>
    <cellStyle name="Komma 5 5 2 8" xfId="22319"/>
    <cellStyle name="Komma 5 5 2 9" xfId="22873"/>
    <cellStyle name="Komma 5 5 3" xfId="974"/>
    <cellStyle name="Komma 5 5 3 2" xfId="1806"/>
    <cellStyle name="Komma 5 5 3 2 2" xfId="3471"/>
    <cellStyle name="Komma 5 5 3 2 2 2" xfId="8459"/>
    <cellStyle name="Komma 5 5 3 2 2 2 2" xfId="19266"/>
    <cellStyle name="Komma 5 5 3 2 2 2 3" xfId="30623"/>
    <cellStyle name="Komma 5 5 3 2 2 3" xfId="14281"/>
    <cellStyle name="Komma 5 5 3 2 2 4" xfId="25639"/>
    <cellStyle name="Komma 5 5 3 2 3" xfId="5135"/>
    <cellStyle name="Komma 5 5 3 2 3 2" xfId="10120"/>
    <cellStyle name="Komma 5 5 3 2 3 2 2" xfId="20927"/>
    <cellStyle name="Komma 5 5 3 2 3 2 3" xfId="32284"/>
    <cellStyle name="Komma 5 5 3 2 3 3" xfId="15942"/>
    <cellStyle name="Komma 5 5 3 2 3 4" xfId="27300"/>
    <cellStyle name="Komma 5 5 3 2 4" xfId="6797"/>
    <cellStyle name="Komma 5 5 3 2 4 2" xfId="17605"/>
    <cellStyle name="Komma 5 5 3 2 4 3" xfId="28962"/>
    <cellStyle name="Komma 5 5 3 2 5" xfId="12620"/>
    <cellStyle name="Komma 5 5 3 2 6" xfId="23978"/>
    <cellStyle name="Komma 5 5 3 3" xfId="2640"/>
    <cellStyle name="Komma 5 5 3 3 2" xfId="7628"/>
    <cellStyle name="Komma 5 5 3 3 2 2" xfId="18435"/>
    <cellStyle name="Komma 5 5 3 3 2 3" xfId="29792"/>
    <cellStyle name="Komma 5 5 3 3 3" xfId="13450"/>
    <cellStyle name="Komma 5 5 3 3 4" xfId="24808"/>
    <cellStyle name="Komma 5 5 3 4" xfId="4304"/>
    <cellStyle name="Komma 5 5 3 4 2" xfId="9289"/>
    <cellStyle name="Komma 5 5 3 4 2 2" xfId="20096"/>
    <cellStyle name="Komma 5 5 3 4 2 3" xfId="31453"/>
    <cellStyle name="Komma 5 5 3 4 3" xfId="15111"/>
    <cellStyle name="Komma 5 5 3 4 4" xfId="26469"/>
    <cellStyle name="Komma 5 5 3 5" xfId="5966"/>
    <cellStyle name="Komma 5 5 3 5 2" xfId="16774"/>
    <cellStyle name="Komma 5 5 3 5 3" xfId="28131"/>
    <cellStyle name="Komma 5 5 3 6" xfId="10953"/>
    <cellStyle name="Komma 5 5 3 6 2" xfId="21760"/>
    <cellStyle name="Komma 5 5 3 6 3" xfId="33117"/>
    <cellStyle name="Komma 5 5 3 7" xfId="11788"/>
    <cellStyle name="Komma 5 5 3 8" xfId="23147"/>
    <cellStyle name="Komma 5 5 4" xfId="1253"/>
    <cellStyle name="Komma 5 5 4 2" xfId="2918"/>
    <cellStyle name="Komma 5 5 4 2 2" xfId="7906"/>
    <cellStyle name="Komma 5 5 4 2 2 2" xfId="18713"/>
    <cellStyle name="Komma 5 5 4 2 2 3" xfId="30070"/>
    <cellStyle name="Komma 5 5 4 2 3" xfId="13728"/>
    <cellStyle name="Komma 5 5 4 2 4" xfId="25086"/>
    <cellStyle name="Komma 5 5 4 3" xfId="4582"/>
    <cellStyle name="Komma 5 5 4 3 2" xfId="9567"/>
    <cellStyle name="Komma 5 5 4 3 2 2" xfId="20374"/>
    <cellStyle name="Komma 5 5 4 3 2 3" xfId="31731"/>
    <cellStyle name="Komma 5 5 4 3 3" xfId="15389"/>
    <cellStyle name="Komma 5 5 4 3 4" xfId="26747"/>
    <cellStyle name="Komma 5 5 4 4" xfId="6244"/>
    <cellStyle name="Komma 5 5 4 4 2" xfId="17052"/>
    <cellStyle name="Komma 5 5 4 4 3" xfId="28409"/>
    <cellStyle name="Komma 5 5 4 5" xfId="12067"/>
    <cellStyle name="Komma 5 5 4 6" xfId="23425"/>
    <cellStyle name="Komma 5 5 5" xfId="2088"/>
    <cellStyle name="Komma 5 5 5 2" xfId="7076"/>
    <cellStyle name="Komma 5 5 5 2 2" xfId="17884"/>
    <cellStyle name="Komma 5 5 5 2 3" xfId="29241"/>
    <cellStyle name="Komma 5 5 5 3" xfId="12899"/>
    <cellStyle name="Komma 5 5 5 4" xfId="24257"/>
    <cellStyle name="Komma 5 5 6" xfId="3753"/>
    <cellStyle name="Komma 5 5 6 2" xfId="8738"/>
    <cellStyle name="Komma 5 5 6 2 2" xfId="19545"/>
    <cellStyle name="Komma 5 5 6 2 3" xfId="30902"/>
    <cellStyle name="Komma 5 5 6 3" xfId="14560"/>
    <cellStyle name="Komma 5 5 6 4" xfId="25918"/>
    <cellStyle name="Komma 5 5 7" xfId="5414"/>
    <cellStyle name="Komma 5 5 7 2" xfId="16223"/>
    <cellStyle name="Komma 5 5 7 3" xfId="27580"/>
    <cellStyle name="Komma 5 5 8" xfId="10399"/>
    <cellStyle name="Komma 5 5 8 2" xfId="21206"/>
    <cellStyle name="Komma 5 5 8 3" xfId="32563"/>
    <cellStyle name="Komma 5 5 9" xfId="11233"/>
    <cellStyle name="Komma 5 6" xfId="427"/>
    <cellStyle name="Komma 5 6 10" xfId="22605"/>
    <cellStyle name="Komma 5 6 11" xfId="33408"/>
    <cellStyle name="Komma 5 6 2" xfId="986"/>
    <cellStyle name="Komma 5 6 2 2" xfId="1818"/>
    <cellStyle name="Komma 5 6 2 2 2" xfId="3483"/>
    <cellStyle name="Komma 5 6 2 2 2 2" xfId="8471"/>
    <cellStyle name="Komma 5 6 2 2 2 2 2" xfId="19278"/>
    <cellStyle name="Komma 5 6 2 2 2 2 3" xfId="30635"/>
    <cellStyle name="Komma 5 6 2 2 2 3" xfId="14293"/>
    <cellStyle name="Komma 5 6 2 2 2 4" xfId="25651"/>
    <cellStyle name="Komma 5 6 2 2 3" xfId="5147"/>
    <cellStyle name="Komma 5 6 2 2 3 2" xfId="10132"/>
    <cellStyle name="Komma 5 6 2 2 3 2 2" xfId="20939"/>
    <cellStyle name="Komma 5 6 2 2 3 2 3" xfId="32296"/>
    <cellStyle name="Komma 5 6 2 2 3 3" xfId="15954"/>
    <cellStyle name="Komma 5 6 2 2 3 4" xfId="27312"/>
    <cellStyle name="Komma 5 6 2 2 4" xfId="6809"/>
    <cellStyle name="Komma 5 6 2 2 4 2" xfId="17617"/>
    <cellStyle name="Komma 5 6 2 2 4 3" xfId="28974"/>
    <cellStyle name="Komma 5 6 2 2 5" xfId="12632"/>
    <cellStyle name="Komma 5 6 2 2 6" xfId="23990"/>
    <cellStyle name="Komma 5 6 2 3" xfId="2652"/>
    <cellStyle name="Komma 5 6 2 3 2" xfId="7640"/>
    <cellStyle name="Komma 5 6 2 3 2 2" xfId="18447"/>
    <cellStyle name="Komma 5 6 2 3 2 3" xfId="29804"/>
    <cellStyle name="Komma 5 6 2 3 3" xfId="13462"/>
    <cellStyle name="Komma 5 6 2 3 4" xfId="24820"/>
    <cellStyle name="Komma 5 6 2 4" xfId="4316"/>
    <cellStyle name="Komma 5 6 2 4 2" xfId="9301"/>
    <cellStyle name="Komma 5 6 2 4 2 2" xfId="20108"/>
    <cellStyle name="Komma 5 6 2 4 2 3" xfId="31465"/>
    <cellStyle name="Komma 5 6 2 4 3" xfId="15123"/>
    <cellStyle name="Komma 5 6 2 4 4" xfId="26481"/>
    <cellStyle name="Komma 5 6 2 5" xfId="5978"/>
    <cellStyle name="Komma 5 6 2 5 2" xfId="16786"/>
    <cellStyle name="Komma 5 6 2 5 3" xfId="28143"/>
    <cellStyle name="Komma 5 6 2 6" xfId="10965"/>
    <cellStyle name="Komma 5 6 2 6 2" xfId="21772"/>
    <cellStyle name="Komma 5 6 2 6 3" xfId="33129"/>
    <cellStyle name="Komma 5 6 2 7" xfId="11800"/>
    <cellStyle name="Komma 5 6 2 8" xfId="23159"/>
    <cellStyle name="Komma 5 6 3" xfId="1264"/>
    <cellStyle name="Komma 5 6 3 2" xfId="2929"/>
    <cellStyle name="Komma 5 6 3 2 2" xfId="7917"/>
    <cellStyle name="Komma 5 6 3 2 2 2" xfId="18724"/>
    <cellStyle name="Komma 5 6 3 2 2 3" xfId="30081"/>
    <cellStyle name="Komma 5 6 3 2 3" xfId="13739"/>
    <cellStyle name="Komma 5 6 3 2 4" xfId="25097"/>
    <cellStyle name="Komma 5 6 3 3" xfId="4593"/>
    <cellStyle name="Komma 5 6 3 3 2" xfId="9578"/>
    <cellStyle name="Komma 5 6 3 3 2 2" xfId="20385"/>
    <cellStyle name="Komma 5 6 3 3 2 3" xfId="31742"/>
    <cellStyle name="Komma 5 6 3 3 3" xfId="15400"/>
    <cellStyle name="Komma 5 6 3 3 4" xfId="26758"/>
    <cellStyle name="Komma 5 6 3 4" xfId="6255"/>
    <cellStyle name="Komma 5 6 3 4 2" xfId="17063"/>
    <cellStyle name="Komma 5 6 3 4 3" xfId="28420"/>
    <cellStyle name="Komma 5 6 3 5" xfId="12078"/>
    <cellStyle name="Komma 5 6 3 6" xfId="23436"/>
    <cellStyle name="Komma 5 6 4" xfId="2099"/>
    <cellStyle name="Komma 5 6 4 2" xfId="7087"/>
    <cellStyle name="Komma 5 6 4 2 2" xfId="17895"/>
    <cellStyle name="Komma 5 6 4 2 3" xfId="29252"/>
    <cellStyle name="Komma 5 6 4 3" xfId="12910"/>
    <cellStyle name="Komma 5 6 4 4" xfId="24268"/>
    <cellStyle name="Komma 5 6 5" xfId="3764"/>
    <cellStyle name="Komma 5 6 5 2" xfId="8749"/>
    <cellStyle name="Komma 5 6 5 2 2" xfId="19556"/>
    <cellStyle name="Komma 5 6 5 2 3" xfId="30913"/>
    <cellStyle name="Komma 5 6 5 3" xfId="14571"/>
    <cellStyle name="Komma 5 6 5 4" xfId="25929"/>
    <cellStyle name="Komma 5 6 6" xfId="5425"/>
    <cellStyle name="Komma 5 6 6 2" xfId="16234"/>
    <cellStyle name="Komma 5 6 6 3" xfId="27591"/>
    <cellStyle name="Komma 5 6 7" xfId="10411"/>
    <cellStyle name="Komma 5 6 7 2" xfId="21218"/>
    <cellStyle name="Komma 5 6 7 3" xfId="32575"/>
    <cellStyle name="Komma 5 6 8" xfId="11245"/>
    <cellStyle name="Komma 5 6 9" xfId="22052"/>
    <cellStyle name="Komma 5 7" xfId="421"/>
    <cellStyle name="Komma 5 8" xfId="483"/>
    <cellStyle name="Komma 5 8 2" xfId="1313"/>
    <cellStyle name="Komma 5 8 2 2" xfId="2978"/>
    <cellStyle name="Komma 5 8 2 2 2" xfId="7966"/>
    <cellStyle name="Komma 5 8 2 2 2 2" xfId="18773"/>
    <cellStyle name="Komma 5 8 2 2 2 3" xfId="30130"/>
    <cellStyle name="Komma 5 8 2 2 3" xfId="13788"/>
    <cellStyle name="Komma 5 8 2 2 4" xfId="25146"/>
    <cellStyle name="Komma 5 8 2 3" xfId="4642"/>
    <cellStyle name="Komma 5 8 2 3 2" xfId="9627"/>
    <cellStyle name="Komma 5 8 2 3 2 2" xfId="20434"/>
    <cellStyle name="Komma 5 8 2 3 2 3" xfId="31791"/>
    <cellStyle name="Komma 5 8 2 3 3" xfId="15449"/>
    <cellStyle name="Komma 5 8 2 3 4" xfId="26807"/>
    <cellStyle name="Komma 5 8 2 4" xfId="6304"/>
    <cellStyle name="Komma 5 8 2 4 2" xfId="17112"/>
    <cellStyle name="Komma 5 8 2 4 3" xfId="28469"/>
    <cellStyle name="Komma 5 8 2 5" xfId="12127"/>
    <cellStyle name="Komma 5 8 2 6" xfId="23485"/>
    <cellStyle name="Komma 5 8 3" xfId="2149"/>
    <cellStyle name="Komma 5 8 3 2" xfId="7137"/>
    <cellStyle name="Komma 5 8 3 2 2" xfId="17944"/>
    <cellStyle name="Komma 5 8 3 2 3" xfId="29301"/>
    <cellStyle name="Komma 5 8 3 3" xfId="12959"/>
    <cellStyle name="Komma 5 8 3 4" xfId="24317"/>
    <cellStyle name="Komma 5 8 4" xfId="3813"/>
    <cellStyle name="Komma 5 8 4 2" xfId="8798"/>
    <cellStyle name="Komma 5 8 4 2 2" xfId="19605"/>
    <cellStyle name="Komma 5 8 4 2 3" xfId="30962"/>
    <cellStyle name="Komma 5 8 4 3" xfId="14620"/>
    <cellStyle name="Komma 5 8 4 4" xfId="25978"/>
    <cellStyle name="Komma 5 8 5" xfId="5475"/>
    <cellStyle name="Komma 5 8 5 2" xfId="16283"/>
    <cellStyle name="Komma 5 8 5 3" xfId="27640"/>
    <cellStyle name="Komma 5 8 6" xfId="10460"/>
    <cellStyle name="Komma 5 8 6 2" xfId="21267"/>
    <cellStyle name="Komma 5 8 6 3" xfId="32624"/>
    <cellStyle name="Komma 5 8 7" xfId="11294"/>
    <cellStyle name="Komma 5 8 8" xfId="22100"/>
    <cellStyle name="Komma 5 8 9" xfId="22654"/>
    <cellStyle name="Komma 5 9" xfId="755"/>
    <cellStyle name="Komma 5 9 2" xfId="1587"/>
    <cellStyle name="Komma 5 9 2 2" xfId="3252"/>
    <cellStyle name="Komma 5 9 2 2 2" xfId="8240"/>
    <cellStyle name="Komma 5 9 2 2 2 2" xfId="19047"/>
    <cellStyle name="Komma 5 9 2 2 2 3" xfId="30404"/>
    <cellStyle name="Komma 5 9 2 2 3" xfId="14062"/>
    <cellStyle name="Komma 5 9 2 2 4" xfId="25420"/>
    <cellStyle name="Komma 5 9 2 3" xfId="4916"/>
    <cellStyle name="Komma 5 9 2 3 2" xfId="9901"/>
    <cellStyle name="Komma 5 9 2 3 2 2" xfId="20708"/>
    <cellStyle name="Komma 5 9 2 3 2 3" xfId="32065"/>
    <cellStyle name="Komma 5 9 2 3 3" xfId="15723"/>
    <cellStyle name="Komma 5 9 2 3 4" xfId="27081"/>
    <cellStyle name="Komma 5 9 2 4" xfId="6578"/>
    <cellStyle name="Komma 5 9 2 4 2" xfId="17386"/>
    <cellStyle name="Komma 5 9 2 4 3" xfId="28743"/>
    <cellStyle name="Komma 5 9 2 5" xfId="12401"/>
    <cellStyle name="Komma 5 9 2 6" xfId="23759"/>
    <cellStyle name="Komma 5 9 3" xfId="2421"/>
    <cellStyle name="Komma 5 9 3 2" xfId="7409"/>
    <cellStyle name="Komma 5 9 3 2 2" xfId="18216"/>
    <cellStyle name="Komma 5 9 3 2 3" xfId="29573"/>
    <cellStyle name="Komma 5 9 3 3" xfId="13231"/>
    <cellStyle name="Komma 5 9 3 4" xfId="24589"/>
    <cellStyle name="Komma 5 9 4" xfId="4085"/>
    <cellStyle name="Komma 5 9 4 2" xfId="9070"/>
    <cellStyle name="Komma 5 9 4 2 2" xfId="19877"/>
    <cellStyle name="Komma 5 9 4 2 3" xfId="31234"/>
    <cellStyle name="Komma 5 9 4 3" xfId="14892"/>
    <cellStyle name="Komma 5 9 4 4" xfId="26250"/>
    <cellStyle name="Komma 5 9 5" xfId="5747"/>
    <cellStyle name="Komma 5 9 5 2" xfId="16555"/>
    <cellStyle name="Komma 5 9 5 3" xfId="27912"/>
    <cellStyle name="Komma 5 9 6" xfId="10734"/>
    <cellStyle name="Komma 5 9 6 2" xfId="21541"/>
    <cellStyle name="Komma 5 9 6 3" xfId="32898"/>
    <cellStyle name="Komma 5 9 7" xfId="11569"/>
    <cellStyle name="Komma 5 9 8" xfId="22928"/>
    <cellStyle name="Komma 5_Ark1" xfId="424"/>
    <cellStyle name="Komma 6" xfId="60"/>
    <cellStyle name="Komma 6 2" xfId="405"/>
    <cellStyle name="Komma 7" xfId="175"/>
    <cellStyle name="Komma 7 10" xfId="21833"/>
    <cellStyle name="Komma 7 11" xfId="22386"/>
    <cellStyle name="Komma 7 12" xfId="33189"/>
    <cellStyle name="Komma 7 13" xfId="33462"/>
    <cellStyle name="Komma 7 14" xfId="33733"/>
    <cellStyle name="Komma 7 2" xfId="495"/>
    <cellStyle name="Komma 7 2 2" xfId="1325"/>
    <cellStyle name="Komma 7 2 2 2" xfId="2990"/>
    <cellStyle name="Komma 7 2 2 2 2" xfId="7978"/>
    <cellStyle name="Komma 7 2 2 2 2 2" xfId="18785"/>
    <cellStyle name="Komma 7 2 2 2 2 3" xfId="30142"/>
    <cellStyle name="Komma 7 2 2 2 3" xfId="13800"/>
    <cellStyle name="Komma 7 2 2 2 4" xfId="25158"/>
    <cellStyle name="Komma 7 2 2 3" xfId="4654"/>
    <cellStyle name="Komma 7 2 2 3 2" xfId="9639"/>
    <cellStyle name="Komma 7 2 2 3 2 2" xfId="20446"/>
    <cellStyle name="Komma 7 2 2 3 2 3" xfId="31803"/>
    <cellStyle name="Komma 7 2 2 3 3" xfId="15461"/>
    <cellStyle name="Komma 7 2 2 3 4" xfId="26819"/>
    <cellStyle name="Komma 7 2 2 4" xfId="6316"/>
    <cellStyle name="Komma 7 2 2 4 2" xfId="17124"/>
    <cellStyle name="Komma 7 2 2 4 3" xfId="28481"/>
    <cellStyle name="Komma 7 2 2 5" xfId="12139"/>
    <cellStyle name="Komma 7 2 2 6" xfId="23497"/>
    <cellStyle name="Komma 7 2 3" xfId="2161"/>
    <cellStyle name="Komma 7 2 3 2" xfId="7149"/>
    <cellStyle name="Komma 7 2 3 2 2" xfId="17956"/>
    <cellStyle name="Komma 7 2 3 2 3" xfId="29313"/>
    <cellStyle name="Komma 7 2 3 3" xfId="12971"/>
    <cellStyle name="Komma 7 2 3 4" xfId="24329"/>
    <cellStyle name="Komma 7 2 4" xfId="3825"/>
    <cellStyle name="Komma 7 2 4 2" xfId="8810"/>
    <cellStyle name="Komma 7 2 4 2 2" xfId="19617"/>
    <cellStyle name="Komma 7 2 4 2 3" xfId="30974"/>
    <cellStyle name="Komma 7 2 4 3" xfId="14632"/>
    <cellStyle name="Komma 7 2 4 4" xfId="25990"/>
    <cellStyle name="Komma 7 2 5" xfId="5487"/>
    <cellStyle name="Komma 7 2 5 2" xfId="16295"/>
    <cellStyle name="Komma 7 2 5 3" xfId="27652"/>
    <cellStyle name="Komma 7 2 6" xfId="10472"/>
    <cellStyle name="Komma 7 2 6 2" xfId="21279"/>
    <cellStyle name="Komma 7 2 6 3" xfId="32636"/>
    <cellStyle name="Komma 7 2 7" xfId="11306"/>
    <cellStyle name="Komma 7 2 8" xfId="22112"/>
    <cellStyle name="Komma 7 2 9" xfId="22666"/>
    <cellStyle name="Komma 7 3" xfId="767"/>
    <cellStyle name="Komma 7 3 2" xfId="1599"/>
    <cellStyle name="Komma 7 3 2 2" xfId="3264"/>
    <cellStyle name="Komma 7 3 2 2 2" xfId="8252"/>
    <cellStyle name="Komma 7 3 2 2 2 2" xfId="19059"/>
    <cellStyle name="Komma 7 3 2 2 2 3" xfId="30416"/>
    <cellStyle name="Komma 7 3 2 2 3" xfId="14074"/>
    <cellStyle name="Komma 7 3 2 2 4" xfId="25432"/>
    <cellStyle name="Komma 7 3 2 3" xfId="4928"/>
    <cellStyle name="Komma 7 3 2 3 2" xfId="9913"/>
    <cellStyle name="Komma 7 3 2 3 2 2" xfId="20720"/>
    <cellStyle name="Komma 7 3 2 3 2 3" xfId="32077"/>
    <cellStyle name="Komma 7 3 2 3 3" xfId="15735"/>
    <cellStyle name="Komma 7 3 2 3 4" xfId="27093"/>
    <cellStyle name="Komma 7 3 2 4" xfId="6590"/>
    <cellStyle name="Komma 7 3 2 4 2" xfId="17398"/>
    <cellStyle name="Komma 7 3 2 4 3" xfId="28755"/>
    <cellStyle name="Komma 7 3 2 5" xfId="12413"/>
    <cellStyle name="Komma 7 3 2 6" xfId="23771"/>
    <cellStyle name="Komma 7 3 3" xfId="2433"/>
    <cellStyle name="Komma 7 3 3 2" xfId="7421"/>
    <cellStyle name="Komma 7 3 3 2 2" xfId="18228"/>
    <cellStyle name="Komma 7 3 3 2 3" xfId="29585"/>
    <cellStyle name="Komma 7 3 3 3" xfId="13243"/>
    <cellStyle name="Komma 7 3 3 4" xfId="24601"/>
    <cellStyle name="Komma 7 3 4" xfId="4097"/>
    <cellStyle name="Komma 7 3 4 2" xfId="9082"/>
    <cellStyle name="Komma 7 3 4 2 2" xfId="19889"/>
    <cellStyle name="Komma 7 3 4 2 3" xfId="31246"/>
    <cellStyle name="Komma 7 3 4 3" xfId="14904"/>
    <cellStyle name="Komma 7 3 4 4" xfId="26262"/>
    <cellStyle name="Komma 7 3 5" xfId="5759"/>
    <cellStyle name="Komma 7 3 5 2" xfId="16567"/>
    <cellStyle name="Komma 7 3 5 3" xfId="27924"/>
    <cellStyle name="Komma 7 3 6" xfId="10746"/>
    <cellStyle name="Komma 7 3 6 2" xfId="21553"/>
    <cellStyle name="Komma 7 3 6 3" xfId="32910"/>
    <cellStyle name="Komma 7 3 7" xfId="11581"/>
    <cellStyle name="Komma 7 3 8" xfId="22940"/>
    <cellStyle name="Komma 7 4" xfId="1046"/>
    <cellStyle name="Komma 7 4 2" xfId="2711"/>
    <cellStyle name="Komma 7 4 2 2" xfId="7699"/>
    <cellStyle name="Komma 7 4 2 2 2" xfId="18506"/>
    <cellStyle name="Komma 7 4 2 2 3" xfId="29863"/>
    <cellStyle name="Komma 7 4 2 3" xfId="13521"/>
    <cellStyle name="Komma 7 4 2 4" xfId="24879"/>
    <cellStyle name="Komma 7 4 3" xfId="4375"/>
    <cellStyle name="Komma 7 4 3 2" xfId="9360"/>
    <cellStyle name="Komma 7 4 3 2 2" xfId="20167"/>
    <cellStyle name="Komma 7 4 3 2 3" xfId="31524"/>
    <cellStyle name="Komma 7 4 3 3" xfId="15182"/>
    <cellStyle name="Komma 7 4 3 4" xfId="26540"/>
    <cellStyle name="Komma 7 4 4" xfId="6037"/>
    <cellStyle name="Komma 7 4 4 2" xfId="16845"/>
    <cellStyle name="Komma 7 4 4 3" xfId="28202"/>
    <cellStyle name="Komma 7 4 5" xfId="11860"/>
    <cellStyle name="Komma 7 4 6" xfId="23218"/>
    <cellStyle name="Komma 7 5" xfId="1881"/>
    <cellStyle name="Komma 7 5 2" xfId="6869"/>
    <cellStyle name="Komma 7 5 2 2" xfId="17677"/>
    <cellStyle name="Komma 7 5 2 3" xfId="29034"/>
    <cellStyle name="Komma 7 5 3" xfId="12692"/>
    <cellStyle name="Komma 7 5 4" xfId="24050"/>
    <cellStyle name="Komma 7 6" xfId="3546"/>
    <cellStyle name="Komma 7 6 2" xfId="8531"/>
    <cellStyle name="Komma 7 6 2 2" xfId="19338"/>
    <cellStyle name="Komma 7 6 2 3" xfId="30695"/>
    <cellStyle name="Komma 7 6 3" xfId="14353"/>
    <cellStyle name="Komma 7 6 4" xfId="25711"/>
    <cellStyle name="Komma 7 7" xfId="5207"/>
    <cellStyle name="Komma 7 7 2" xfId="16016"/>
    <cellStyle name="Komma 7 7 3" xfId="27373"/>
    <cellStyle name="Komma 7 8" xfId="10192"/>
    <cellStyle name="Komma 7 8 2" xfId="20999"/>
    <cellStyle name="Komma 7 8 3" xfId="32356"/>
    <cellStyle name="Komma 7 9" xfId="11026"/>
    <cellStyle name="Komma 8" xfId="337"/>
    <cellStyle name="Komma 8 10" xfId="21994"/>
    <cellStyle name="Komma 8 11" xfId="22547"/>
    <cellStyle name="Komma 8 12" xfId="33350"/>
    <cellStyle name="Komma 8 13" xfId="33625"/>
    <cellStyle name="Komma 8 14" xfId="33896"/>
    <cellStyle name="Komma 8 2" xfId="654"/>
    <cellStyle name="Komma 8 2 2" xfId="1486"/>
    <cellStyle name="Komma 8 2 2 2" xfId="3151"/>
    <cellStyle name="Komma 8 2 2 2 2" xfId="8139"/>
    <cellStyle name="Komma 8 2 2 2 2 2" xfId="18946"/>
    <cellStyle name="Komma 8 2 2 2 2 3" xfId="30303"/>
    <cellStyle name="Komma 8 2 2 2 3" xfId="13961"/>
    <cellStyle name="Komma 8 2 2 2 4" xfId="25319"/>
    <cellStyle name="Komma 8 2 2 3" xfId="4815"/>
    <cellStyle name="Komma 8 2 2 3 2" xfId="9800"/>
    <cellStyle name="Komma 8 2 2 3 2 2" xfId="20607"/>
    <cellStyle name="Komma 8 2 2 3 2 3" xfId="31964"/>
    <cellStyle name="Komma 8 2 2 3 3" xfId="15622"/>
    <cellStyle name="Komma 8 2 2 3 4" xfId="26980"/>
    <cellStyle name="Komma 8 2 2 4" xfId="6477"/>
    <cellStyle name="Komma 8 2 2 4 2" xfId="17285"/>
    <cellStyle name="Komma 8 2 2 4 3" xfId="28642"/>
    <cellStyle name="Komma 8 2 2 5" xfId="12300"/>
    <cellStyle name="Komma 8 2 2 6" xfId="23658"/>
    <cellStyle name="Komma 8 2 3" xfId="2320"/>
    <cellStyle name="Komma 8 2 3 2" xfId="7308"/>
    <cellStyle name="Komma 8 2 3 2 2" xfId="18115"/>
    <cellStyle name="Komma 8 2 3 2 3" xfId="29472"/>
    <cellStyle name="Komma 8 2 3 3" xfId="13130"/>
    <cellStyle name="Komma 8 2 3 4" xfId="24488"/>
    <cellStyle name="Komma 8 2 4" xfId="3984"/>
    <cellStyle name="Komma 8 2 4 2" xfId="8969"/>
    <cellStyle name="Komma 8 2 4 2 2" xfId="19776"/>
    <cellStyle name="Komma 8 2 4 2 3" xfId="31133"/>
    <cellStyle name="Komma 8 2 4 3" xfId="14791"/>
    <cellStyle name="Komma 8 2 4 4" xfId="26149"/>
    <cellStyle name="Komma 8 2 5" xfId="5646"/>
    <cellStyle name="Komma 8 2 5 2" xfId="16454"/>
    <cellStyle name="Komma 8 2 5 3" xfId="27811"/>
    <cellStyle name="Komma 8 2 6" xfId="10633"/>
    <cellStyle name="Komma 8 2 6 2" xfId="21440"/>
    <cellStyle name="Komma 8 2 6 3" xfId="32797"/>
    <cellStyle name="Komma 8 2 7" xfId="11467"/>
    <cellStyle name="Komma 8 2 8" xfId="22273"/>
    <cellStyle name="Komma 8 2 9" xfId="22827"/>
    <cellStyle name="Komma 8 3" xfId="928"/>
    <cellStyle name="Komma 8 3 2" xfId="1760"/>
    <cellStyle name="Komma 8 3 2 2" xfId="3425"/>
    <cellStyle name="Komma 8 3 2 2 2" xfId="8413"/>
    <cellStyle name="Komma 8 3 2 2 2 2" xfId="19220"/>
    <cellStyle name="Komma 8 3 2 2 2 3" xfId="30577"/>
    <cellStyle name="Komma 8 3 2 2 3" xfId="14235"/>
    <cellStyle name="Komma 8 3 2 2 4" xfId="25593"/>
    <cellStyle name="Komma 8 3 2 3" xfId="5089"/>
    <cellStyle name="Komma 8 3 2 3 2" xfId="10074"/>
    <cellStyle name="Komma 8 3 2 3 2 2" xfId="20881"/>
    <cellStyle name="Komma 8 3 2 3 2 3" xfId="32238"/>
    <cellStyle name="Komma 8 3 2 3 3" xfId="15896"/>
    <cellStyle name="Komma 8 3 2 3 4" xfId="27254"/>
    <cellStyle name="Komma 8 3 2 4" xfId="6751"/>
    <cellStyle name="Komma 8 3 2 4 2" xfId="17559"/>
    <cellStyle name="Komma 8 3 2 4 3" xfId="28916"/>
    <cellStyle name="Komma 8 3 2 5" xfId="12574"/>
    <cellStyle name="Komma 8 3 2 6" xfId="23932"/>
    <cellStyle name="Komma 8 3 3" xfId="2594"/>
    <cellStyle name="Komma 8 3 3 2" xfId="7582"/>
    <cellStyle name="Komma 8 3 3 2 2" xfId="18389"/>
    <cellStyle name="Komma 8 3 3 2 3" xfId="29746"/>
    <cellStyle name="Komma 8 3 3 3" xfId="13404"/>
    <cellStyle name="Komma 8 3 3 4" xfId="24762"/>
    <cellStyle name="Komma 8 3 4" xfId="4258"/>
    <cellStyle name="Komma 8 3 4 2" xfId="9243"/>
    <cellStyle name="Komma 8 3 4 2 2" xfId="20050"/>
    <cellStyle name="Komma 8 3 4 2 3" xfId="31407"/>
    <cellStyle name="Komma 8 3 4 3" xfId="15065"/>
    <cellStyle name="Komma 8 3 4 4" xfId="26423"/>
    <cellStyle name="Komma 8 3 5" xfId="5920"/>
    <cellStyle name="Komma 8 3 5 2" xfId="16728"/>
    <cellStyle name="Komma 8 3 5 3" xfId="28085"/>
    <cellStyle name="Komma 8 3 6" xfId="10907"/>
    <cellStyle name="Komma 8 3 6 2" xfId="21714"/>
    <cellStyle name="Komma 8 3 6 3" xfId="33071"/>
    <cellStyle name="Komma 8 3 7" xfId="11742"/>
    <cellStyle name="Komma 8 3 8" xfId="23101"/>
    <cellStyle name="Komma 8 4" xfId="1207"/>
    <cellStyle name="Komma 8 4 2" xfId="2872"/>
    <cellStyle name="Komma 8 4 2 2" xfId="7860"/>
    <cellStyle name="Komma 8 4 2 2 2" xfId="18667"/>
    <cellStyle name="Komma 8 4 2 2 3" xfId="30024"/>
    <cellStyle name="Komma 8 4 2 3" xfId="13682"/>
    <cellStyle name="Komma 8 4 2 4" xfId="25040"/>
    <cellStyle name="Komma 8 4 3" xfId="4536"/>
    <cellStyle name="Komma 8 4 3 2" xfId="9521"/>
    <cellStyle name="Komma 8 4 3 2 2" xfId="20328"/>
    <cellStyle name="Komma 8 4 3 2 3" xfId="31685"/>
    <cellStyle name="Komma 8 4 3 3" xfId="15343"/>
    <cellStyle name="Komma 8 4 3 4" xfId="26701"/>
    <cellStyle name="Komma 8 4 4" xfId="6198"/>
    <cellStyle name="Komma 8 4 4 2" xfId="17006"/>
    <cellStyle name="Komma 8 4 4 3" xfId="28363"/>
    <cellStyle name="Komma 8 4 5" xfId="12021"/>
    <cellStyle name="Komma 8 4 6" xfId="23379"/>
    <cellStyle name="Komma 8 5" xfId="2042"/>
    <cellStyle name="Komma 8 5 2" xfId="7030"/>
    <cellStyle name="Komma 8 5 2 2" xfId="17838"/>
    <cellStyle name="Komma 8 5 2 3" xfId="29195"/>
    <cellStyle name="Komma 8 5 3" xfId="12853"/>
    <cellStyle name="Komma 8 5 4" xfId="24211"/>
    <cellStyle name="Komma 8 6" xfId="3707"/>
    <cellStyle name="Komma 8 6 2" xfId="8692"/>
    <cellStyle name="Komma 8 6 2 2" xfId="19499"/>
    <cellStyle name="Komma 8 6 2 3" xfId="30856"/>
    <cellStyle name="Komma 8 6 3" xfId="14514"/>
    <cellStyle name="Komma 8 6 4" xfId="25872"/>
    <cellStyle name="Komma 8 7" xfId="5368"/>
    <cellStyle name="Komma 8 7 2" xfId="16177"/>
    <cellStyle name="Komma 8 7 3" xfId="27534"/>
    <cellStyle name="Komma 8 8" xfId="10353"/>
    <cellStyle name="Komma 8 8 2" xfId="21160"/>
    <cellStyle name="Komma 8 8 3" xfId="32517"/>
    <cellStyle name="Komma 8 9" xfId="11187"/>
    <cellStyle name="Komma 9" xfId="339"/>
    <cellStyle name="Komma 9 10" xfId="21996"/>
    <cellStyle name="Komma 9 11" xfId="22549"/>
    <cellStyle name="Komma 9 12" xfId="33352"/>
    <cellStyle name="Komma 9 13" xfId="33627"/>
    <cellStyle name="Komma 9 14" xfId="33898"/>
    <cellStyle name="Komma 9 2" xfId="656"/>
    <cellStyle name="Komma 9 2 2" xfId="1488"/>
    <cellStyle name="Komma 9 2 2 2" xfId="3153"/>
    <cellStyle name="Komma 9 2 2 2 2" xfId="8141"/>
    <cellStyle name="Komma 9 2 2 2 2 2" xfId="18948"/>
    <cellStyle name="Komma 9 2 2 2 2 3" xfId="30305"/>
    <cellStyle name="Komma 9 2 2 2 3" xfId="13963"/>
    <cellStyle name="Komma 9 2 2 2 4" xfId="25321"/>
    <cellStyle name="Komma 9 2 2 3" xfId="4817"/>
    <cellStyle name="Komma 9 2 2 3 2" xfId="9802"/>
    <cellStyle name="Komma 9 2 2 3 2 2" xfId="20609"/>
    <cellStyle name="Komma 9 2 2 3 2 3" xfId="31966"/>
    <cellStyle name="Komma 9 2 2 3 3" xfId="15624"/>
    <cellStyle name="Komma 9 2 2 3 4" xfId="26982"/>
    <cellStyle name="Komma 9 2 2 4" xfId="6479"/>
    <cellStyle name="Komma 9 2 2 4 2" xfId="17287"/>
    <cellStyle name="Komma 9 2 2 4 3" xfId="28644"/>
    <cellStyle name="Komma 9 2 2 5" xfId="12302"/>
    <cellStyle name="Komma 9 2 2 6" xfId="23660"/>
    <cellStyle name="Komma 9 2 3" xfId="2322"/>
    <cellStyle name="Komma 9 2 3 2" xfId="7310"/>
    <cellStyle name="Komma 9 2 3 2 2" xfId="18117"/>
    <cellStyle name="Komma 9 2 3 2 3" xfId="29474"/>
    <cellStyle name="Komma 9 2 3 3" xfId="13132"/>
    <cellStyle name="Komma 9 2 3 4" xfId="24490"/>
    <cellStyle name="Komma 9 2 4" xfId="3986"/>
    <cellStyle name="Komma 9 2 4 2" xfId="8971"/>
    <cellStyle name="Komma 9 2 4 2 2" xfId="19778"/>
    <cellStyle name="Komma 9 2 4 2 3" xfId="31135"/>
    <cellStyle name="Komma 9 2 4 3" xfId="14793"/>
    <cellStyle name="Komma 9 2 4 4" xfId="26151"/>
    <cellStyle name="Komma 9 2 5" xfId="5648"/>
    <cellStyle name="Komma 9 2 5 2" xfId="16456"/>
    <cellStyle name="Komma 9 2 5 3" xfId="27813"/>
    <cellStyle name="Komma 9 2 6" xfId="10635"/>
    <cellStyle name="Komma 9 2 6 2" xfId="21442"/>
    <cellStyle name="Komma 9 2 6 3" xfId="32799"/>
    <cellStyle name="Komma 9 2 7" xfId="11469"/>
    <cellStyle name="Komma 9 2 8" xfId="22275"/>
    <cellStyle name="Komma 9 2 9" xfId="22829"/>
    <cellStyle name="Komma 9 3" xfId="930"/>
    <cellStyle name="Komma 9 3 2" xfId="1762"/>
    <cellStyle name="Komma 9 3 2 2" xfId="3427"/>
    <cellStyle name="Komma 9 3 2 2 2" xfId="8415"/>
    <cellStyle name="Komma 9 3 2 2 2 2" xfId="19222"/>
    <cellStyle name="Komma 9 3 2 2 2 3" xfId="30579"/>
    <cellStyle name="Komma 9 3 2 2 3" xfId="14237"/>
    <cellStyle name="Komma 9 3 2 2 4" xfId="25595"/>
    <cellStyle name="Komma 9 3 2 3" xfId="5091"/>
    <cellStyle name="Komma 9 3 2 3 2" xfId="10076"/>
    <cellStyle name="Komma 9 3 2 3 2 2" xfId="20883"/>
    <cellStyle name="Komma 9 3 2 3 2 3" xfId="32240"/>
    <cellStyle name="Komma 9 3 2 3 3" xfId="15898"/>
    <cellStyle name="Komma 9 3 2 3 4" xfId="27256"/>
    <cellStyle name="Komma 9 3 2 4" xfId="6753"/>
    <cellStyle name="Komma 9 3 2 4 2" xfId="17561"/>
    <cellStyle name="Komma 9 3 2 4 3" xfId="28918"/>
    <cellStyle name="Komma 9 3 2 5" xfId="12576"/>
    <cellStyle name="Komma 9 3 2 6" xfId="23934"/>
    <cellStyle name="Komma 9 3 3" xfId="2596"/>
    <cellStyle name="Komma 9 3 3 2" xfId="7584"/>
    <cellStyle name="Komma 9 3 3 2 2" xfId="18391"/>
    <cellStyle name="Komma 9 3 3 2 3" xfId="29748"/>
    <cellStyle name="Komma 9 3 3 3" xfId="13406"/>
    <cellStyle name="Komma 9 3 3 4" xfId="24764"/>
    <cellStyle name="Komma 9 3 4" xfId="4260"/>
    <cellStyle name="Komma 9 3 4 2" xfId="9245"/>
    <cellStyle name="Komma 9 3 4 2 2" xfId="20052"/>
    <cellStyle name="Komma 9 3 4 2 3" xfId="31409"/>
    <cellStyle name="Komma 9 3 4 3" xfId="15067"/>
    <cellStyle name="Komma 9 3 4 4" xfId="26425"/>
    <cellStyle name="Komma 9 3 5" xfId="5922"/>
    <cellStyle name="Komma 9 3 5 2" xfId="16730"/>
    <cellStyle name="Komma 9 3 5 3" xfId="28087"/>
    <cellStyle name="Komma 9 3 6" xfId="10909"/>
    <cellStyle name="Komma 9 3 6 2" xfId="21716"/>
    <cellStyle name="Komma 9 3 6 3" xfId="33073"/>
    <cellStyle name="Komma 9 3 7" xfId="11744"/>
    <cellStyle name="Komma 9 3 8" xfId="23103"/>
    <cellStyle name="Komma 9 4" xfId="1209"/>
    <cellStyle name="Komma 9 4 2" xfId="2874"/>
    <cellStyle name="Komma 9 4 2 2" xfId="7862"/>
    <cellStyle name="Komma 9 4 2 2 2" xfId="18669"/>
    <cellStyle name="Komma 9 4 2 2 3" xfId="30026"/>
    <cellStyle name="Komma 9 4 2 3" xfId="13684"/>
    <cellStyle name="Komma 9 4 2 4" xfId="25042"/>
    <cellStyle name="Komma 9 4 3" xfId="4538"/>
    <cellStyle name="Komma 9 4 3 2" xfId="9523"/>
    <cellStyle name="Komma 9 4 3 2 2" xfId="20330"/>
    <cellStyle name="Komma 9 4 3 2 3" xfId="31687"/>
    <cellStyle name="Komma 9 4 3 3" xfId="15345"/>
    <cellStyle name="Komma 9 4 3 4" xfId="26703"/>
    <cellStyle name="Komma 9 4 4" xfId="6200"/>
    <cellStyle name="Komma 9 4 4 2" xfId="17008"/>
    <cellStyle name="Komma 9 4 4 3" xfId="28365"/>
    <cellStyle name="Komma 9 4 5" xfId="12023"/>
    <cellStyle name="Komma 9 4 6" xfId="23381"/>
    <cellStyle name="Komma 9 5" xfId="2044"/>
    <cellStyle name="Komma 9 5 2" xfId="7032"/>
    <cellStyle name="Komma 9 5 2 2" xfId="17840"/>
    <cellStyle name="Komma 9 5 2 3" xfId="29197"/>
    <cellStyle name="Komma 9 5 3" xfId="12855"/>
    <cellStyle name="Komma 9 5 4" xfId="24213"/>
    <cellStyle name="Komma 9 6" xfId="3709"/>
    <cellStyle name="Komma 9 6 2" xfId="8694"/>
    <cellStyle name="Komma 9 6 2 2" xfId="19501"/>
    <cellStyle name="Komma 9 6 2 3" xfId="30858"/>
    <cellStyle name="Komma 9 6 3" xfId="14516"/>
    <cellStyle name="Komma 9 6 4" xfId="25874"/>
    <cellStyle name="Komma 9 7" xfId="5370"/>
    <cellStyle name="Komma 9 7 2" xfId="16179"/>
    <cellStyle name="Komma 9 7 3" xfId="27536"/>
    <cellStyle name="Komma 9 8" xfId="10355"/>
    <cellStyle name="Komma 9 8 2" xfId="21162"/>
    <cellStyle name="Komma 9 8 3" xfId="32519"/>
    <cellStyle name="Komma 9 9" xfId="11189"/>
    <cellStyle name="Kontroller celle" xfId="15" builtinId="23" customBuiltin="1"/>
    <cellStyle name="Linked Cell" xfId="158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eutral 2" xfId="159"/>
    <cellStyle name="Normal" xfId="0" builtinId="0"/>
    <cellStyle name="Normal 10" xfId="283"/>
    <cellStyle name="Normal 10 10" xfId="21940"/>
    <cellStyle name="Normal 10 11" xfId="22493"/>
    <cellStyle name="Normal 10 12" xfId="33296"/>
    <cellStyle name="Normal 10 13" xfId="33571"/>
    <cellStyle name="Normal 10 14" xfId="33842"/>
    <cellStyle name="Normal 10 2" xfId="600"/>
    <cellStyle name="Normal 10 2 2" xfId="1432"/>
    <cellStyle name="Normal 10 2 2 2" xfId="3097"/>
    <cellStyle name="Normal 10 2 2 2 2" xfId="8085"/>
    <cellStyle name="Normal 10 2 2 2 2 2" xfId="18892"/>
    <cellStyle name="Normal 10 2 2 2 2 3" xfId="30249"/>
    <cellStyle name="Normal 10 2 2 2 3" xfId="13907"/>
    <cellStyle name="Normal 10 2 2 2 4" xfId="25265"/>
    <cellStyle name="Normal 10 2 2 3" xfId="4761"/>
    <cellStyle name="Normal 10 2 2 3 2" xfId="9746"/>
    <cellStyle name="Normal 10 2 2 3 2 2" xfId="20553"/>
    <cellStyle name="Normal 10 2 2 3 2 3" xfId="31910"/>
    <cellStyle name="Normal 10 2 2 3 3" xfId="15568"/>
    <cellStyle name="Normal 10 2 2 3 4" xfId="26926"/>
    <cellStyle name="Normal 10 2 2 4" xfId="6423"/>
    <cellStyle name="Normal 10 2 2 4 2" xfId="17231"/>
    <cellStyle name="Normal 10 2 2 4 3" xfId="28588"/>
    <cellStyle name="Normal 10 2 2 5" xfId="12246"/>
    <cellStyle name="Normal 10 2 2 6" xfId="23604"/>
    <cellStyle name="Normal 10 2 3" xfId="2266"/>
    <cellStyle name="Normal 10 2 3 2" xfId="7254"/>
    <cellStyle name="Normal 10 2 3 2 2" xfId="18061"/>
    <cellStyle name="Normal 10 2 3 2 3" xfId="29418"/>
    <cellStyle name="Normal 10 2 3 3" xfId="13076"/>
    <cellStyle name="Normal 10 2 3 4" xfId="24434"/>
    <cellStyle name="Normal 10 2 4" xfId="3930"/>
    <cellStyle name="Normal 10 2 4 2" xfId="8915"/>
    <cellStyle name="Normal 10 2 4 2 2" xfId="19722"/>
    <cellStyle name="Normal 10 2 4 2 3" xfId="31079"/>
    <cellStyle name="Normal 10 2 4 3" xfId="14737"/>
    <cellStyle name="Normal 10 2 4 4" xfId="26095"/>
    <cellStyle name="Normal 10 2 5" xfId="5592"/>
    <cellStyle name="Normal 10 2 5 2" xfId="16400"/>
    <cellStyle name="Normal 10 2 5 3" xfId="27757"/>
    <cellStyle name="Normal 10 2 6" xfId="10579"/>
    <cellStyle name="Normal 10 2 6 2" xfId="21386"/>
    <cellStyle name="Normal 10 2 6 3" xfId="32743"/>
    <cellStyle name="Normal 10 2 7" xfId="11413"/>
    <cellStyle name="Normal 10 2 8" xfId="22219"/>
    <cellStyle name="Normal 10 2 9" xfId="22773"/>
    <cellStyle name="Normal 10 3" xfId="874"/>
    <cellStyle name="Normal 10 3 2" xfId="1706"/>
    <cellStyle name="Normal 10 3 2 2" xfId="3371"/>
    <cellStyle name="Normal 10 3 2 2 2" xfId="8359"/>
    <cellStyle name="Normal 10 3 2 2 2 2" xfId="19166"/>
    <cellStyle name="Normal 10 3 2 2 2 3" xfId="30523"/>
    <cellStyle name="Normal 10 3 2 2 3" xfId="14181"/>
    <cellStyle name="Normal 10 3 2 2 4" xfId="25539"/>
    <cellStyle name="Normal 10 3 2 3" xfId="5035"/>
    <cellStyle name="Normal 10 3 2 3 2" xfId="10020"/>
    <cellStyle name="Normal 10 3 2 3 2 2" xfId="20827"/>
    <cellStyle name="Normal 10 3 2 3 2 3" xfId="32184"/>
    <cellStyle name="Normal 10 3 2 3 3" xfId="15842"/>
    <cellStyle name="Normal 10 3 2 3 4" xfId="27200"/>
    <cellStyle name="Normal 10 3 2 4" xfId="6697"/>
    <cellStyle name="Normal 10 3 2 4 2" xfId="17505"/>
    <cellStyle name="Normal 10 3 2 4 3" xfId="28862"/>
    <cellStyle name="Normal 10 3 2 5" xfId="12520"/>
    <cellStyle name="Normal 10 3 2 6" xfId="23878"/>
    <cellStyle name="Normal 10 3 3" xfId="2540"/>
    <cellStyle name="Normal 10 3 3 2" xfId="7528"/>
    <cellStyle name="Normal 10 3 3 2 2" xfId="18335"/>
    <cellStyle name="Normal 10 3 3 2 3" xfId="29692"/>
    <cellStyle name="Normal 10 3 3 3" xfId="13350"/>
    <cellStyle name="Normal 10 3 3 4" xfId="24708"/>
    <cellStyle name="Normal 10 3 4" xfId="4204"/>
    <cellStyle name="Normal 10 3 4 2" xfId="9189"/>
    <cellStyle name="Normal 10 3 4 2 2" xfId="19996"/>
    <cellStyle name="Normal 10 3 4 2 3" xfId="31353"/>
    <cellStyle name="Normal 10 3 4 3" xfId="15011"/>
    <cellStyle name="Normal 10 3 4 4" xfId="26369"/>
    <cellStyle name="Normal 10 3 5" xfId="5866"/>
    <cellStyle name="Normal 10 3 5 2" xfId="16674"/>
    <cellStyle name="Normal 10 3 5 3" xfId="28031"/>
    <cellStyle name="Normal 10 3 6" xfId="10853"/>
    <cellStyle name="Normal 10 3 6 2" xfId="21660"/>
    <cellStyle name="Normal 10 3 6 3" xfId="33017"/>
    <cellStyle name="Normal 10 3 7" xfId="11688"/>
    <cellStyle name="Normal 10 3 8" xfId="23047"/>
    <cellStyle name="Normal 10 4" xfId="1153"/>
    <cellStyle name="Normal 10 4 2" xfId="2818"/>
    <cellStyle name="Normal 10 4 2 2" xfId="7806"/>
    <cellStyle name="Normal 10 4 2 2 2" xfId="18613"/>
    <cellStyle name="Normal 10 4 2 2 3" xfId="29970"/>
    <cellStyle name="Normal 10 4 2 3" xfId="13628"/>
    <cellStyle name="Normal 10 4 2 4" xfId="24986"/>
    <cellStyle name="Normal 10 4 3" xfId="4482"/>
    <cellStyle name="Normal 10 4 3 2" xfId="9467"/>
    <cellStyle name="Normal 10 4 3 2 2" xfId="20274"/>
    <cellStyle name="Normal 10 4 3 2 3" xfId="31631"/>
    <cellStyle name="Normal 10 4 3 3" xfId="15289"/>
    <cellStyle name="Normal 10 4 3 4" xfId="26647"/>
    <cellStyle name="Normal 10 4 4" xfId="6144"/>
    <cellStyle name="Normal 10 4 4 2" xfId="16952"/>
    <cellStyle name="Normal 10 4 4 3" xfId="28309"/>
    <cellStyle name="Normal 10 4 5" xfId="11967"/>
    <cellStyle name="Normal 10 4 6" xfId="23325"/>
    <cellStyle name="Normal 10 5" xfId="1988"/>
    <cellStyle name="Normal 10 5 2" xfId="6976"/>
    <cellStyle name="Normal 10 5 2 2" xfId="17784"/>
    <cellStyle name="Normal 10 5 2 3" xfId="29141"/>
    <cellStyle name="Normal 10 5 3" xfId="12799"/>
    <cellStyle name="Normal 10 5 4" xfId="24157"/>
    <cellStyle name="Normal 10 6" xfId="3653"/>
    <cellStyle name="Normal 10 6 2" xfId="8638"/>
    <cellStyle name="Normal 10 6 2 2" xfId="19445"/>
    <cellStyle name="Normal 10 6 2 3" xfId="30802"/>
    <cellStyle name="Normal 10 6 3" xfId="14460"/>
    <cellStyle name="Normal 10 6 4" xfId="25818"/>
    <cellStyle name="Normal 10 7" xfId="5314"/>
    <cellStyle name="Normal 10 7 2" xfId="16123"/>
    <cellStyle name="Normal 10 7 3" xfId="27480"/>
    <cellStyle name="Normal 10 8" xfId="10299"/>
    <cellStyle name="Normal 10 8 2" xfId="21106"/>
    <cellStyle name="Normal 10 8 3" xfId="32463"/>
    <cellStyle name="Normal 10 9" xfId="11133"/>
    <cellStyle name="Normal 11" xfId="338"/>
    <cellStyle name="Normal 11 10" xfId="21995"/>
    <cellStyle name="Normal 11 11" xfId="22548"/>
    <cellStyle name="Normal 11 12" xfId="33351"/>
    <cellStyle name="Normal 11 13" xfId="33626"/>
    <cellStyle name="Normal 11 14" xfId="33897"/>
    <cellStyle name="Normal 11 2" xfId="655"/>
    <cellStyle name="Normal 11 2 2" xfId="1487"/>
    <cellStyle name="Normal 11 2 2 2" xfId="3152"/>
    <cellStyle name="Normal 11 2 2 2 2" xfId="8140"/>
    <cellStyle name="Normal 11 2 2 2 2 2" xfId="18947"/>
    <cellStyle name="Normal 11 2 2 2 2 3" xfId="30304"/>
    <cellStyle name="Normal 11 2 2 2 3" xfId="13962"/>
    <cellStyle name="Normal 11 2 2 2 4" xfId="25320"/>
    <cellStyle name="Normal 11 2 2 3" xfId="4816"/>
    <cellStyle name="Normal 11 2 2 3 2" xfId="9801"/>
    <cellStyle name="Normal 11 2 2 3 2 2" xfId="20608"/>
    <cellStyle name="Normal 11 2 2 3 2 3" xfId="31965"/>
    <cellStyle name="Normal 11 2 2 3 3" xfId="15623"/>
    <cellStyle name="Normal 11 2 2 3 4" xfId="26981"/>
    <cellStyle name="Normal 11 2 2 4" xfId="6478"/>
    <cellStyle name="Normal 11 2 2 4 2" xfId="17286"/>
    <cellStyle name="Normal 11 2 2 4 3" xfId="28643"/>
    <cellStyle name="Normal 11 2 2 5" xfId="12301"/>
    <cellStyle name="Normal 11 2 2 6" xfId="23659"/>
    <cellStyle name="Normal 11 2 3" xfId="2321"/>
    <cellStyle name="Normal 11 2 3 2" xfId="7309"/>
    <cellStyle name="Normal 11 2 3 2 2" xfId="18116"/>
    <cellStyle name="Normal 11 2 3 2 3" xfId="29473"/>
    <cellStyle name="Normal 11 2 3 3" xfId="13131"/>
    <cellStyle name="Normal 11 2 3 4" xfId="24489"/>
    <cellStyle name="Normal 11 2 4" xfId="3985"/>
    <cellStyle name="Normal 11 2 4 2" xfId="8970"/>
    <cellStyle name="Normal 11 2 4 2 2" xfId="19777"/>
    <cellStyle name="Normal 11 2 4 2 3" xfId="31134"/>
    <cellStyle name="Normal 11 2 4 3" xfId="14792"/>
    <cellStyle name="Normal 11 2 4 4" xfId="26150"/>
    <cellStyle name="Normal 11 2 5" xfId="5647"/>
    <cellStyle name="Normal 11 2 5 2" xfId="16455"/>
    <cellStyle name="Normal 11 2 5 3" xfId="27812"/>
    <cellStyle name="Normal 11 2 6" xfId="10634"/>
    <cellStyle name="Normal 11 2 6 2" xfId="21441"/>
    <cellStyle name="Normal 11 2 6 3" xfId="32798"/>
    <cellStyle name="Normal 11 2 7" xfId="11468"/>
    <cellStyle name="Normal 11 2 8" xfId="22274"/>
    <cellStyle name="Normal 11 2 9" xfId="22828"/>
    <cellStyle name="Normal 11 3" xfId="929"/>
    <cellStyle name="Normal 11 3 2" xfId="1761"/>
    <cellStyle name="Normal 11 3 2 2" xfId="3426"/>
    <cellStyle name="Normal 11 3 2 2 2" xfId="8414"/>
    <cellStyle name="Normal 11 3 2 2 2 2" xfId="19221"/>
    <cellStyle name="Normal 11 3 2 2 2 3" xfId="30578"/>
    <cellStyle name="Normal 11 3 2 2 3" xfId="14236"/>
    <cellStyle name="Normal 11 3 2 2 4" xfId="25594"/>
    <cellStyle name="Normal 11 3 2 3" xfId="5090"/>
    <cellStyle name="Normal 11 3 2 3 2" xfId="10075"/>
    <cellStyle name="Normal 11 3 2 3 2 2" xfId="20882"/>
    <cellStyle name="Normal 11 3 2 3 2 3" xfId="32239"/>
    <cellStyle name="Normal 11 3 2 3 3" xfId="15897"/>
    <cellStyle name="Normal 11 3 2 3 4" xfId="27255"/>
    <cellStyle name="Normal 11 3 2 4" xfId="6752"/>
    <cellStyle name="Normal 11 3 2 4 2" xfId="17560"/>
    <cellStyle name="Normal 11 3 2 4 3" xfId="28917"/>
    <cellStyle name="Normal 11 3 2 5" xfId="12575"/>
    <cellStyle name="Normal 11 3 2 6" xfId="23933"/>
    <cellStyle name="Normal 11 3 3" xfId="2595"/>
    <cellStyle name="Normal 11 3 3 2" xfId="7583"/>
    <cellStyle name="Normal 11 3 3 2 2" xfId="18390"/>
    <cellStyle name="Normal 11 3 3 2 3" xfId="29747"/>
    <cellStyle name="Normal 11 3 3 3" xfId="13405"/>
    <cellStyle name="Normal 11 3 3 4" xfId="24763"/>
    <cellStyle name="Normal 11 3 4" xfId="4259"/>
    <cellStyle name="Normal 11 3 4 2" xfId="9244"/>
    <cellStyle name="Normal 11 3 4 2 2" xfId="20051"/>
    <cellStyle name="Normal 11 3 4 2 3" xfId="31408"/>
    <cellStyle name="Normal 11 3 4 3" xfId="15066"/>
    <cellStyle name="Normal 11 3 4 4" xfId="26424"/>
    <cellStyle name="Normal 11 3 5" xfId="5921"/>
    <cellStyle name="Normal 11 3 5 2" xfId="16729"/>
    <cellStyle name="Normal 11 3 5 3" xfId="28086"/>
    <cellStyle name="Normal 11 3 6" xfId="10908"/>
    <cellStyle name="Normal 11 3 6 2" xfId="21715"/>
    <cellStyle name="Normal 11 3 6 3" xfId="33072"/>
    <cellStyle name="Normal 11 3 7" xfId="11743"/>
    <cellStyle name="Normal 11 3 8" xfId="23102"/>
    <cellStyle name="Normal 11 4" xfId="1208"/>
    <cellStyle name="Normal 11 4 2" xfId="2873"/>
    <cellStyle name="Normal 11 4 2 2" xfId="7861"/>
    <cellStyle name="Normal 11 4 2 2 2" xfId="18668"/>
    <cellStyle name="Normal 11 4 2 2 3" xfId="30025"/>
    <cellStyle name="Normal 11 4 2 3" xfId="13683"/>
    <cellStyle name="Normal 11 4 2 4" xfId="25041"/>
    <cellStyle name="Normal 11 4 3" xfId="4537"/>
    <cellStyle name="Normal 11 4 3 2" xfId="9522"/>
    <cellStyle name="Normal 11 4 3 2 2" xfId="20329"/>
    <cellStyle name="Normal 11 4 3 2 3" xfId="31686"/>
    <cellStyle name="Normal 11 4 3 3" xfId="15344"/>
    <cellStyle name="Normal 11 4 3 4" xfId="26702"/>
    <cellStyle name="Normal 11 4 4" xfId="6199"/>
    <cellStyle name="Normal 11 4 4 2" xfId="17007"/>
    <cellStyle name="Normal 11 4 4 3" xfId="28364"/>
    <cellStyle name="Normal 11 4 5" xfId="12022"/>
    <cellStyle name="Normal 11 4 6" xfId="23380"/>
    <cellStyle name="Normal 11 5" xfId="2043"/>
    <cellStyle name="Normal 11 5 2" xfId="7031"/>
    <cellStyle name="Normal 11 5 2 2" xfId="17839"/>
    <cellStyle name="Normal 11 5 2 3" xfId="29196"/>
    <cellStyle name="Normal 11 5 3" xfId="12854"/>
    <cellStyle name="Normal 11 5 4" xfId="24212"/>
    <cellStyle name="Normal 11 6" xfId="3708"/>
    <cellStyle name="Normal 11 6 2" xfId="8693"/>
    <cellStyle name="Normal 11 6 2 2" xfId="19500"/>
    <cellStyle name="Normal 11 6 2 3" xfId="30857"/>
    <cellStyle name="Normal 11 6 3" xfId="14515"/>
    <cellStyle name="Normal 11 6 4" xfId="25873"/>
    <cellStyle name="Normal 11 7" xfId="5369"/>
    <cellStyle name="Normal 11 7 2" xfId="16178"/>
    <cellStyle name="Normal 11 7 3" xfId="27535"/>
    <cellStyle name="Normal 11 8" xfId="10354"/>
    <cellStyle name="Normal 11 8 2" xfId="21161"/>
    <cellStyle name="Normal 11 8 3" xfId="32518"/>
    <cellStyle name="Normal 11 9" xfId="11188"/>
    <cellStyle name="Normal 12" xfId="171"/>
    <cellStyle name="Normal 12 2" xfId="429"/>
    <cellStyle name="Normal 13" xfId="437"/>
    <cellStyle name="Normal 13 2" xfId="438"/>
    <cellStyle name="Normal 13 3" xfId="990"/>
    <cellStyle name="Normal 13 3 2" xfId="1823"/>
    <cellStyle name="Normal 13 3 3" xfId="1822"/>
    <cellStyle name="Normal 13 3 4" xfId="10969"/>
    <cellStyle name="Normal 13 3 4 2" xfId="21776"/>
    <cellStyle name="Normal 13 4" xfId="2104"/>
    <cellStyle name="Normal 13 4 2" xfId="7092"/>
    <cellStyle name="Normal 13 5" xfId="5430"/>
    <cellStyle name="Normal 13 5 2" xfId="11524"/>
    <cellStyle name="Normal 14" xfId="439"/>
    <cellStyle name="Normal 14 2" xfId="1269"/>
    <cellStyle name="Normal 14 2 2" xfId="2934"/>
    <cellStyle name="Normal 14 2 2 2" xfId="7922"/>
    <cellStyle name="Normal 14 2 2 2 2" xfId="18729"/>
    <cellStyle name="Normal 14 2 2 2 3" xfId="30086"/>
    <cellStyle name="Normal 14 2 2 3" xfId="13744"/>
    <cellStyle name="Normal 14 2 2 4" xfId="25102"/>
    <cellStyle name="Normal 14 2 3" xfId="4598"/>
    <cellStyle name="Normal 14 2 3 2" xfId="9583"/>
    <cellStyle name="Normal 14 2 3 2 2" xfId="20390"/>
    <cellStyle name="Normal 14 2 3 2 3" xfId="31747"/>
    <cellStyle name="Normal 14 2 3 3" xfId="15405"/>
    <cellStyle name="Normal 14 2 3 4" xfId="26763"/>
    <cellStyle name="Normal 14 2 4" xfId="6260"/>
    <cellStyle name="Normal 14 2 4 2" xfId="17068"/>
    <cellStyle name="Normal 14 2 4 3" xfId="28425"/>
    <cellStyle name="Normal 14 2 5" xfId="12083"/>
    <cellStyle name="Normal 14 2 6" xfId="23441"/>
    <cellStyle name="Normal 14 3" xfId="2105"/>
    <cellStyle name="Normal 14 3 2" xfId="7093"/>
    <cellStyle name="Normal 14 3 2 2" xfId="17900"/>
    <cellStyle name="Normal 14 3 2 3" xfId="29257"/>
    <cellStyle name="Normal 14 3 3" xfId="12915"/>
    <cellStyle name="Normal 14 3 4" xfId="24273"/>
    <cellStyle name="Normal 14 4" xfId="3769"/>
    <cellStyle name="Normal 14 4 2" xfId="8754"/>
    <cellStyle name="Normal 14 4 2 2" xfId="19561"/>
    <cellStyle name="Normal 14 4 2 3" xfId="30918"/>
    <cellStyle name="Normal 14 4 3" xfId="14576"/>
    <cellStyle name="Normal 14 4 4" xfId="25934"/>
    <cellStyle name="Normal 14 5" xfId="5431"/>
    <cellStyle name="Normal 14 5 2" xfId="16239"/>
    <cellStyle name="Normal 14 5 3" xfId="27596"/>
    <cellStyle name="Normal 14 6" xfId="10436"/>
    <cellStyle name="Normal 14 6 2" xfId="21243"/>
    <cellStyle name="Normal 14 6 3" xfId="32600"/>
    <cellStyle name="Normal 14 7" xfId="11250"/>
    <cellStyle name="Normal 14 8" xfId="22056"/>
    <cellStyle name="Normal 14 9" xfId="22610"/>
    <cellStyle name="Normal 15" xfId="711"/>
    <cellStyle name="Normal 15 2" xfId="1543"/>
    <cellStyle name="Normal 15 2 2" xfId="3208"/>
    <cellStyle name="Normal 15 2 2 2" xfId="8196"/>
    <cellStyle name="Normal 15 2 2 2 2" xfId="19003"/>
    <cellStyle name="Normal 15 2 2 2 3" xfId="30360"/>
    <cellStyle name="Normal 15 2 2 3" xfId="14018"/>
    <cellStyle name="Normal 15 2 2 4" xfId="25376"/>
    <cellStyle name="Normal 15 2 3" xfId="4872"/>
    <cellStyle name="Normal 15 2 3 2" xfId="9857"/>
    <cellStyle name="Normal 15 2 3 2 2" xfId="20664"/>
    <cellStyle name="Normal 15 2 3 2 3" xfId="32021"/>
    <cellStyle name="Normal 15 2 3 3" xfId="15679"/>
    <cellStyle name="Normal 15 2 3 4" xfId="27037"/>
    <cellStyle name="Normal 15 2 4" xfId="6534"/>
    <cellStyle name="Normal 15 2 4 2" xfId="17342"/>
    <cellStyle name="Normal 15 2 4 3" xfId="28699"/>
    <cellStyle name="Normal 15 2 5" xfId="12357"/>
    <cellStyle name="Normal 15 2 6" xfId="23715"/>
    <cellStyle name="Normal 15 3" xfId="2377"/>
    <cellStyle name="Normal 15 3 2" xfId="7365"/>
    <cellStyle name="Normal 15 3 2 2" xfId="18172"/>
    <cellStyle name="Normal 15 3 2 3" xfId="29529"/>
    <cellStyle name="Normal 15 3 3" xfId="13187"/>
    <cellStyle name="Normal 15 3 4" xfId="24545"/>
    <cellStyle name="Normal 15 4" xfId="3488"/>
    <cellStyle name="Normal 15 5" xfId="4041"/>
    <cellStyle name="Normal 15 5 2" xfId="9026"/>
    <cellStyle name="Normal 15 5 2 2" xfId="19833"/>
    <cellStyle name="Normal 15 5 2 3" xfId="31190"/>
    <cellStyle name="Normal 15 5 3" xfId="14848"/>
    <cellStyle name="Normal 15 5 4" xfId="26206"/>
    <cellStyle name="Normal 15 6" xfId="5703"/>
    <cellStyle name="Normal 15 6 2" xfId="16511"/>
    <cellStyle name="Normal 15 6 3" xfId="27868"/>
    <cellStyle name="Normal 15 7" xfId="10690"/>
    <cellStyle name="Normal 15 7 2" xfId="21497"/>
    <cellStyle name="Normal 15 7 3" xfId="32854"/>
    <cellStyle name="Normal 15 8" xfId="11525"/>
    <cellStyle name="Normal 15 9" xfId="22884"/>
    <cellStyle name="Normal 16" xfId="1824"/>
    <cellStyle name="Normal 17" xfId="991"/>
    <cellStyle name="Normal 17 2" xfId="2656"/>
    <cellStyle name="Normal 17 2 2" xfId="7644"/>
    <cellStyle name="Normal 17 2 2 2" xfId="18451"/>
    <cellStyle name="Normal 17 2 2 3" xfId="29808"/>
    <cellStyle name="Normal 17 2 3" xfId="13466"/>
    <cellStyle name="Normal 17 2 4" xfId="24824"/>
    <cellStyle name="Normal 17 3" xfId="4320"/>
    <cellStyle name="Normal 17 3 2" xfId="9305"/>
    <cellStyle name="Normal 17 3 2 2" xfId="20112"/>
    <cellStyle name="Normal 17 3 2 3" xfId="31469"/>
    <cellStyle name="Normal 17 3 3" xfId="15127"/>
    <cellStyle name="Normal 17 3 4" xfId="26485"/>
    <cellStyle name="Normal 17 4" xfId="5982"/>
    <cellStyle name="Normal 17 4 2" xfId="16790"/>
    <cellStyle name="Normal 17 4 3" xfId="28147"/>
    <cellStyle name="Normal 17 5" xfId="11805"/>
    <cellStyle name="Normal 17 6" xfId="23163"/>
    <cellStyle name="Normal 18" xfId="1825"/>
    <cellStyle name="Normal 18 2" xfId="6813"/>
    <cellStyle name="Normal 18 2 2" xfId="17621"/>
    <cellStyle name="Normal 18 2 3" xfId="28978"/>
    <cellStyle name="Normal 18 3" xfId="12636"/>
    <cellStyle name="Normal 18 4" xfId="23994"/>
    <cellStyle name="Normal 19" xfId="3490"/>
    <cellStyle name="Normal 19 2" xfId="8475"/>
    <cellStyle name="Normal 19 2 2" xfId="19282"/>
    <cellStyle name="Normal 19 2 3" xfId="30639"/>
    <cellStyle name="Normal 19 3" xfId="14297"/>
    <cellStyle name="Normal 19 4" xfId="25655"/>
    <cellStyle name="Normal 2" xfId="1"/>
    <cellStyle name="Normal 2 2" xfId="45"/>
    <cellStyle name="Normal 2 2 2" xfId="88"/>
    <cellStyle name="Normal 2 2 2 2" xfId="411"/>
    <cellStyle name="Normal 2 2 3" xfId="398"/>
    <cellStyle name="Normal 2 3" xfId="87"/>
    <cellStyle name="Normal 2 3 2" xfId="168"/>
    <cellStyle name="Normal 2 3 2 2" xfId="410"/>
    <cellStyle name="Normal 2 3 3" xfId="243"/>
    <cellStyle name="Normal 2 3 4" xfId="431"/>
    <cellStyle name="Normal 2 3 5" xfId="167"/>
    <cellStyle name="Normal 2 4" xfId="166"/>
    <cellStyle name="Normal 2 4 2" xfId="396"/>
    <cellStyle name="Normal 2 4 3" xfId="417"/>
    <cellStyle name="Normal 2 4 4" xfId="432"/>
    <cellStyle name="Normal 2 4 5" xfId="169"/>
    <cellStyle name="Normal 2 5" xfId="397"/>
    <cellStyle name="Normal 20" xfId="5151"/>
    <cellStyle name="Normal 20 2" xfId="15960"/>
    <cellStyle name="Normal 20 2 2" xfId="27317"/>
    <cellStyle name="Normal 20 3" xfId="11249"/>
    <cellStyle name="Normal 21" xfId="10136"/>
    <cellStyle name="Normal 21 2" xfId="20943"/>
    <cellStyle name="Normal 21 3" xfId="32300"/>
    <cellStyle name="Normal 22" xfId="15958"/>
    <cellStyle name="Normal 22 2" xfId="27316"/>
    <cellStyle name="Normal 23" xfId="10970"/>
    <cellStyle name="Normal 24" xfId="21777"/>
    <cellStyle name="Normal 25" xfId="22330"/>
    <cellStyle name="Normal 26" xfId="33133"/>
    <cellStyle name="Normal 27" xfId="33952"/>
    <cellStyle name="Normal 28" xfId="33954"/>
    <cellStyle name="Normal 29" xfId="33958"/>
    <cellStyle name="Normal 3" xfId="46"/>
    <cellStyle name="Normal 3 10" xfId="10137"/>
    <cellStyle name="Normal 3 10 2" xfId="20944"/>
    <cellStyle name="Normal 3 10 3" xfId="32301"/>
    <cellStyle name="Normal 3 11" xfId="10971"/>
    <cellStyle name="Normal 3 12" xfId="21778"/>
    <cellStyle name="Normal 3 13" xfId="22331"/>
    <cellStyle name="Normal 3 14" xfId="33134"/>
    <cellStyle name="Normal 3 15" xfId="33424"/>
    <cellStyle name="Normal 3 16" xfId="33695"/>
    <cellStyle name="Normal 3 2" xfId="47"/>
    <cellStyle name="Normal 3 2 2" xfId="90"/>
    <cellStyle name="Normal 3 2 2 2" xfId="412"/>
    <cellStyle name="Normal 3 2 3" xfId="400"/>
    <cellStyle name="Normal 3 3" xfId="63"/>
    <cellStyle name="Normal 3 3 2" xfId="91"/>
    <cellStyle name="Normal 3 3 2 2" xfId="413"/>
    <cellStyle name="Normal 3 3 3" xfId="399"/>
    <cellStyle name="Normal 3 4" xfId="89"/>
    <cellStyle name="Normal 3 4 10" xfId="3532"/>
    <cellStyle name="Normal 3 4 10 2" xfId="8517"/>
    <cellStyle name="Normal 3 4 10 2 2" xfId="19324"/>
    <cellStyle name="Normal 3 4 10 2 3" xfId="30681"/>
    <cellStyle name="Normal 3 4 10 3" xfId="14339"/>
    <cellStyle name="Normal 3 4 10 4" xfId="25697"/>
    <cellStyle name="Normal 3 4 11" xfId="5193"/>
    <cellStyle name="Normal 3 4 11 2" xfId="16002"/>
    <cellStyle name="Normal 3 4 11 3" xfId="27359"/>
    <cellStyle name="Normal 3 4 12" xfId="10177"/>
    <cellStyle name="Normal 3 4 12 2" xfId="20984"/>
    <cellStyle name="Normal 3 4 12 3" xfId="32341"/>
    <cellStyle name="Normal 3 4 13" xfId="11011"/>
    <cellStyle name="Normal 3 4 14" xfId="21818"/>
    <cellStyle name="Normal 3 4 15" xfId="22371"/>
    <cellStyle name="Normal 3 4 16" xfId="33174"/>
    <cellStyle name="Normal 3 4 17" xfId="33443"/>
    <cellStyle name="Normal 3 4 18" xfId="33714"/>
    <cellStyle name="Normal 3 4 2" xfId="214"/>
    <cellStyle name="Normal 3 4 2 10" xfId="21872"/>
    <cellStyle name="Normal 3 4 2 11" xfId="22425"/>
    <cellStyle name="Normal 3 4 2 12" xfId="33228"/>
    <cellStyle name="Normal 3 4 2 13" xfId="33503"/>
    <cellStyle name="Normal 3 4 2 14" xfId="33774"/>
    <cellStyle name="Normal 3 4 2 2" xfId="532"/>
    <cellStyle name="Normal 3 4 2 2 2" xfId="1364"/>
    <cellStyle name="Normal 3 4 2 2 2 2" xfId="3029"/>
    <cellStyle name="Normal 3 4 2 2 2 2 2" xfId="8017"/>
    <cellStyle name="Normal 3 4 2 2 2 2 2 2" xfId="18824"/>
    <cellStyle name="Normal 3 4 2 2 2 2 2 3" xfId="30181"/>
    <cellStyle name="Normal 3 4 2 2 2 2 3" xfId="13839"/>
    <cellStyle name="Normal 3 4 2 2 2 2 4" xfId="25197"/>
    <cellStyle name="Normal 3 4 2 2 2 3" xfId="4693"/>
    <cellStyle name="Normal 3 4 2 2 2 3 2" xfId="9678"/>
    <cellStyle name="Normal 3 4 2 2 2 3 2 2" xfId="20485"/>
    <cellStyle name="Normal 3 4 2 2 2 3 2 3" xfId="31842"/>
    <cellStyle name="Normal 3 4 2 2 2 3 3" xfId="15500"/>
    <cellStyle name="Normal 3 4 2 2 2 3 4" xfId="26858"/>
    <cellStyle name="Normal 3 4 2 2 2 4" xfId="6355"/>
    <cellStyle name="Normal 3 4 2 2 2 4 2" xfId="17163"/>
    <cellStyle name="Normal 3 4 2 2 2 4 3" xfId="28520"/>
    <cellStyle name="Normal 3 4 2 2 2 5" xfId="12178"/>
    <cellStyle name="Normal 3 4 2 2 2 6" xfId="23536"/>
    <cellStyle name="Normal 3 4 2 2 3" xfId="2198"/>
    <cellStyle name="Normal 3 4 2 2 3 2" xfId="7186"/>
    <cellStyle name="Normal 3 4 2 2 3 2 2" xfId="17993"/>
    <cellStyle name="Normal 3 4 2 2 3 2 3" xfId="29350"/>
    <cellStyle name="Normal 3 4 2 2 3 3" xfId="13008"/>
    <cellStyle name="Normal 3 4 2 2 3 4" xfId="24366"/>
    <cellStyle name="Normal 3 4 2 2 4" xfId="3862"/>
    <cellStyle name="Normal 3 4 2 2 4 2" xfId="8847"/>
    <cellStyle name="Normal 3 4 2 2 4 2 2" xfId="19654"/>
    <cellStyle name="Normal 3 4 2 2 4 2 3" xfId="31011"/>
    <cellStyle name="Normal 3 4 2 2 4 3" xfId="14669"/>
    <cellStyle name="Normal 3 4 2 2 4 4" xfId="26027"/>
    <cellStyle name="Normal 3 4 2 2 5" xfId="5524"/>
    <cellStyle name="Normal 3 4 2 2 5 2" xfId="16332"/>
    <cellStyle name="Normal 3 4 2 2 5 3" xfId="27689"/>
    <cellStyle name="Normal 3 4 2 2 6" xfId="10511"/>
    <cellStyle name="Normal 3 4 2 2 6 2" xfId="21318"/>
    <cellStyle name="Normal 3 4 2 2 6 3" xfId="32675"/>
    <cellStyle name="Normal 3 4 2 2 7" xfId="11345"/>
    <cellStyle name="Normal 3 4 2 2 8" xfId="22151"/>
    <cellStyle name="Normal 3 4 2 2 9" xfId="22705"/>
    <cellStyle name="Normal 3 4 2 3" xfId="806"/>
    <cellStyle name="Normal 3 4 2 3 2" xfId="1638"/>
    <cellStyle name="Normal 3 4 2 3 2 2" xfId="3303"/>
    <cellStyle name="Normal 3 4 2 3 2 2 2" xfId="8291"/>
    <cellStyle name="Normal 3 4 2 3 2 2 2 2" xfId="19098"/>
    <cellStyle name="Normal 3 4 2 3 2 2 2 3" xfId="30455"/>
    <cellStyle name="Normal 3 4 2 3 2 2 3" xfId="14113"/>
    <cellStyle name="Normal 3 4 2 3 2 2 4" xfId="25471"/>
    <cellStyle name="Normal 3 4 2 3 2 3" xfId="4967"/>
    <cellStyle name="Normal 3 4 2 3 2 3 2" xfId="9952"/>
    <cellStyle name="Normal 3 4 2 3 2 3 2 2" xfId="20759"/>
    <cellStyle name="Normal 3 4 2 3 2 3 2 3" xfId="32116"/>
    <cellStyle name="Normal 3 4 2 3 2 3 3" xfId="15774"/>
    <cellStyle name="Normal 3 4 2 3 2 3 4" xfId="27132"/>
    <cellStyle name="Normal 3 4 2 3 2 4" xfId="6629"/>
    <cellStyle name="Normal 3 4 2 3 2 4 2" xfId="17437"/>
    <cellStyle name="Normal 3 4 2 3 2 4 3" xfId="28794"/>
    <cellStyle name="Normal 3 4 2 3 2 5" xfId="12452"/>
    <cellStyle name="Normal 3 4 2 3 2 6" xfId="23810"/>
    <cellStyle name="Normal 3 4 2 3 3" xfId="2472"/>
    <cellStyle name="Normal 3 4 2 3 3 2" xfId="7460"/>
    <cellStyle name="Normal 3 4 2 3 3 2 2" xfId="18267"/>
    <cellStyle name="Normal 3 4 2 3 3 2 3" xfId="29624"/>
    <cellStyle name="Normal 3 4 2 3 3 3" xfId="13282"/>
    <cellStyle name="Normal 3 4 2 3 3 4" xfId="24640"/>
    <cellStyle name="Normal 3 4 2 3 4" xfId="4136"/>
    <cellStyle name="Normal 3 4 2 3 4 2" xfId="9121"/>
    <cellStyle name="Normal 3 4 2 3 4 2 2" xfId="19928"/>
    <cellStyle name="Normal 3 4 2 3 4 2 3" xfId="31285"/>
    <cellStyle name="Normal 3 4 2 3 4 3" xfId="14943"/>
    <cellStyle name="Normal 3 4 2 3 4 4" xfId="26301"/>
    <cellStyle name="Normal 3 4 2 3 5" xfId="5798"/>
    <cellStyle name="Normal 3 4 2 3 5 2" xfId="16606"/>
    <cellStyle name="Normal 3 4 2 3 5 3" xfId="27963"/>
    <cellStyle name="Normal 3 4 2 3 6" xfId="10785"/>
    <cellStyle name="Normal 3 4 2 3 6 2" xfId="21592"/>
    <cellStyle name="Normal 3 4 2 3 6 3" xfId="32949"/>
    <cellStyle name="Normal 3 4 2 3 7" xfId="11620"/>
    <cellStyle name="Normal 3 4 2 3 8" xfId="22979"/>
    <cellStyle name="Normal 3 4 2 4" xfId="1085"/>
    <cellStyle name="Normal 3 4 2 4 2" xfId="2750"/>
    <cellStyle name="Normal 3 4 2 4 2 2" xfId="7738"/>
    <cellStyle name="Normal 3 4 2 4 2 2 2" xfId="18545"/>
    <cellStyle name="Normal 3 4 2 4 2 2 3" xfId="29902"/>
    <cellStyle name="Normal 3 4 2 4 2 3" xfId="13560"/>
    <cellStyle name="Normal 3 4 2 4 2 4" xfId="24918"/>
    <cellStyle name="Normal 3 4 2 4 3" xfId="4414"/>
    <cellStyle name="Normal 3 4 2 4 3 2" xfId="9399"/>
    <cellStyle name="Normal 3 4 2 4 3 2 2" xfId="20206"/>
    <cellStyle name="Normal 3 4 2 4 3 2 3" xfId="31563"/>
    <cellStyle name="Normal 3 4 2 4 3 3" xfId="15221"/>
    <cellStyle name="Normal 3 4 2 4 3 4" xfId="26579"/>
    <cellStyle name="Normal 3 4 2 4 4" xfId="6076"/>
    <cellStyle name="Normal 3 4 2 4 4 2" xfId="16884"/>
    <cellStyle name="Normal 3 4 2 4 4 3" xfId="28241"/>
    <cellStyle name="Normal 3 4 2 4 5" xfId="11899"/>
    <cellStyle name="Normal 3 4 2 4 6" xfId="23257"/>
    <cellStyle name="Normal 3 4 2 5" xfId="1920"/>
    <cellStyle name="Normal 3 4 2 5 2" xfId="6908"/>
    <cellStyle name="Normal 3 4 2 5 2 2" xfId="17716"/>
    <cellStyle name="Normal 3 4 2 5 2 3" xfId="29073"/>
    <cellStyle name="Normal 3 4 2 5 3" xfId="12731"/>
    <cellStyle name="Normal 3 4 2 5 4" xfId="24089"/>
    <cellStyle name="Normal 3 4 2 6" xfId="3585"/>
    <cellStyle name="Normal 3 4 2 6 2" xfId="8570"/>
    <cellStyle name="Normal 3 4 2 6 2 2" xfId="19377"/>
    <cellStyle name="Normal 3 4 2 6 2 3" xfId="30734"/>
    <cellStyle name="Normal 3 4 2 6 3" xfId="14392"/>
    <cellStyle name="Normal 3 4 2 6 4" xfId="25750"/>
    <cellStyle name="Normal 3 4 2 7" xfId="5246"/>
    <cellStyle name="Normal 3 4 2 7 2" xfId="16055"/>
    <cellStyle name="Normal 3 4 2 7 3" xfId="27412"/>
    <cellStyle name="Normal 3 4 2 8" xfId="10231"/>
    <cellStyle name="Normal 3 4 2 8 2" xfId="21038"/>
    <cellStyle name="Normal 3 4 2 8 3" xfId="32395"/>
    <cellStyle name="Normal 3 4 2 9" xfId="11065"/>
    <cellStyle name="Normal 3 4 3" xfId="269"/>
    <cellStyle name="Normal 3 4 3 10" xfId="21926"/>
    <cellStyle name="Normal 3 4 3 11" xfId="22479"/>
    <cellStyle name="Normal 3 4 3 12" xfId="33282"/>
    <cellStyle name="Normal 3 4 3 13" xfId="33557"/>
    <cellStyle name="Normal 3 4 3 14" xfId="33828"/>
    <cellStyle name="Normal 3 4 3 2" xfId="586"/>
    <cellStyle name="Normal 3 4 3 2 2" xfId="1418"/>
    <cellStyle name="Normal 3 4 3 2 2 2" xfId="3083"/>
    <cellStyle name="Normal 3 4 3 2 2 2 2" xfId="8071"/>
    <cellStyle name="Normal 3 4 3 2 2 2 2 2" xfId="18878"/>
    <cellStyle name="Normal 3 4 3 2 2 2 2 3" xfId="30235"/>
    <cellStyle name="Normal 3 4 3 2 2 2 3" xfId="13893"/>
    <cellStyle name="Normal 3 4 3 2 2 2 4" xfId="25251"/>
    <cellStyle name="Normal 3 4 3 2 2 3" xfId="4747"/>
    <cellStyle name="Normal 3 4 3 2 2 3 2" xfId="9732"/>
    <cellStyle name="Normal 3 4 3 2 2 3 2 2" xfId="20539"/>
    <cellStyle name="Normal 3 4 3 2 2 3 2 3" xfId="31896"/>
    <cellStyle name="Normal 3 4 3 2 2 3 3" xfId="15554"/>
    <cellStyle name="Normal 3 4 3 2 2 3 4" xfId="26912"/>
    <cellStyle name="Normal 3 4 3 2 2 4" xfId="6409"/>
    <cellStyle name="Normal 3 4 3 2 2 4 2" xfId="17217"/>
    <cellStyle name="Normal 3 4 3 2 2 4 3" xfId="28574"/>
    <cellStyle name="Normal 3 4 3 2 2 5" xfId="12232"/>
    <cellStyle name="Normal 3 4 3 2 2 6" xfId="23590"/>
    <cellStyle name="Normal 3 4 3 2 3" xfId="2252"/>
    <cellStyle name="Normal 3 4 3 2 3 2" xfId="7240"/>
    <cellStyle name="Normal 3 4 3 2 3 2 2" xfId="18047"/>
    <cellStyle name="Normal 3 4 3 2 3 2 3" xfId="29404"/>
    <cellStyle name="Normal 3 4 3 2 3 3" xfId="13062"/>
    <cellStyle name="Normal 3 4 3 2 3 4" xfId="24420"/>
    <cellStyle name="Normal 3 4 3 2 4" xfId="3916"/>
    <cellStyle name="Normal 3 4 3 2 4 2" xfId="8901"/>
    <cellStyle name="Normal 3 4 3 2 4 2 2" xfId="19708"/>
    <cellStyle name="Normal 3 4 3 2 4 2 3" xfId="31065"/>
    <cellStyle name="Normal 3 4 3 2 4 3" xfId="14723"/>
    <cellStyle name="Normal 3 4 3 2 4 4" xfId="26081"/>
    <cellStyle name="Normal 3 4 3 2 5" xfId="5578"/>
    <cellStyle name="Normal 3 4 3 2 5 2" xfId="16386"/>
    <cellStyle name="Normal 3 4 3 2 5 3" xfId="27743"/>
    <cellStyle name="Normal 3 4 3 2 6" xfId="10565"/>
    <cellStyle name="Normal 3 4 3 2 6 2" xfId="21372"/>
    <cellStyle name="Normal 3 4 3 2 6 3" xfId="32729"/>
    <cellStyle name="Normal 3 4 3 2 7" xfId="11399"/>
    <cellStyle name="Normal 3 4 3 2 8" xfId="22205"/>
    <cellStyle name="Normal 3 4 3 2 9" xfId="22759"/>
    <cellStyle name="Normal 3 4 3 3" xfId="860"/>
    <cellStyle name="Normal 3 4 3 3 2" xfId="1692"/>
    <cellStyle name="Normal 3 4 3 3 2 2" xfId="3357"/>
    <cellStyle name="Normal 3 4 3 3 2 2 2" xfId="8345"/>
    <cellStyle name="Normal 3 4 3 3 2 2 2 2" xfId="19152"/>
    <cellStyle name="Normal 3 4 3 3 2 2 2 3" xfId="30509"/>
    <cellStyle name="Normal 3 4 3 3 2 2 3" xfId="14167"/>
    <cellStyle name="Normal 3 4 3 3 2 2 4" xfId="25525"/>
    <cellStyle name="Normal 3 4 3 3 2 3" xfId="5021"/>
    <cellStyle name="Normal 3 4 3 3 2 3 2" xfId="10006"/>
    <cellStyle name="Normal 3 4 3 3 2 3 2 2" xfId="20813"/>
    <cellStyle name="Normal 3 4 3 3 2 3 2 3" xfId="32170"/>
    <cellStyle name="Normal 3 4 3 3 2 3 3" xfId="15828"/>
    <cellStyle name="Normal 3 4 3 3 2 3 4" xfId="27186"/>
    <cellStyle name="Normal 3 4 3 3 2 4" xfId="6683"/>
    <cellStyle name="Normal 3 4 3 3 2 4 2" xfId="17491"/>
    <cellStyle name="Normal 3 4 3 3 2 4 3" xfId="28848"/>
    <cellStyle name="Normal 3 4 3 3 2 5" xfId="12506"/>
    <cellStyle name="Normal 3 4 3 3 2 6" xfId="23864"/>
    <cellStyle name="Normal 3 4 3 3 3" xfId="2526"/>
    <cellStyle name="Normal 3 4 3 3 3 2" xfId="7514"/>
    <cellStyle name="Normal 3 4 3 3 3 2 2" xfId="18321"/>
    <cellStyle name="Normal 3 4 3 3 3 2 3" xfId="29678"/>
    <cellStyle name="Normal 3 4 3 3 3 3" xfId="13336"/>
    <cellStyle name="Normal 3 4 3 3 3 4" xfId="24694"/>
    <cellStyle name="Normal 3 4 3 3 4" xfId="4190"/>
    <cellStyle name="Normal 3 4 3 3 4 2" xfId="9175"/>
    <cellStyle name="Normal 3 4 3 3 4 2 2" xfId="19982"/>
    <cellStyle name="Normal 3 4 3 3 4 2 3" xfId="31339"/>
    <cellStyle name="Normal 3 4 3 3 4 3" xfId="14997"/>
    <cellStyle name="Normal 3 4 3 3 4 4" xfId="26355"/>
    <cellStyle name="Normal 3 4 3 3 5" xfId="5852"/>
    <cellStyle name="Normal 3 4 3 3 5 2" xfId="16660"/>
    <cellStyle name="Normal 3 4 3 3 5 3" xfId="28017"/>
    <cellStyle name="Normal 3 4 3 3 6" xfId="10839"/>
    <cellStyle name="Normal 3 4 3 3 6 2" xfId="21646"/>
    <cellStyle name="Normal 3 4 3 3 6 3" xfId="33003"/>
    <cellStyle name="Normal 3 4 3 3 7" xfId="11674"/>
    <cellStyle name="Normal 3 4 3 3 8" xfId="23033"/>
    <cellStyle name="Normal 3 4 3 4" xfId="1139"/>
    <cellStyle name="Normal 3 4 3 4 2" xfId="2804"/>
    <cellStyle name="Normal 3 4 3 4 2 2" xfId="7792"/>
    <cellStyle name="Normal 3 4 3 4 2 2 2" xfId="18599"/>
    <cellStyle name="Normal 3 4 3 4 2 2 3" xfId="29956"/>
    <cellStyle name="Normal 3 4 3 4 2 3" xfId="13614"/>
    <cellStyle name="Normal 3 4 3 4 2 4" xfId="24972"/>
    <cellStyle name="Normal 3 4 3 4 3" xfId="4468"/>
    <cellStyle name="Normal 3 4 3 4 3 2" xfId="9453"/>
    <cellStyle name="Normal 3 4 3 4 3 2 2" xfId="20260"/>
    <cellStyle name="Normal 3 4 3 4 3 2 3" xfId="31617"/>
    <cellStyle name="Normal 3 4 3 4 3 3" xfId="15275"/>
    <cellStyle name="Normal 3 4 3 4 3 4" xfId="26633"/>
    <cellStyle name="Normal 3 4 3 4 4" xfId="6130"/>
    <cellStyle name="Normal 3 4 3 4 4 2" xfId="16938"/>
    <cellStyle name="Normal 3 4 3 4 4 3" xfId="28295"/>
    <cellStyle name="Normal 3 4 3 4 5" xfId="11953"/>
    <cellStyle name="Normal 3 4 3 4 6" xfId="23311"/>
    <cellStyle name="Normal 3 4 3 5" xfId="1974"/>
    <cellStyle name="Normal 3 4 3 5 2" xfId="6962"/>
    <cellStyle name="Normal 3 4 3 5 2 2" xfId="17770"/>
    <cellStyle name="Normal 3 4 3 5 2 3" xfId="29127"/>
    <cellStyle name="Normal 3 4 3 5 3" xfId="12785"/>
    <cellStyle name="Normal 3 4 3 5 4" xfId="24143"/>
    <cellStyle name="Normal 3 4 3 6" xfId="3639"/>
    <cellStyle name="Normal 3 4 3 6 2" xfId="8624"/>
    <cellStyle name="Normal 3 4 3 6 2 2" xfId="19431"/>
    <cellStyle name="Normal 3 4 3 6 2 3" xfId="30788"/>
    <cellStyle name="Normal 3 4 3 6 3" xfId="14446"/>
    <cellStyle name="Normal 3 4 3 6 4" xfId="25804"/>
    <cellStyle name="Normal 3 4 3 7" xfId="5300"/>
    <cellStyle name="Normal 3 4 3 7 2" xfId="16109"/>
    <cellStyle name="Normal 3 4 3 7 3" xfId="27466"/>
    <cellStyle name="Normal 3 4 3 8" xfId="10285"/>
    <cellStyle name="Normal 3 4 3 8 2" xfId="21092"/>
    <cellStyle name="Normal 3 4 3 8 3" xfId="32449"/>
    <cellStyle name="Normal 3 4 3 9" xfId="11119"/>
    <cellStyle name="Normal 3 4 4" xfId="324"/>
    <cellStyle name="Normal 3 4 4 10" xfId="21981"/>
    <cellStyle name="Normal 3 4 4 11" xfId="22534"/>
    <cellStyle name="Normal 3 4 4 12" xfId="33337"/>
    <cellStyle name="Normal 3 4 4 13" xfId="33612"/>
    <cellStyle name="Normal 3 4 4 14" xfId="33883"/>
    <cellStyle name="Normal 3 4 4 2" xfId="641"/>
    <cellStyle name="Normal 3 4 4 2 2" xfId="1473"/>
    <cellStyle name="Normal 3 4 4 2 2 2" xfId="3138"/>
    <cellStyle name="Normal 3 4 4 2 2 2 2" xfId="8126"/>
    <cellStyle name="Normal 3 4 4 2 2 2 2 2" xfId="18933"/>
    <cellStyle name="Normal 3 4 4 2 2 2 2 3" xfId="30290"/>
    <cellStyle name="Normal 3 4 4 2 2 2 3" xfId="13948"/>
    <cellStyle name="Normal 3 4 4 2 2 2 4" xfId="25306"/>
    <cellStyle name="Normal 3 4 4 2 2 3" xfId="4802"/>
    <cellStyle name="Normal 3 4 4 2 2 3 2" xfId="9787"/>
    <cellStyle name="Normal 3 4 4 2 2 3 2 2" xfId="20594"/>
    <cellStyle name="Normal 3 4 4 2 2 3 2 3" xfId="31951"/>
    <cellStyle name="Normal 3 4 4 2 2 3 3" xfId="15609"/>
    <cellStyle name="Normal 3 4 4 2 2 3 4" xfId="26967"/>
    <cellStyle name="Normal 3 4 4 2 2 4" xfId="6464"/>
    <cellStyle name="Normal 3 4 4 2 2 4 2" xfId="17272"/>
    <cellStyle name="Normal 3 4 4 2 2 4 3" xfId="28629"/>
    <cellStyle name="Normal 3 4 4 2 2 5" xfId="12287"/>
    <cellStyle name="Normal 3 4 4 2 2 6" xfId="23645"/>
    <cellStyle name="Normal 3 4 4 2 3" xfId="2307"/>
    <cellStyle name="Normal 3 4 4 2 3 2" xfId="7295"/>
    <cellStyle name="Normal 3 4 4 2 3 2 2" xfId="18102"/>
    <cellStyle name="Normal 3 4 4 2 3 2 3" xfId="29459"/>
    <cellStyle name="Normal 3 4 4 2 3 3" xfId="13117"/>
    <cellStyle name="Normal 3 4 4 2 3 4" xfId="24475"/>
    <cellStyle name="Normal 3 4 4 2 4" xfId="3971"/>
    <cellStyle name="Normal 3 4 4 2 4 2" xfId="8956"/>
    <cellStyle name="Normal 3 4 4 2 4 2 2" xfId="19763"/>
    <cellStyle name="Normal 3 4 4 2 4 2 3" xfId="31120"/>
    <cellStyle name="Normal 3 4 4 2 4 3" xfId="14778"/>
    <cellStyle name="Normal 3 4 4 2 4 4" xfId="26136"/>
    <cellStyle name="Normal 3 4 4 2 5" xfId="5633"/>
    <cellStyle name="Normal 3 4 4 2 5 2" xfId="16441"/>
    <cellStyle name="Normal 3 4 4 2 5 3" xfId="27798"/>
    <cellStyle name="Normal 3 4 4 2 6" xfId="10620"/>
    <cellStyle name="Normal 3 4 4 2 6 2" xfId="21427"/>
    <cellStyle name="Normal 3 4 4 2 6 3" xfId="32784"/>
    <cellStyle name="Normal 3 4 4 2 7" xfId="11454"/>
    <cellStyle name="Normal 3 4 4 2 8" xfId="22260"/>
    <cellStyle name="Normal 3 4 4 2 9" xfId="22814"/>
    <cellStyle name="Normal 3 4 4 3" xfId="915"/>
    <cellStyle name="Normal 3 4 4 3 2" xfId="1747"/>
    <cellStyle name="Normal 3 4 4 3 2 2" xfId="3412"/>
    <cellStyle name="Normal 3 4 4 3 2 2 2" xfId="8400"/>
    <cellStyle name="Normal 3 4 4 3 2 2 2 2" xfId="19207"/>
    <cellStyle name="Normal 3 4 4 3 2 2 2 3" xfId="30564"/>
    <cellStyle name="Normal 3 4 4 3 2 2 3" xfId="14222"/>
    <cellStyle name="Normal 3 4 4 3 2 2 4" xfId="25580"/>
    <cellStyle name="Normal 3 4 4 3 2 3" xfId="5076"/>
    <cellStyle name="Normal 3 4 4 3 2 3 2" xfId="10061"/>
    <cellStyle name="Normal 3 4 4 3 2 3 2 2" xfId="20868"/>
    <cellStyle name="Normal 3 4 4 3 2 3 2 3" xfId="32225"/>
    <cellStyle name="Normal 3 4 4 3 2 3 3" xfId="15883"/>
    <cellStyle name="Normal 3 4 4 3 2 3 4" xfId="27241"/>
    <cellStyle name="Normal 3 4 4 3 2 4" xfId="6738"/>
    <cellStyle name="Normal 3 4 4 3 2 4 2" xfId="17546"/>
    <cellStyle name="Normal 3 4 4 3 2 4 3" xfId="28903"/>
    <cellStyle name="Normal 3 4 4 3 2 5" xfId="12561"/>
    <cellStyle name="Normal 3 4 4 3 2 6" xfId="23919"/>
    <cellStyle name="Normal 3 4 4 3 3" xfId="2581"/>
    <cellStyle name="Normal 3 4 4 3 3 2" xfId="7569"/>
    <cellStyle name="Normal 3 4 4 3 3 2 2" xfId="18376"/>
    <cellStyle name="Normal 3 4 4 3 3 2 3" xfId="29733"/>
    <cellStyle name="Normal 3 4 4 3 3 3" xfId="13391"/>
    <cellStyle name="Normal 3 4 4 3 3 4" xfId="24749"/>
    <cellStyle name="Normal 3 4 4 3 4" xfId="4245"/>
    <cellStyle name="Normal 3 4 4 3 4 2" xfId="9230"/>
    <cellStyle name="Normal 3 4 4 3 4 2 2" xfId="20037"/>
    <cellStyle name="Normal 3 4 4 3 4 2 3" xfId="31394"/>
    <cellStyle name="Normal 3 4 4 3 4 3" xfId="15052"/>
    <cellStyle name="Normal 3 4 4 3 4 4" xfId="26410"/>
    <cellStyle name="Normal 3 4 4 3 5" xfId="5907"/>
    <cellStyle name="Normal 3 4 4 3 5 2" xfId="16715"/>
    <cellStyle name="Normal 3 4 4 3 5 3" xfId="28072"/>
    <cellStyle name="Normal 3 4 4 3 6" xfId="10894"/>
    <cellStyle name="Normal 3 4 4 3 6 2" xfId="21701"/>
    <cellStyle name="Normal 3 4 4 3 6 3" xfId="33058"/>
    <cellStyle name="Normal 3 4 4 3 7" xfId="11729"/>
    <cellStyle name="Normal 3 4 4 3 8" xfId="23088"/>
    <cellStyle name="Normal 3 4 4 4" xfId="1194"/>
    <cellStyle name="Normal 3 4 4 4 2" xfId="2859"/>
    <cellStyle name="Normal 3 4 4 4 2 2" xfId="7847"/>
    <cellStyle name="Normal 3 4 4 4 2 2 2" xfId="18654"/>
    <cellStyle name="Normal 3 4 4 4 2 2 3" xfId="30011"/>
    <cellStyle name="Normal 3 4 4 4 2 3" xfId="13669"/>
    <cellStyle name="Normal 3 4 4 4 2 4" xfId="25027"/>
    <cellStyle name="Normal 3 4 4 4 3" xfId="4523"/>
    <cellStyle name="Normal 3 4 4 4 3 2" xfId="9508"/>
    <cellStyle name="Normal 3 4 4 4 3 2 2" xfId="20315"/>
    <cellStyle name="Normal 3 4 4 4 3 2 3" xfId="31672"/>
    <cellStyle name="Normal 3 4 4 4 3 3" xfId="15330"/>
    <cellStyle name="Normal 3 4 4 4 3 4" xfId="26688"/>
    <cellStyle name="Normal 3 4 4 4 4" xfId="6185"/>
    <cellStyle name="Normal 3 4 4 4 4 2" xfId="16993"/>
    <cellStyle name="Normal 3 4 4 4 4 3" xfId="28350"/>
    <cellStyle name="Normal 3 4 4 4 5" xfId="12008"/>
    <cellStyle name="Normal 3 4 4 4 6" xfId="23366"/>
    <cellStyle name="Normal 3 4 4 5" xfId="2029"/>
    <cellStyle name="Normal 3 4 4 5 2" xfId="7017"/>
    <cellStyle name="Normal 3 4 4 5 2 2" xfId="17825"/>
    <cellStyle name="Normal 3 4 4 5 2 3" xfId="29182"/>
    <cellStyle name="Normal 3 4 4 5 3" xfId="12840"/>
    <cellStyle name="Normal 3 4 4 5 4" xfId="24198"/>
    <cellStyle name="Normal 3 4 4 6" xfId="3694"/>
    <cellStyle name="Normal 3 4 4 6 2" xfId="8679"/>
    <cellStyle name="Normal 3 4 4 6 2 2" xfId="19486"/>
    <cellStyle name="Normal 3 4 4 6 2 3" xfId="30843"/>
    <cellStyle name="Normal 3 4 4 6 3" xfId="14501"/>
    <cellStyle name="Normal 3 4 4 6 4" xfId="25859"/>
    <cellStyle name="Normal 3 4 4 7" xfId="5355"/>
    <cellStyle name="Normal 3 4 4 7 2" xfId="16164"/>
    <cellStyle name="Normal 3 4 4 7 3" xfId="27521"/>
    <cellStyle name="Normal 3 4 4 8" xfId="10340"/>
    <cellStyle name="Normal 3 4 4 8 2" xfId="21147"/>
    <cellStyle name="Normal 3 4 4 8 3" xfId="32504"/>
    <cellStyle name="Normal 3 4 4 9" xfId="11174"/>
    <cellStyle name="Normal 3 4 5" xfId="380"/>
    <cellStyle name="Normal 3 4 5 10" xfId="22037"/>
    <cellStyle name="Normal 3 4 5 11" xfId="22590"/>
    <cellStyle name="Normal 3 4 5 12" xfId="33393"/>
    <cellStyle name="Normal 3 4 5 13" xfId="33668"/>
    <cellStyle name="Normal 3 4 5 14" xfId="33939"/>
    <cellStyle name="Normal 3 4 5 2" xfId="697"/>
    <cellStyle name="Normal 3 4 5 2 2" xfId="1529"/>
    <cellStyle name="Normal 3 4 5 2 2 2" xfId="3194"/>
    <cellStyle name="Normal 3 4 5 2 2 2 2" xfId="8182"/>
    <cellStyle name="Normal 3 4 5 2 2 2 2 2" xfId="18989"/>
    <cellStyle name="Normal 3 4 5 2 2 2 2 3" xfId="30346"/>
    <cellStyle name="Normal 3 4 5 2 2 2 3" xfId="14004"/>
    <cellStyle name="Normal 3 4 5 2 2 2 4" xfId="25362"/>
    <cellStyle name="Normal 3 4 5 2 2 3" xfId="4858"/>
    <cellStyle name="Normal 3 4 5 2 2 3 2" xfId="9843"/>
    <cellStyle name="Normal 3 4 5 2 2 3 2 2" xfId="20650"/>
    <cellStyle name="Normal 3 4 5 2 2 3 2 3" xfId="32007"/>
    <cellStyle name="Normal 3 4 5 2 2 3 3" xfId="15665"/>
    <cellStyle name="Normal 3 4 5 2 2 3 4" xfId="27023"/>
    <cellStyle name="Normal 3 4 5 2 2 4" xfId="6520"/>
    <cellStyle name="Normal 3 4 5 2 2 4 2" xfId="17328"/>
    <cellStyle name="Normal 3 4 5 2 2 4 3" xfId="28685"/>
    <cellStyle name="Normal 3 4 5 2 2 5" xfId="12343"/>
    <cellStyle name="Normal 3 4 5 2 2 6" xfId="23701"/>
    <cellStyle name="Normal 3 4 5 2 3" xfId="2363"/>
    <cellStyle name="Normal 3 4 5 2 3 2" xfId="7351"/>
    <cellStyle name="Normal 3 4 5 2 3 2 2" xfId="18158"/>
    <cellStyle name="Normal 3 4 5 2 3 2 3" xfId="29515"/>
    <cellStyle name="Normal 3 4 5 2 3 3" xfId="13173"/>
    <cellStyle name="Normal 3 4 5 2 3 4" xfId="24531"/>
    <cellStyle name="Normal 3 4 5 2 4" xfId="4027"/>
    <cellStyle name="Normal 3 4 5 2 4 2" xfId="9012"/>
    <cellStyle name="Normal 3 4 5 2 4 2 2" xfId="19819"/>
    <cellStyle name="Normal 3 4 5 2 4 2 3" xfId="31176"/>
    <cellStyle name="Normal 3 4 5 2 4 3" xfId="14834"/>
    <cellStyle name="Normal 3 4 5 2 4 4" xfId="26192"/>
    <cellStyle name="Normal 3 4 5 2 5" xfId="5689"/>
    <cellStyle name="Normal 3 4 5 2 5 2" xfId="16497"/>
    <cellStyle name="Normal 3 4 5 2 5 3" xfId="27854"/>
    <cellStyle name="Normal 3 4 5 2 6" xfId="10676"/>
    <cellStyle name="Normal 3 4 5 2 6 2" xfId="21483"/>
    <cellStyle name="Normal 3 4 5 2 6 3" xfId="32840"/>
    <cellStyle name="Normal 3 4 5 2 7" xfId="11510"/>
    <cellStyle name="Normal 3 4 5 2 8" xfId="22316"/>
    <cellStyle name="Normal 3 4 5 2 9" xfId="22870"/>
    <cellStyle name="Normal 3 4 5 3" xfId="971"/>
    <cellStyle name="Normal 3 4 5 3 2" xfId="1803"/>
    <cellStyle name="Normal 3 4 5 3 2 2" xfId="3468"/>
    <cellStyle name="Normal 3 4 5 3 2 2 2" xfId="8456"/>
    <cellStyle name="Normal 3 4 5 3 2 2 2 2" xfId="19263"/>
    <cellStyle name="Normal 3 4 5 3 2 2 2 3" xfId="30620"/>
    <cellStyle name="Normal 3 4 5 3 2 2 3" xfId="14278"/>
    <cellStyle name="Normal 3 4 5 3 2 2 4" xfId="25636"/>
    <cellStyle name="Normal 3 4 5 3 2 3" xfId="5132"/>
    <cellStyle name="Normal 3 4 5 3 2 3 2" xfId="10117"/>
    <cellStyle name="Normal 3 4 5 3 2 3 2 2" xfId="20924"/>
    <cellStyle name="Normal 3 4 5 3 2 3 2 3" xfId="32281"/>
    <cellStyle name="Normal 3 4 5 3 2 3 3" xfId="15939"/>
    <cellStyle name="Normal 3 4 5 3 2 3 4" xfId="27297"/>
    <cellStyle name="Normal 3 4 5 3 2 4" xfId="6794"/>
    <cellStyle name="Normal 3 4 5 3 2 4 2" xfId="17602"/>
    <cellStyle name="Normal 3 4 5 3 2 4 3" xfId="28959"/>
    <cellStyle name="Normal 3 4 5 3 2 5" xfId="12617"/>
    <cellStyle name="Normal 3 4 5 3 2 6" xfId="23975"/>
    <cellStyle name="Normal 3 4 5 3 3" xfId="2637"/>
    <cellStyle name="Normal 3 4 5 3 3 2" xfId="7625"/>
    <cellStyle name="Normal 3 4 5 3 3 2 2" xfId="18432"/>
    <cellStyle name="Normal 3 4 5 3 3 2 3" xfId="29789"/>
    <cellStyle name="Normal 3 4 5 3 3 3" xfId="13447"/>
    <cellStyle name="Normal 3 4 5 3 3 4" xfId="24805"/>
    <cellStyle name="Normal 3 4 5 3 4" xfId="4301"/>
    <cellStyle name="Normal 3 4 5 3 4 2" xfId="9286"/>
    <cellStyle name="Normal 3 4 5 3 4 2 2" xfId="20093"/>
    <cellStyle name="Normal 3 4 5 3 4 2 3" xfId="31450"/>
    <cellStyle name="Normal 3 4 5 3 4 3" xfId="15108"/>
    <cellStyle name="Normal 3 4 5 3 4 4" xfId="26466"/>
    <cellStyle name="Normal 3 4 5 3 5" xfId="5963"/>
    <cellStyle name="Normal 3 4 5 3 5 2" xfId="16771"/>
    <cellStyle name="Normal 3 4 5 3 5 3" xfId="28128"/>
    <cellStyle name="Normal 3 4 5 3 6" xfId="10950"/>
    <cellStyle name="Normal 3 4 5 3 6 2" xfId="21757"/>
    <cellStyle name="Normal 3 4 5 3 6 3" xfId="33114"/>
    <cellStyle name="Normal 3 4 5 3 7" xfId="11785"/>
    <cellStyle name="Normal 3 4 5 3 8" xfId="23144"/>
    <cellStyle name="Normal 3 4 5 4" xfId="1250"/>
    <cellStyle name="Normal 3 4 5 4 2" xfId="2915"/>
    <cellStyle name="Normal 3 4 5 4 2 2" xfId="7903"/>
    <cellStyle name="Normal 3 4 5 4 2 2 2" xfId="18710"/>
    <cellStyle name="Normal 3 4 5 4 2 2 3" xfId="30067"/>
    <cellStyle name="Normal 3 4 5 4 2 3" xfId="13725"/>
    <cellStyle name="Normal 3 4 5 4 2 4" xfId="25083"/>
    <cellStyle name="Normal 3 4 5 4 3" xfId="4579"/>
    <cellStyle name="Normal 3 4 5 4 3 2" xfId="9564"/>
    <cellStyle name="Normal 3 4 5 4 3 2 2" xfId="20371"/>
    <cellStyle name="Normal 3 4 5 4 3 2 3" xfId="31728"/>
    <cellStyle name="Normal 3 4 5 4 3 3" xfId="15386"/>
    <cellStyle name="Normal 3 4 5 4 3 4" xfId="26744"/>
    <cellStyle name="Normal 3 4 5 4 4" xfId="6241"/>
    <cellStyle name="Normal 3 4 5 4 4 2" xfId="17049"/>
    <cellStyle name="Normal 3 4 5 4 4 3" xfId="28406"/>
    <cellStyle name="Normal 3 4 5 4 5" xfId="12064"/>
    <cellStyle name="Normal 3 4 5 4 6" xfId="23422"/>
    <cellStyle name="Normal 3 4 5 5" xfId="2085"/>
    <cellStyle name="Normal 3 4 5 5 2" xfId="7073"/>
    <cellStyle name="Normal 3 4 5 5 2 2" xfId="17881"/>
    <cellStyle name="Normal 3 4 5 5 2 3" xfId="29238"/>
    <cellStyle name="Normal 3 4 5 5 3" xfId="12896"/>
    <cellStyle name="Normal 3 4 5 5 4" xfId="24254"/>
    <cellStyle name="Normal 3 4 5 6" xfId="3750"/>
    <cellStyle name="Normal 3 4 5 6 2" xfId="8735"/>
    <cellStyle name="Normal 3 4 5 6 2 2" xfId="19542"/>
    <cellStyle name="Normal 3 4 5 6 2 3" xfId="30899"/>
    <cellStyle name="Normal 3 4 5 6 3" xfId="14557"/>
    <cellStyle name="Normal 3 4 5 6 4" xfId="25915"/>
    <cellStyle name="Normal 3 4 5 7" xfId="5411"/>
    <cellStyle name="Normal 3 4 5 7 2" xfId="16220"/>
    <cellStyle name="Normal 3 4 5 7 3" xfId="27577"/>
    <cellStyle name="Normal 3 4 5 8" xfId="10396"/>
    <cellStyle name="Normal 3 4 5 8 2" xfId="21203"/>
    <cellStyle name="Normal 3 4 5 8 3" xfId="32560"/>
    <cellStyle name="Normal 3 4 5 9" xfId="11230"/>
    <cellStyle name="Normal 3 4 6" xfId="480"/>
    <cellStyle name="Normal 3 4 6 2" xfId="1310"/>
    <cellStyle name="Normal 3 4 6 2 2" xfId="2975"/>
    <cellStyle name="Normal 3 4 6 2 2 2" xfId="7963"/>
    <cellStyle name="Normal 3 4 6 2 2 2 2" xfId="18770"/>
    <cellStyle name="Normal 3 4 6 2 2 2 3" xfId="30127"/>
    <cellStyle name="Normal 3 4 6 2 2 3" xfId="13785"/>
    <cellStyle name="Normal 3 4 6 2 2 4" xfId="25143"/>
    <cellStyle name="Normal 3 4 6 2 3" xfId="4639"/>
    <cellStyle name="Normal 3 4 6 2 3 2" xfId="9624"/>
    <cellStyle name="Normal 3 4 6 2 3 2 2" xfId="20431"/>
    <cellStyle name="Normal 3 4 6 2 3 2 3" xfId="31788"/>
    <cellStyle name="Normal 3 4 6 2 3 3" xfId="15446"/>
    <cellStyle name="Normal 3 4 6 2 3 4" xfId="26804"/>
    <cellStyle name="Normal 3 4 6 2 4" xfId="6301"/>
    <cellStyle name="Normal 3 4 6 2 4 2" xfId="17109"/>
    <cellStyle name="Normal 3 4 6 2 4 3" xfId="28466"/>
    <cellStyle name="Normal 3 4 6 2 5" xfId="12124"/>
    <cellStyle name="Normal 3 4 6 2 6" xfId="23482"/>
    <cellStyle name="Normal 3 4 6 3" xfId="2146"/>
    <cellStyle name="Normal 3 4 6 3 2" xfId="7134"/>
    <cellStyle name="Normal 3 4 6 3 2 2" xfId="17941"/>
    <cellStyle name="Normal 3 4 6 3 2 3" xfId="29298"/>
    <cellStyle name="Normal 3 4 6 3 3" xfId="12956"/>
    <cellStyle name="Normal 3 4 6 3 4" xfId="24314"/>
    <cellStyle name="Normal 3 4 6 4" xfId="3810"/>
    <cellStyle name="Normal 3 4 6 4 2" xfId="8795"/>
    <cellStyle name="Normal 3 4 6 4 2 2" xfId="19602"/>
    <cellStyle name="Normal 3 4 6 4 2 3" xfId="30959"/>
    <cellStyle name="Normal 3 4 6 4 3" xfId="14617"/>
    <cellStyle name="Normal 3 4 6 4 4" xfId="25975"/>
    <cellStyle name="Normal 3 4 6 5" xfId="5472"/>
    <cellStyle name="Normal 3 4 6 5 2" xfId="16280"/>
    <cellStyle name="Normal 3 4 6 5 3" xfId="27637"/>
    <cellStyle name="Normal 3 4 6 6" xfId="10419"/>
    <cellStyle name="Normal 3 4 6 6 2" xfId="21226"/>
    <cellStyle name="Normal 3 4 6 6 3" xfId="32583"/>
    <cellStyle name="Normal 3 4 6 7" xfId="11291"/>
    <cellStyle name="Normal 3 4 6 8" xfId="22097"/>
    <cellStyle name="Normal 3 4 6 9" xfId="22651"/>
    <cellStyle name="Normal 3 4 7" xfId="752"/>
    <cellStyle name="Normal 3 4 7 2" xfId="1584"/>
    <cellStyle name="Normal 3 4 7 2 2" xfId="3249"/>
    <cellStyle name="Normal 3 4 7 2 2 2" xfId="8237"/>
    <cellStyle name="Normal 3 4 7 2 2 2 2" xfId="19044"/>
    <cellStyle name="Normal 3 4 7 2 2 2 3" xfId="30401"/>
    <cellStyle name="Normal 3 4 7 2 2 3" xfId="14059"/>
    <cellStyle name="Normal 3 4 7 2 2 4" xfId="25417"/>
    <cellStyle name="Normal 3 4 7 2 3" xfId="4913"/>
    <cellStyle name="Normal 3 4 7 2 3 2" xfId="9898"/>
    <cellStyle name="Normal 3 4 7 2 3 2 2" xfId="20705"/>
    <cellStyle name="Normal 3 4 7 2 3 2 3" xfId="32062"/>
    <cellStyle name="Normal 3 4 7 2 3 3" xfId="15720"/>
    <cellStyle name="Normal 3 4 7 2 3 4" xfId="27078"/>
    <cellStyle name="Normal 3 4 7 2 4" xfId="6575"/>
    <cellStyle name="Normal 3 4 7 2 4 2" xfId="17383"/>
    <cellStyle name="Normal 3 4 7 2 4 3" xfId="28740"/>
    <cellStyle name="Normal 3 4 7 2 5" xfId="12398"/>
    <cellStyle name="Normal 3 4 7 2 6" xfId="23756"/>
    <cellStyle name="Normal 3 4 7 3" xfId="2418"/>
    <cellStyle name="Normal 3 4 7 3 2" xfId="7406"/>
    <cellStyle name="Normal 3 4 7 3 2 2" xfId="18213"/>
    <cellStyle name="Normal 3 4 7 3 2 3" xfId="29570"/>
    <cellStyle name="Normal 3 4 7 3 3" xfId="13228"/>
    <cellStyle name="Normal 3 4 7 3 4" xfId="24586"/>
    <cellStyle name="Normal 3 4 7 4" xfId="4082"/>
    <cellStyle name="Normal 3 4 7 4 2" xfId="9067"/>
    <cellStyle name="Normal 3 4 7 4 2 2" xfId="19874"/>
    <cellStyle name="Normal 3 4 7 4 2 3" xfId="31231"/>
    <cellStyle name="Normal 3 4 7 4 3" xfId="14889"/>
    <cellStyle name="Normal 3 4 7 4 4" xfId="26247"/>
    <cellStyle name="Normal 3 4 7 5" xfId="5744"/>
    <cellStyle name="Normal 3 4 7 5 2" xfId="16552"/>
    <cellStyle name="Normal 3 4 7 5 3" xfId="27909"/>
    <cellStyle name="Normal 3 4 7 6" xfId="10731"/>
    <cellStyle name="Normal 3 4 7 6 2" xfId="21538"/>
    <cellStyle name="Normal 3 4 7 6 3" xfId="32895"/>
    <cellStyle name="Normal 3 4 7 7" xfId="11566"/>
    <cellStyle name="Normal 3 4 7 8" xfId="22925"/>
    <cellStyle name="Normal 3 4 8" xfId="1031"/>
    <cellStyle name="Normal 3 4 8 2" xfId="2696"/>
    <cellStyle name="Normal 3 4 8 2 2" xfId="7684"/>
    <cellStyle name="Normal 3 4 8 2 2 2" xfId="18491"/>
    <cellStyle name="Normal 3 4 8 2 2 3" xfId="29848"/>
    <cellStyle name="Normal 3 4 8 2 3" xfId="13506"/>
    <cellStyle name="Normal 3 4 8 2 4" xfId="24864"/>
    <cellStyle name="Normal 3 4 8 3" xfId="4360"/>
    <cellStyle name="Normal 3 4 8 3 2" xfId="9345"/>
    <cellStyle name="Normal 3 4 8 3 2 2" xfId="20152"/>
    <cellStyle name="Normal 3 4 8 3 2 3" xfId="31509"/>
    <cellStyle name="Normal 3 4 8 3 3" xfId="15167"/>
    <cellStyle name="Normal 3 4 8 3 4" xfId="26525"/>
    <cellStyle name="Normal 3 4 8 4" xfId="6022"/>
    <cellStyle name="Normal 3 4 8 4 2" xfId="16830"/>
    <cellStyle name="Normal 3 4 8 4 3" xfId="28187"/>
    <cellStyle name="Normal 3 4 8 5" xfId="11845"/>
    <cellStyle name="Normal 3 4 8 6" xfId="23203"/>
    <cellStyle name="Normal 3 4 9" xfId="1867"/>
    <cellStyle name="Normal 3 4 9 2" xfId="6855"/>
    <cellStyle name="Normal 3 4 9 2 2" xfId="17663"/>
    <cellStyle name="Normal 3 4 9 2 3" xfId="29020"/>
    <cellStyle name="Normal 3 4 9 3" xfId="12678"/>
    <cellStyle name="Normal 3 4 9 4" xfId="24036"/>
    <cellStyle name="Normal 3 5" xfId="62"/>
    <cellStyle name="Normal 3 5 10" xfId="5174"/>
    <cellStyle name="Normal 3 5 10 2" xfId="15983"/>
    <cellStyle name="Normal 3 5 10 3" xfId="27340"/>
    <cellStyle name="Normal 3 5 11" xfId="10190"/>
    <cellStyle name="Normal 3 5 11 2" xfId="20997"/>
    <cellStyle name="Normal 3 5 11 3" xfId="32354"/>
    <cellStyle name="Normal 3 5 12" xfId="11024"/>
    <cellStyle name="Normal 3 5 13" xfId="21831"/>
    <cellStyle name="Normal 3 5 14" xfId="22384"/>
    <cellStyle name="Normal 3 5 15" xfId="33187"/>
    <cellStyle name="Normal 3 5 16" xfId="33484"/>
    <cellStyle name="Normal 3 5 17" xfId="33755"/>
    <cellStyle name="Normal 3 5 2" xfId="282"/>
    <cellStyle name="Normal 3 5 2 10" xfId="21939"/>
    <cellStyle name="Normal 3 5 2 11" xfId="22492"/>
    <cellStyle name="Normal 3 5 2 12" xfId="33295"/>
    <cellStyle name="Normal 3 5 2 13" xfId="33570"/>
    <cellStyle name="Normal 3 5 2 14" xfId="33841"/>
    <cellStyle name="Normal 3 5 2 2" xfId="599"/>
    <cellStyle name="Normal 3 5 2 2 2" xfId="1431"/>
    <cellStyle name="Normal 3 5 2 2 2 2" xfId="3096"/>
    <cellStyle name="Normal 3 5 2 2 2 2 2" xfId="8084"/>
    <cellStyle name="Normal 3 5 2 2 2 2 2 2" xfId="18891"/>
    <cellStyle name="Normal 3 5 2 2 2 2 2 3" xfId="30248"/>
    <cellStyle name="Normal 3 5 2 2 2 2 3" xfId="13906"/>
    <cellStyle name="Normal 3 5 2 2 2 2 4" xfId="25264"/>
    <cellStyle name="Normal 3 5 2 2 2 3" xfId="4760"/>
    <cellStyle name="Normal 3 5 2 2 2 3 2" xfId="9745"/>
    <cellStyle name="Normal 3 5 2 2 2 3 2 2" xfId="20552"/>
    <cellStyle name="Normal 3 5 2 2 2 3 2 3" xfId="31909"/>
    <cellStyle name="Normal 3 5 2 2 2 3 3" xfId="15567"/>
    <cellStyle name="Normal 3 5 2 2 2 3 4" xfId="26925"/>
    <cellStyle name="Normal 3 5 2 2 2 4" xfId="6422"/>
    <cellStyle name="Normal 3 5 2 2 2 4 2" xfId="17230"/>
    <cellStyle name="Normal 3 5 2 2 2 4 3" xfId="28587"/>
    <cellStyle name="Normal 3 5 2 2 2 5" xfId="12245"/>
    <cellStyle name="Normal 3 5 2 2 2 6" xfId="23603"/>
    <cellStyle name="Normal 3 5 2 2 3" xfId="2265"/>
    <cellStyle name="Normal 3 5 2 2 3 2" xfId="7253"/>
    <cellStyle name="Normal 3 5 2 2 3 2 2" xfId="18060"/>
    <cellStyle name="Normal 3 5 2 2 3 2 3" xfId="29417"/>
    <cellStyle name="Normal 3 5 2 2 3 3" xfId="13075"/>
    <cellStyle name="Normal 3 5 2 2 3 4" xfId="24433"/>
    <cellStyle name="Normal 3 5 2 2 4" xfId="3929"/>
    <cellStyle name="Normal 3 5 2 2 4 2" xfId="8914"/>
    <cellStyle name="Normal 3 5 2 2 4 2 2" xfId="19721"/>
    <cellStyle name="Normal 3 5 2 2 4 2 3" xfId="31078"/>
    <cellStyle name="Normal 3 5 2 2 4 3" xfId="14736"/>
    <cellStyle name="Normal 3 5 2 2 4 4" xfId="26094"/>
    <cellStyle name="Normal 3 5 2 2 5" xfId="5591"/>
    <cellStyle name="Normal 3 5 2 2 5 2" xfId="16399"/>
    <cellStyle name="Normal 3 5 2 2 5 3" xfId="27756"/>
    <cellStyle name="Normal 3 5 2 2 6" xfId="10578"/>
    <cellStyle name="Normal 3 5 2 2 6 2" xfId="21385"/>
    <cellStyle name="Normal 3 5 2 2 6 3" xfId="32742"/>
    <cellStyle name="Normal 3 5 2 2 7" xfId="11412"/>
    <cellStyle name="Normal 3 5 2 2 8" xfId="22218"/>
    <cellStyle name="Normal 3 5 2 2 9" xfId="22772"/>
    <cellStyle name="Normal 3 5 2 3" xfId="873"/>
    <cellStyle name="Normal 3 5 2 3 2" xfId="1705"/>
    <cellStyle name="Normal 3 5 2 3 2 2" xfId="3370"/>
    <cellStyle name="Normal 3 5 2 3 2 2 2" xfId="8358"/>
    <cellStyle name="Normal 3 5 2 3 2 2 2 2" xfId="19165"/>
    <cellStyle name="Normal 3 5 2 3 2 2 2 3" xfId="30522"/>
    <cellStyle name="Normal 3 5 2 3 2 2 3" xfId="14180"/>
    <cellStyle name="Normal 3 5 2 3 2 2 4" xfId="25538"/>
    <cellStyle name="Normal 3 5 2 3 2 3" xfId="5034"/>
    <cellStyle name="Normal 3 5 2 3 2 3 2" xfId="10019"/>
    <cellStyle name="Normal 3 5 2 3 2 3 2 2" xfId="20826"/>
    <cellStyle name="Normal 3 5 2 3 2 3 2 3" xfId="32183"/>
    <cellStyle name="Normal 3 5 2 3 2 3 3" xfId="15841"/>
    <cellStyle name="Normal 3 5 2 3 2 3 4" xfId="27199"/>
    <cellStyle name="Normal 3 5 2 3 2 4" xfId="6696"/>
    <cellStyle name="Normal 3 5 2 3 2 4 2" xfId="17504"/>
    <cellStyle name="Normal 3 5 2 3 2 4 3" xfId="28861"/>
    <cellStyle name="Normal 3 5 2 3 2 5" xfId="12519"/>
    <cellStyle name="Normal 3 5 2 3 2 6" xfId="23877"/>
    <cellStyle name="Normal 3 5 2 3 3" xfId="2539"/>
    <cellStyle name="Normal 3 5 2 3 3 2" xfId="7527"/>
    <cellStyle name="Normal 3 5 2 3 3 2 2" xfId="18334"/>
    <cellStyle name="Normal 3 5 2 3 3 2 3" xfId="29691"/>
    <cellStyle name="Normal 3 5 2 3 3 3" xfId="13349"/>
    <cellStyle name="Normal 3 5 2 3 3 4" xfId="24707"/>
    <cellStyle name="Normal 3 5 2 3 4" xfId="4203"/>
    <cellStyle name="Normal 3 5 2 3 4 2" xfId="9188"/>
    <cellStyle name="Normal 3 5 2 3 4 2 2" xfId="19995"/>
    <cellStyle name="Normal 3 5 2 3 4 2 3" xfId="31352"/>
    <cellStyle name="Normal 3 5 2 3 4 3" xfId="15010"/>
    <cellStyle name="Normal 3 5 2 3 4 4" xfId="26368"/>
    <cellStyle name="Normal 3 5 2 3 5" xfId="5865"/>
    <cellStyle name="Normal 3 5 2 3 5 2" xfId="16673"/>
    <cellStyle name="Normal 3 5 2 3 5 3" xfId="28030"/>
    <cellStyle name="Normal 3 5 2 3 6" xfId="10852"/>
    <cellStyle name="Normal 3 5 2 3 6 2" xfId="21659"/>
    <cellStyle name="Normal 3 5 2 3 6 3" xfId="33016"/>
    <cellStyle name="Normal 3 5 2 3 7" xfId="11687"/>
    <cellStyle name="Normal 3 5 2 3 8" xfId="23046"/>
    <cellStyle name="Normal 3 5 2 4" xfId="1152"/>
    <cellStyle name="Normal 3 5 2 4 2" xfId="2817"/>
    <cellStyle name="Normal 3 5 2 4 2 2" xfId="7805"/>
    <cellStyle name="Normal 3 5 2 4 2 2 2" xfId="18612"/>
    <cellStyle name="Normal 3 5 2 4 2 2 3" xfId="29969"/>
    <cellStyle name="Normal 3 5 2 4 2 3" xfId="13627"/>
    <cellStyle name="Normal 3 5 2 4 2 4" xfId="24985"/>
    <cellStyle name="Normal 3 5 2 4 3" xfId="4481"/>
    <cellStyle name="Normal 3 5 2 4 3 2" xfId="9466"/>
    <cellStyle name="Normal 3 5 2 4 3 2 2" xfId="20273"/>
    <cellStyle name="Normal 3 5 2 4 3 2 3" xfId="31630"/>
    <cellStyle name="Normal 3 5 2 4 3 3" xfId="15288"/>
    <cellStyle name="Normal 3 5 2 4 3 4" xfId="26646"/>
    <cellStyle name="Normal 3 5 2 4 4" xfId="6143"/>
    <cellStyle name="Normal 3 5 2 4 4 2" xfId="16951"/>
    <cellStyle name="Normal 3 5 2 4 4 3" xfId="28308"/>
    <cellStyle name="Normal 3 5 2 4 5" xfId="11966"/>
    <cellStyle name="Normal 3 5 2 4 6" xfId="23324"/>
    <cellStyle name="Normal 3 5 2 5" xfId="1987"/>
    <cellStyle name="Normal 3 5 2 5 2" xfId="6975"/>
    <cellStyle name="Normal 3 5 2 5 2 2" xfId="17783"/>
    <cellStyle name="Normal 3 5 2 5 2 3" xfId="29140"/>
    <cellStyle name="Normal 3 5 2 5 3" xfId="12798"/>
    <cellStyle name="Normal 3 5 2 5 4" xfId="24156"/>
    <cellStyle name="Normal 3 5 2 6" xfId="3652"/>
    <cellStyle name="Normal 3 5 2 6 2" xfId="8637"/>
    <cellStyle name="Normal 3 5 2 6 2 2" xfId="19444"/>
    <cellStyle name="Normal 3 5 2 6 2 3" xfId="30801"/>
    <cellStyle name="Normal 3 5 2 6 3" xfId="14459"/>
    <cellStyle name="Normal 3 5 2 6 4" xfId="25817"/>
    <cellStyle name="Normal 3 5 2 7" xfId="5313"/>
    <cellStyle name="Normal 3 5 2 7 2" xfId="16122"/>
    <cellStyle name="Normal 3 5 2 7 3" xfId="27479"/>
    <cellStyle name="Normal 3 5 2 8" xfId="10298"/>
    <cellStyle name="Normal 3 5 2 8 2" xfId="21105"/>
    <cellStyle name="Normal 3 5 2 8 3" xfId="32462"/>
    <cellStyle name="Normal 3 5 2 9" xfId="11132"/>
    <cellStyle name="Normal 3 5 3" xfId="305"/>
    <cellStyle name="Normal 3 5 3 10" xfId="21962"/>
    <cellStyle name="Normal 3 5 3 11" xfId="22515"/>
    <cellStyle name="Normal 3 5 3 12" xfId="33318"/>
    <cellStyle name="Normal 3 5 3 13" xfId="33593"/>
    <cellStyle name="Normal 3 5 3 14" xfId="33864"/>
    <cellStyle name="Normal 3 5 3 2" xfId="622"/>
    <cellStyle name="Normal 3 5 3 2 2" xfId="1454"/>
    <cellStyle name="Normal 3 5 3 2 2 2" xfId="3119"/>
    <cellStyle name="Normal 3 5 3 2 2 2 2" xfId="8107"/>
    <cellStyle name="Normal 3 5 3 2 2 2 2 2" xfId="18914"/>
    <cellStyle name="Normal 3 5 3 2 2 2 2 3" xfId="30271"/>
    <cellStyle name="Normal 3 5 3 2 2 2 3" xfId="13929"/>
    <cellStyle name="Normal 3 5 3 2 2 2 4" xfId="25287"/>
    <cellStyle name="Normal 3 5 3 2 2 3" xfId="4783"/>
    <cellStyle name="Normal 3 5 3 2 2 3 2" xfId="9768"/>
    <cellStyle name="Normal 3 5 3 2 2 3 2 2" xfId="20575"/>
    <cellStyle name="Normal 3 5 3 2 2 3 2 3" xfId="31932"/>
    <cellStyle name="Normal 3 5 3 2 2 3 3" xfId="15590"/>
    <cellStyle name="Normal 3 5 3 2 2 3 4" xfId="26948"/>
    <cellStyle name="Normal 3 5 3 2 2 4" xfId="6445"/>
    <cellStyle name="Normal 3 5 3 2 2 4 2" xfId="17253"/>
    <cellStyle name="Normal 3 5 3 2 2 4 3" xfId="28610"/>
    <cellStyle name="Normal 3 5 3 2 2 5" xfId="12268"/>
    <cellStyle name="Normal 3 5 3 2 2 6" xfId="23626"/>
    <cellStyle name="Normal 3 5 3 2 3" xfId="2288"/>
    <cellStyle name="Normal 3 5 3 2 3 2" xfId="7276"/>
    <cellStyle name="Normal 3 5 3 2 3 2 2" xfId="18083"/>
    <cellStyle name="Normal 3 5 3 2 3 2 3" xfId="29440"/>
    <cellStyle name="Normal 3 5 3 2 3 3" xfId="13098"/>
    <cellStyle name="Normal 3 5 3 2 3 4" xfId="24456"/>
    <cellStyle name="Normal 3 5 3 2 4" xfId="3952"/>
    <cellStyle name="Normal 3 5 3 2 4 2" xfId="8937"/>
    <cellStyle name="Normal 3 5 3 2 4 2 2" xfId="19744"/>
    <cellStyle name="Normal 3 5 3 2 4 2 3" xfId="31101"/>
    <cellStyle name="Normal 3 5 3 2 4 3" xfId="14759"/>
    <cellStyle name="Normal 3 5 3 2 4 4" xfId="26117"/>
    <cellStyle name="Normal 3 5 3 2 5" xfId="5614"/>
    <cellStyle name="Normal 3 5 3 2 5 2" xfId="16422"/>
    <cellStyle name="Normal 3 5 3 2 5 3" xfId="27779"/>
    <cellStyle name="Normal 3 5 3 2 6" xfId="10601"/>
    <cellStyle name="Normal 3 5 3 2 6 2" xfId="21408"/>
    <cellStyle name="Normal 3 5 3 2 6 3" xfId="32765"/>
    <cellStyle name="Normal 3 5 3 2 7" xfId="11435"/>
    <cellStyle name="Normal 3 5 3 2 8" xfId="22241"/>
    <cellStyle name="Normal 3 5 3 2 9" xfId="22795"/>
    <cellStyle name="Normal 3 5 3 3" xfId="896"/>
    <cellStyle name="Normal 3 5 3 3 2" xfId="1728"/>
    <cellStyle name="Normal 3 5 3 3 2 2" xfId="3393"/>
    <cellStyle name="Normal 3 5 3 3 2 2 2" xfId="8381"/>
    <cellStyle name="Normal 3 5 3 3 2 2 2 2" xfId="19188"/>
    <cellStyle name="Normal 3 5 3 3 2 2 2 3" xfId="30545"/>
    <cellStyle name="Normal 3 5 3 3 2 2 3" xfId="14203"/>
    <cellStyle name="Normal 3 5 3 3 2 2 4" xfId="25561"/>
    <cellStyle name="Normal 3 5 3 3 2 3" xfId="5057"/>
    <cellStyle name="Normal 3 5 3 3 2 3 2" xfId="10042"/>
    <cellStyle name="Normal 3 5 3 3 2 3 2 2" xfId="20849"/>
    <cellStyle name="Normal 3 5 3 3 2 3 2 3" xfId="32206"/>
    <cellStyle name="Normal 3 5 3 3 2 3 3" xfId="15864"/>
    <cellStyle name="Normal 3 5 3 3 2 3 4" xfId="27222"/>
    <cellStyle name="Normal 3 5 3 3 2 4" xfId="6719"/>
    <cellStyle name="Normal 3 5 3 3 2 4 2" xfId="17527"/>
    <cellStyle name="Normal 3 5 3 3 2 4 3" xfId="28884"/>
    <cellStyle name="Normal 3 5 3 3 2 5" xfId="12542"/>
    <cellStyle name="Normal 3 5 3 3 2 6" xfId="23900"/>
    <cellStyle name="Normal 3 5 3 3 3" xfId="2562"/>
    <cellStyle name="Normal 3 5 3 3 3 2" xfId="7550"/>
    <cellStyle name="Normal 3 5 3 3 3 2 2" xfId="18357"/>
    <cellStyle name="Normal 3 5 3 3 3 2 3" xfId="29714"/>
    <cellStyle name="Normal 3 5 3 3 3 3" xfId="13372"/>
    <cellStyle name="Normal 3 5 3 3 3 4" xfId="24730"/>
    <cellStyle name="Normal 3 5 3 3 4" xfId="4226"/>
    <cellStyle name="Normal 3 5 3 3 4 2" xfId="9211"/>
    <cellStyle name="Normal 3 5 3 3 4 2 2" xfId="20018"/>
    <cellStyle name="Normal 3 5 3 3 4 2 3" xfId="31375"/>
    <cellStyle name="Normal 3 5 3 3 4 3" xfId="15033"/>
    <cellStyle name="Normal 3 5 3 3 4 4" xfId="26391"/>
    <cellStyle name="Normal 3 5 3 3 5" xfId="5888"/>
    <cellStyle name="Normal 3 5 3 3 5 2" xfId="16696"/>
    <cellStyle name="Normal 3 5 3 3 5 3" xfId="28053"/>
    <cellStyle name="Normal 3 5 3 3 6" xfId="10875"/>
    <cellStyle name="Normal 3 5 3 3 6 2" xfId="21682"/>
    <cellStyle name="Normal 3 5 3 3 6 3" xfId="33039"/>
    <cellStyle name="Normal 3 5 3 3 7" xfId="11710"/>
    <cellStyle name="Normal 3 5 3 3 8" xfId="23069"/>
    <cellStyle name="Normal 3 5 3 4" xfId="1175"/>
    <cellStyle name="Normal 3 5 3 4 2" xfId="2840"/>
    <cellStyle name="Normal 3 5 3 4 2 2" xfId="7828"/>
    <cellStyle name="Normal 3 5 3 4 2 2 2" xfId="18635"/>
    <cellStyle name="Normal 3 5 3 4 2 2 3" xfId="29992"/>
    <cellStyle name="Normal 3 5 3 4 2 3" xfId="13650"/>
    <cellStyle name="Normal 3 5 3 4 2 4" xfId="25008"/>
    <cellStyle name="Normal 3 5 3 4 3" xfId="4504"/>
    <cellStyle name="Normal 3 5 3 4 3 2" xfId="9489"/>
    <cellStyle name="Normal 3 5 3 4 3 2 2" xfId="20296"/>
    <cellStyle name="Normal 3 5 3 4 3 2 3" xfId="31653"/>
    <cellStyle name="Normal 3 5 3 4 3 3" xfId="15311"/>
    <cellStyle name="Normal 3 5 3 4 3 4" xfId="26669"/>
    <cellStyle name="Normal 3 5 3 4 4" xfId="6166"/>
    <cellStyle name="Normal 3 5 3 4 4 2" xfId="16974"/>
    <cellStyle name="Normal 3 5 3 4 4 3" xfId="28331"/>
    <cellStyle name="Normal 3 5 3 4 5" xfId="11989"/>
    <cellStyle name="Normal 3 5 3 4 6" xfId="23347"/>
    <cellStyle name="Normal 3 5 3 5" xfId="2010"/>
    <cellStyle name="Normal 3 5 3 5 2" xfId="6998"/>
    <cellStyle name="Normal 3 5 3 5 2 2" xfId="17806"/>
    <cellStyle name="Normal 3 5 3 5 2 3" xfId="29163"/>
    <cellStyle name="Normal 3 5 3 5 3" xfId="12821"/>
    <cellStyle name="Normal 3 5 3 5 4" xfId="24179"/>
    <cellStyle name="Normal 3 5 3 6" xfId="3675"/>
    <cellStyle name="Normal 3 5 3 6 2" xfId="8660"/>
    <cellStyle name="Normal 3 5 3 6 2 2" xfId="19467"/>
    <cellStyle name="Normal 3 5 3 6 2 3" xfId="30824"/>
    <cellStyle name="Normal 3 5 3 6 3" xfId="14482"/>
    <cellStyle name="Normal 3 5 3 6 4" xfId="25840"/>
    <cellStyle name="Normal 3 5 3 7" xfId="5336"/>
    <cellStyle name="Normal 3 5 3 7 2" xfId="16145"/>
    <cellStyle name="Normal 3 5 3 7 3" xfId="27502"/>
    <cellStyle name="Normal 3 5 3 8" xfId="10321"/>
    <cellStyle name="Normal 3 5 3 8 2" xfId="21128"/>
    <cellStyle name="Normal 3 5 3 8 3" xfId="32485"/>
    <cellStyle name="Normal 3 5 3 9" xfId="11155"/>
    <cellStyle name="Normal 3 5 4" xfId="361"/>
    <cellStyle name="Normal 3 5 4 10" xfId="22018"/>
    <cellStyle name="Normal 3 5 4 11" xfId="22571"/>
    <cellStyle name="Normal 3 5 4 12" xfId="33374"/>
    <cellStyle name="Normal 3 5 4 13" xfId="33649"/>
    <cellStyle name="Normal 3 5 4 14" xfId="33920"/>
    <cellStyle name="Normal 3 5 4 2" xfId="678"/>
    <cellStyle name="Normal 3 5 4 2 2" xfId="1510"/>
    <cellStyle name="Normal 3 5 4 2 2 2" xfId="3175"/>
    <cellStyle name="Normal 3 5 4 2 2 2 2" xfId="8163"/>
    <cellStyle name="Normal 3 5 4 2 2 2 2 2" xfId="18970"/>
    <cellStyle name="Normal 3 5 4 2 2 2 2 3" xfId="30327"/>
    <cellStyle name="Normal 3 5 4 2 2 2 3" xfId="13985"/>
    <cellStyle name="Normal 3 5 4 2 2 2 4" xfId="25343"/>
    <cellStyle name="Normal 3 5 4 2 2 3" xfId="4839"/>
    <cellStyle name="Normal 3 5 4 2 2 3 2" xfId="9824"/>
    <cellStyle name="Normal 3 5 4 2 2 3 2 2" xfId="20631"/>
    <cellStyle name="Normal 3 5 4 2 2 3 2 3" xfId="31988"/>
    <cellStyle name="Normal 3 5 4 2 2 3 3" xfId="15646"/>
    <cellStyle name="Normal 3 5 4 2 2 3 4" xfId="27004"/>
    <cellStyle name="Normal 3 5 4 2 2 4" xfId="6501"/>
    <cellStyle name="Normal 3 5 4 2 2 4 2" xfId="17309"/>
    <cellStyle name="Normal 3 5 4 2 2 4 3" xfId="28666"/>
    <cellStyle name="Normal 3 5 4 2 2 5" xfId="12324"/>
    <cellStyle name="Normal 3 5 4 2 2 6" xfId="23682"/>
    <cellStyle name="Normal 3 5 4 2 3" xfId="2344"/>
    <cellStyle name="Normal 3 5 4 2 3 2" xfId="7332"/>
    <cellStyle name="Normal 3 5 4 2 3 2 2" xfId="18139"/>
    <cellStyle name="Normal 3 5 4 2 3 2 3" xfId="29496"/>
    <cellStyle name="Normal 3 5 4 2 3 3" xfId="13154"/>
    <cellStyle name="Normal 3 5 4 2 3 4" xfId="24512"/>
    <cellStyle name="Normal 3 5 4 2 4" xfId="4008"/>
    <cellStyle name="Normal 3 5 4 2 4 2" xfId="8993"/>
    <cellStyle name="Normal 3 5 4 2 4 2 2" xfId="19800"/>
    <cellStyle name="Normal 3 5 4 2 4 2 3" xfId="31157"/>
    <cellStyle name="Normal 3 5 4 2 4 3" xfId="14815"/>
    <cellStyle name="Normal 3 5 4 2 4 4" xfId="26173"/>
    <cellStyle name="Normal 3 5 4 2 5" xfId="5670"/>
    <cellStyle name="Normal 3 5 4 2 5 2" xfId="16478"/>
    <cellStyle name="Normal 3 5 4 2 5 3" xfId="27835"/>
    <cellStyle name="Normal 3 5 4 2 6" xfId="10657"/>
    <cellStyle name="Normal 3 5 4 2 6 2" xfId="21464"/>
    <cellStyle name="Normal 3 5 4 2 6 3" xfId="32821"/>
    <cellStyle name="Normal 3 5 4 2 7" xfId="11491"/>
    <cellStyle name="Normal 3 5 4 2 8" xfId="22297"/>
    <cellStyle name="Normal 3 5 4 2 9" xfId="22851"/>
    <cellStyle name="Normal 3 5 4 3" xfId="952"/>
    <cellStyle name="Normal 3 5 4 3 2" xfId="1784"/>
    <cellStyle name="Normal 3 5 4 3 2 2" xfId="3449"/>
    <cellStyle name="Normal 3 5 4 3 2 2 2" xfId="8437"/>
    <cellStyle name="Normal 3 5 4 3 2 2 2 2" xfId="19244"/>
    <cellStyle name="Normal 3 5 4 3 2 2 2 3" xfId="30601"/>
    <cellStyle name="Normal 3 5 4 3 2 2 3" xfId="14259"/>
    <cellStyle name="Normal 3 5 4 3 2 2 4" xfId="25617"/>
    <cellStyle name="Normal 3 5 4 3 2 3" xfId="5113"/>
    <cellStyle name="Normal 3 5 4 3 2 3 2" xfId="10098"/>
    <cellStyle name="Normal 3 5 4 3 2 3 2 2" xfId="20905"/>
    <cellStyle name="Normal 3 5 4 3 2 3 2 3" xfId="32262"/>
    <cellStyle name="Normal 3 5 4 3 2 3 3" xfId="15920"/>
    <cellStyle name="Normal 3 5 4 3 2 3 4" xfId="27278"/>
    <cellStyle name="Normal 3 5 4 3 2 4" xfId="6775"/>
    <cellStyle name="Normal 3 5 4 3 2 4 2" xfId="17583"/>
    <cellStyle name="Normal 3 5 4 3 2 4 3" xfId="28940"/>
    <cellStyle name="Normal 3 5 4 3 2 5" xfId="12598"/>
    <cellStyle name="Normal 3 5 4 3 2 6" xfId="23956"/>
    <cellStyle name="Normal 3 5 4 3 3" xfId="2618"/>
    <cellStyle name="Normal 3 5 4 3 3 2" xfId="7606"/>
    <cellStyle name="Normal 3 5 4 3 3 2 2" xfId="18413"/>
    <cellStyle name="Normal 3 5 4 3 3 2 3" xfId="29770"/>
    <cellStyle name="Normal 3 5 4 3 3 3" xfId="13428"/>
    <cellStyle name="Normal 3 5 4 3 3 4" xfId="24786"/>
    <cellStyle name="Normal 3 5 4 3 4" xfId="4282"/>
    <cellStyle name="Normal 3 5 4 3 4 2" xfId="9267"/>
    <cellStyle name="Normal 3 5 4 3 4 2 2" xfId="20074"/>
    <cellStyle name="Normal 3 5 4 3 4 2 3" xfId="31431"/>
    <cellStyle name="Normal 3 5 4 3 4 3" xfId="15089"/>
    <cellStyle name="Normal 3 5 4 3 4 4" xfId="26447"/>
    <cellStyle name="Normal 3 5 4 3 5" xfId="5944"/>
    <cellStyle name="Normal 3 5 4 3 5 2" xfId="16752"/>
    <cellStyle name="Normal 3 5 4 3 5 3" xfId="28109"/>
    <cellStyle name="Normal 3 5 4 3 6" xfId="10931"/>
    <cellStyle name="Normal 3 5 4 3 6 2" xfId="21738"/>
    <cellStyle name="Normal 3 5 4 3 6 3" xfId="33095"/>
    <cellStyle name="Normal 3 5 4 3 7" xfId="11766"/>
    <cellStyle name="Normal 3 5 4 3 8" xfId="23125"/>
    <cellStyle name="Normal 3 5 4 4" xfId="1231"/>
    <cellStyle name="Normal 3 5 4 4 2" xfId="2896"/>
    <cellStyle name="Normal 3 5 4 4 2 2" xfId="7884"/>
    <cellStyle name="Normal 3 5 4 4 2 2 2" xfId="18691"/>
    <cellStyle name="Normal 3 5 4 4 2 2 3" xfId="30048"/>
    <cellStyle name="Normal 3 5 4 4 2 3" xfId="13706"/>
    <cellStyle name="Normal 3 5 4 4 2 4" xfId="25064"/>
    <cellStyle name="Normal 3 5 4 4 3" xfId="4560"/>
    <cellStyle name="Normal 3 5 4 4 3 2" xfId="9545"/>
    <cellStyle name="Normal 3 5 4 4 3 2 2" xfId="20352"/>
    <cellStyle name="Normal 3 5 4 4 3 2 3" xfId="31709"/>
    <cellStyle name="Normal 3 5 4 4 3 3" xfId="15367"/>
    <cellStyle name="Normal 3 5 4 4 3 4" xfId="26725"/>
    <cellStyle name="Normal 3 5 4 4 4" xfId="6222"/>
    <cellStyle name="Normal 3 5 4 4 4 2" xfId="17030"/>
    <cellStyle name="Normal 3 5 4 4 4 3" xfId="28387"/>
    <cellStyle name="Normal 3 5 4 4 5" xfId="12045"/>
    <cellStyle name="Normal 3 5 4 4 6" xfId="23403"/>
    <cellStyle name="Normal 3 5 4 5" xfId="2066"/>
    <cellStyle name="Normal 3 5 4 5 2" xfId="7054"/>
    <cellStyle name="Normal 3 5 4 5 2 2" xfId="17862"/>
    <cellStyle name="Normal 3 5 4 5 2 3" xfId="29219"/>
    <cellStyle name="Normal 3 5 4 5 3" xfId="12877"/>
    <cellStyle name="Normal 3 5 4 5 4" xfId="24235"/>
    <cellStyle name="Normal 3 5 4 6" xfId="3731"/>
    <cellStyle name="Normal 3 5 4 6 2" xfId="8716"/>
    <cellStyle name="Normal 3 5 4 6 2 2" xfId="19523"/>
    <cellStyle name="Normal 3 5 4 6 2 3" xfId="30880"/>
    <cellStyle name="Normal 3 5 4 6 3" xfId="14538"/>
    <cellStyle name="Normal 3 5 4 6 4" xfId="25896"/>
    <cellStyle name="Normal 3 5 4 7" xfId="5392"/>
    <cellStyle name="Normal 3 5 4 7 2" xfId="16201"/>
    <cellStyle name="Normal 3 5 4 7 3" xfId="27558"/>
    <cellStyle name="Normal 3 5 4 8" xfId="10377"/>
    <cellStyle name="Normal 3 5 4 8 2" xfId="21184"/>
    <cellStyle name="Normal 3 5 4 8 3" xfId="32541"/>
    <cellStyle name="Normal 3 5 4 9" xfId="11211"/>
    <cellStyle name="Normal 3 5 5" xfId="493"/>
    <cellStyle name="Normal 3 5 5 2" xfId="1323"/>
    <cellStyle name="Normal 3 5 5 2 2" xfId="2988"/>
    <cellStyle name="Normal 3 5 5 2 2 2" xfId="7976"/>
    <cellStyle name="Normal 3 5 5 2 2 2 2" xfId="18783"/>
    <cellStyle name="Normal 3 5 5 2 2 2 3" xfId="30140"/>
    <cellStyle name="Normal 3 5 5 2 2 3" xfId="13798"/>
    <cellStyle name="Normal 3 5 5 2 2 4" xfId="25156"/>
    <cellStyle name="Normal 3 5 5 2 3" xfId="4652"/>
    <cellStyle name="Normal 3 5 5 2 3 2" xfId="9637"/>
    <cellStyle name="Normal 3 5 5 2 3 2 2" xfId="20444"/>
    <cellStyle name="Normal 3 5 5 2 3 2 3" xfId="31801"/>
    <cellStyle name="Normal 3 5 5 2 3 3" xfId="15459"/>
    <cellStyle name="Normal 3 5 5 2 3 4" xfId="26817"/>
    <cellStyle name="Normal 3 5 5 2 4" xfId="6314"/>
    <cellStyle name="Normal 3 5 5 2 4 2" xfId="17122"/>
    <cellStyle name="Normal 3 5 5 2 4 3" xfId="28479"/>
    <cellStyle name="Normal 3 5 5 2 5" xfId="12137"/>
    <cellStyle name="Normal 3 5 5 2 6" xfId="23495"/>
    <cellStyle name="Normal 3 5 5 3" xfId="2159"/>
    <cellStyle name="Normal 3 5 5 3 2" xfId="7147"/>
    <cellStyle name="Normal 3 5 5 3 2 2" xfId="17954"/>
    <cellStyle name="Normal 3 5 5 3 2 3" xfId="29311"/>
    <cellStyle name="Normal 3 5 5 3 3" xfId="12969"/>
    <cellStyle name="Normal 3 5 5 3 4" xfId="24327"/>
    <cellStyle name="Normal 3 5 5 4" xfId="3823"/>
    <cellStyle name="Normal 3 5 5 4 2" xfId="8808"/>
    <cellStyle name="Normal 3 5 5 4 2 2" xfId="19615"/>
    <cellStyle name="Normal 3 5 5 4 2 3" xfId="30972"/>
    <cellStyle name="Normal 3 5 5 4 3" xfId="14630"/>
    <cellStyle name="Normal 3 5 5 4 4" xfId="25988"/>
    <cellStyle name="Normal 3 5 5 5" xfId="5485"/>
    <cellStyle name="Normal 3 5 5 5 2" xfId="16293"/>
    <cellStyle name="Normal 3 5 5 5 3" xfId="27650"/>
    <cellStyle name="Normal 3 5 5 6" xfId="10470"/>
    <cellStyle name="Normal 3 5 5 6 2" xfId="21277"/>
    <cellStyle name="Normal 3 5 5 6 3" xfId="32634"/>
    <cellStyle name="Normal 3 5 5 7" xfId="11304"/>
    <cellStyle name="Normal 3 5 5 8" xfId="22110"/>
    <cellStyle name="Normal 3 5 5 9" xfId="22664"/>
    <cellStyle name="Normal 3 5 6" xfId="765"/>
    <cellStyle name="Normal 3 5 6 2" xfId="1597"/>
    <cellStyle name="Normal 3 5 6 2 2" xfId="3262"/>
    <cellStyle name="Normal 3 5 6 2 2 2" xfId="8250"/>
    <cellStyle name="Normal 3 5 6 2 2 2 2" xfId="19057"/>
    <cellStyle name="Normal 3 5 6 2 2 2 3" xfId="30414"/>
    <cellStyle name="Normal 3 5 6 2 2 3" xfId="14072"/>
    <cellStyle name="Normal 3 5 6 2 2 4" xfId="25430"/>
    <cellStyle name="Normal 3 5 6 2 3" xfId="4926"/>
    <cellStyle name="Normal 3 5 6 2 3 2" xfId="9911"/>
    <cellStyle name="Normal 3 5 6 2 3 2 2" xfId="20718"/>
    <cellStyle name="Normal 3 5 6 2 3 2 3" xfId="32075"/>
    <cellStyle name="Normal 3 5 6 2 3 3" xfId="15733"/>
    <cellStyle name="Normal 3 5 6 2 3 4" xfId="27091"/>
    <cellStyle name="Normal 3 5 6 2 4" xfId="6588"/>
    <cellStyle name="Normal 3 5 6 2 4 2" xfId="17396"/>
    <cellStyle name="Normal 3 5 6 2 4 3" xfId="28753"/>
    <cellStyle name="Normal 3 5 6 2 5" xfId="12411"/>
    <cellStyle name="Normal 3 5 6 2 6" xfId="23769"/>
    <cellStyle name="Normal 3 5 6 3" xfId="2431"/>
    <cellStyle name="Normal 3 5 6 3 2" xfId="7419"/>
    <cellStyle name="Normal 3 5 6 3 2 2" xfId="18226"/>
    <cellStyle name="Normal 3 5 6 3 2 3" xfId="29583"/>
    <cellStyle name="Normal 3 5 6 3 3" xfId="13241"/>
    <cellStyle name="Normal 3 5 6 3 4" xfId="24599"/>
    <cellStyle name="Normal 3 5 6 4" xfId="4095"/>
    <cellStyle name="Normal 3 5 6 4 2" xfId="9080"/>
    <cellStyle name="Normal 3 5 6 4 2 2" xfId="19887"/>
    <cellStyle name="Normal 3 5 6 4 2 3" xfId="31244"/>
    <cellStyle name="Normal 3 5 6 4 3" xfId="14902"/>
    <cellStyle name="Normal 3 5 6 4 4" xfId="26260"/>
    <cellStyle name="Normal 3 5 6 5" xfId="5757"/>
    <cellStyle name="Normal 3 5 6 5 2" xfId="16565"/>
    <cellStyle name="Normal 3 5 6 5 3" xfId="27922"/>
    <cellStyle name="Normal 3 5 6 6" xfId="10744"/>
    <cellStyle name="Normal 3 5 6 6 2" xfId="21551"/>
    <cellStyle name="Normal 3 5 6 6 3" xfId="32908"/>
    <cellStyle name="Normal 3 5 6 7" xfId="11579"/>
    <cellStyle name="Normal 3 5 6 8" xfId="22938"/>
    <cellStyle name="Normal 3 5 7" xfId="1044"/>
    <cellStyle name="Normal 3 5 7 2" xfId="2709"/>
    <cellStyle name="Normal 3 5 7 2 2" xfId="7697"/>
    <cellStyle name="Normal 3 5 7 2 2 2" xfId="18504"/>
    <cellStyle name="Normal 3 5 7 2 2 3" xfId="29861"/>
    <cellStyle name="Normal 3 5 7 2 3" xfId="13519"/>
    <cellStyle name="Normal 3 5 7 2 4" xfId="24877"/>
    <cellStyle name="Normal 3 5 7 3" xfId="4373"/>
    <cellStyle name="Normal 3 5 7 3 2" xfId="9358"/>
    <cellStyle name="Normal 3 5 7 3 2 2" xfId="20165"/>
    <cellStyle name="Normal 3 5 7 3 2 3" xfId="31522"/>
    <cellStyle name="Normal 3 5 7 3 3" xfId="15180"/>
    <cellStyle name="Normal 3 5 7 3 4" xfId="26538"/>
    <cellStyle name="Normal 3 5 7 4" xfId="6035"/>
    <cellStyle name="Normal 3 5 7 4 2" xfId="16843"/>
    <cellStyle name="Normal 3 5 7 4 3" xfId="28200"/>
    <cellStyle name="Normal 3 5 7 5" xfId="11858"/>
    <cellStyle name="Normal 3 5 7 6" xfId="23216"/>
    <cellStyle name="Normal 3 5 8" xfId="1848"/>
    <cellStyle name="Normal 3 5 8 2" xfId="6836"/>
    <cellStyle name="Normal 3 5 8 2 2" xfId="17644"/>
    <cellStyle name="Normal 3 5 8 2 3" xfId="29001"/>
    <cellStyle name="Normal 3 5 8 3" xfId="12659"/>
    <cellStyle name="Normal 3 5 8 4" xfId="24017"/>
    <cellStyle name="Normal 3 5 9" xfId="3513"/>
    <cellStyle name="Normal 3 5 9 2" xfId="8498"/>
    <cellStyle name="Normal 3 5 9 2 2" xfId="19305"/>
    <cellStyle name="Normal 3 5 9 2 3" xfId="30662"/>
    <cellStyle name="Normal 3 5 9 3" xfId="14320"/>
    <cellStyle name="Normal 3 5 9 4" xfId="25678"/>
    <cellStyle name="Normal 3 6" xfId="228"/>
    <cellStyle name="Normal 3 6 10" xfId="21886"/>
    <cellStyle name="Normal 3 6 11" xfId="22439"/>
    <cellStyle name="Normal 3 6 12" xfId="33242"/>
    <cellStyle name="Normal 3 6 13" xfId="33517"/>
    <cellStyle name="Normal 3 6 14" xfId="33788"/>
    <cellStyle name="Normal 3 6 2" xfId="546"/>
    <cellStyle name="Normal 3 6 2 2" xfId="1378"/>
    <cellStyle name="Normal 3 6 2 2 2" xfId="3043"/>
    <cellStyle name="Normal 3 6 2 2 2 2" xfId="8031"/>
    <cellStyle name="Normal 3 6 2 2 2 2 2" xfId="18838"/>
    <cellStyle name="Normal 3 6 2 2 2 2 3" xfId="30195"/>
    <cellStyle name="Normal 3 6 2 2 2 3" xfId="13853"/>
    <cellStyle name="Normal 3 6 2 2 2 4" xfId="25211"/>
    <cellStyle name="Normal 3 6 2 2 3" xfId="4707"/>
    <cellStyle name="Normal 3 6 2 2 3 2" xfId="9692"/>
    <cellStyle name="Normal 3 6 2 2 3 2 2" xfId="20499"/>
    <cellStyle name="Normal 3 6 2 2 3 2 3" xfId="31856"/>
    <cellStyle name="Normal 3 6 2 2 3 3" xfId="15514"/>
    <cellStyle name="Normal 3 6 2 2 3 4" xfId="26872"/>
    <cellStyle name="Normal 3 6 2 2 4" xfId="6369"/>
    <cellStyle name="Normal 3 6 2 2 4 2" xfId="17177"/>
    <cellStyle name="Normal 3 6 2 2 4 3" xfId="28534"/>
    <cellStyle name="Normal 3 6 2 2 5" xfId="12192"/>
    <cellStyle name="Normal 3 6 2 2 6" xfId="23550"/>
    <cellStyle name="Normal 3 6 2 3" xfId="2212"/>
    <cellStyle name="Normal 3 6 2 3 2" xfId="7200"/>
    <cellStyle name="Normal 3 6 2 3 2 2" xfId="18007"/>
    <cellStyle name="Normal 3 6 2 3 2 3" xfId="29364"/>
    <cellStyle name="Normal 3 6 2 3 3" xfId="13022"/>
    <cellStyle name="Normal 3 6 2 3 4" xfId="24380"/>
    <cellStyle name="Normal 3 6 2 4" xfId="3876"/>
    <cellStyle name="Normal 3 6 2 4 2" xfId="8861"/>
    <cellStyle name="Normal 3 6 2 4 2 2" xfId="19668"/>
    <cellStyle name="Normal 3 6 2 4 2 3" xfId="31025"/>
    <cellStyle name="Normal 3 6 2 4 3" xfId="14683"/>
    <cellStyle name="Normal 3 6 2 4 4" xfId="26041"/>
    <cellStyle name="Normal 3 6 2 5" xfId="5538"/>
    <cellStyle name="Normal 3 6 2 5 2" xfId="16346"/>
    <cellStyle name="Normal 3 6 2 5 3" xfId="27703"/>
    <cellStyle name="Normal 3 6 2 6" xfId="10525"/>
    <cellStyle name="Normal 3 6 2 6 2" xfId="21332"/>
    <cellStyle name="Normal 3 6 2 6 3" xfId="32689"/>
    <cellStyle name="Normal 3 6 2 7" xfId="11359"/>
    <cellStyle name="Normal 3 6 2 8" xfId="22165"/>
    <cellStyle name="Normal 3 6 2 9" xfId="22719"/>
    <cellStyle name="Normal 3 6 3" xfId="820"/>
    <cellStyle name="Normal 3 6 3 2" xfId="1652"/>
    <cellStyle name="Normal 3 6 3 2 2" xfId="3317"/>
    <cellStyle name="Normal 3 6 3 2 2 2" xfId="8305"/>
    <cellStyle name="Normal 3 6 3 2 2 2 2" xfId="19112"/>
    <cellStyle name="Normal 3 6 3 2 2 2 3" xfId="30469"/>
    <cellStyle name="Normal 3 6 3 2 2 3" xfId="14127"/>
    <cellStyle name="Normal 3 6 3 2 2 4" xfId="25485"/>
    <cellStyle name="Normal 3 6 3 2 3" xfId="4981"/>
    <cellStyle name="Normal 3 6 3 2 3 2" xfId="9966"/>
    <cellStyle name="Normal 3 6 3 2 3 2 2" xfId="20773"/>
    <cellStyle name="Normal 3 6 3 2 3 2 3" xfId="32130"/>
    <cellStyle name="Normal 3 6 3 2 3 3" xfId="15788"/>
    <cellStyle name="Normal 3 6 3 2 3 4" xfId="27146"/>
    <cellStyle name="Normal 3 6 3 2 4" xfId="6643"/>
    <cellStyle name="Normal 3 6 3 2 4 2" xfId="17451"/>
    <cellStyle name="Normal 3 6 3 2 4 3" xfId="28808"/>
    <cellStyle name="Normal 3 6 3 2 5" xfId="12466"/>
    <cellStyle name="Normal 3 6 3 2 6" xfId="23824"/>
    <cellStyle name="Normal 3 6 3 3" xfId="2486"/>
    <cellStyle name="Normal 3 6 3 3 2" xfId="7474"/>
    <cellStyle name="Normal 3 6 3 3 2 2" xfId="18281"/>
    <cellStyle name="Normal 3 6 3 3 2 3" xfId="29638"/>
    <cellStyle name="Normal 3 6 3 3 3" xfId="13296"/>
    <cellStyle name="Normal 3 6 3 3 4" xfId="24654"/>
    <cellStyle name="Normal 3 6 3 4" xfId="4150"/>
    <cellStyle name="Normal 3 6 3 4 2" xfId="9135"/>
    <cellStyle name="Normal 3 6 3 4 2 2" xfId="19942"/>
    <cellStyle name="Normal 3 6 3 4 2 3" xfId="31299"/>
    <cellStyle name="Normal 3 6 3 4 3" xfId="14957"/>
    <cellStyle name="Normal 3 6 3 4 4" xfId="26315"/>
    <cellStyle name="Normal 3 6 3 5" xfId="5812"/>
    <cellStyle name="Normal 3 6 3 5 2" xfId="16620"/>
    <cellStyle name="Normal 3 6 3 5 3" xfId="27977"/>
    <cellStyle name="Normal 3 6 3 6" xfId="10799"/>
    <cellStyle name="Normal 3 6 3 6 2" xfId="21606"/>
    <cellStyle name="Normal 3 6 3 6 3" xfId="32963"/>
    <cellStyle name="Normal 3 6 3 7" xfId="11634"/>
    <cellStyle name="Normal 3 6 3 8" xfId="22993"/>
    <cellStyle name="Normal 3 6 4" xfId="1099"/>
    <cellStyle name="Normal 3 6 4 2" xfId="2764"/>
    <cellStyle name="Normal 3 6 4 2 2" xfId="7752"/>
    <cellStyle name="Normal 3 6 4 2 2 2" xfId="18559"/>
    <cellStyle name="Normal 3 6 4 2 2 3" xfId="29916"/>
    <cellStyle name="Normal 3 6 4 2 3" xfId="13574"/>
    <cellStyle name="Normal 3 6 4 2 4" xfId="24932"/>
    <cellStyle name="Normal 3 6 4 3" xfId="4428"/>
    <cellStyle name="Normal 3 6 4 3 2" xfId="9413"/>
    <cellStyle name="Normal 3 6 4 3 2 2" xfId="20220"/>
    <cellStyle name="Normal 3 6 4 3 2 3" xfId="31577"/>
    <cellStyle name="Normal 3 6 4 3 3" xfId="15235"/>
    <cellStyle name="Normal 3 6 4 3 4" xfId="26593"/>
    <cellStyle name="Normal 3 6 4 4" xfId="6090"/>
    <cellStyle name="Normal 3 6 4 4 2" xfId="16898"/>
    <cellStyle name="Normal 3 6 4 4 3" xfId="28255"/>
    <cellStyle name="Normal 3 6 4 5" xfId="11913"/>
    <cellStyle name="Normal 3 6 4 6" xfId="23271"/>
    <cellStyle name="Normal 3 6 5" xfId="1934"/>
    <cellStyle name="Normal 3 6 5 2" xfId="6922"/>
    <cellStyle name="Normal 3 6 5 2 2" xfId="17730"/>
    <cellStyle name="Normal 3 6 5 2 3" xfId="29087"/>
    <cellStyle name="Normal 3 6 5 3" xfId="12745"/>
    <cellStyle name="Normal 3 6 5 4" xfId="24103"/>
    <cellStyle name="Normal 3 6 6" xfId="3599"/>
    <cellStyle name="Normal 3 6 6 2" xfId="8584"/>
    <cellStyle name="Normal 3 6 6 2 2" xfId="19391"/>
    <cellStyle name="Normal 3 6 6 2 3" xfId="30748"/>
    <cellStyle name="Normal 3 6 6 3" xfId="14406"/>
    <cellStyle name="Normal 3 6 6 4" xfId="25764"/>
    <cellStyle name="Normal 3 6 7" xfId="5260"/>
    <cellStyle name="Normal 3 6 7 2" xfId="16069"/>
    <cellStyle name="Normal 3 6 7 3" xfId="27426"/>
    <cellStyle name="Normal 3 6 8" xfId="10245"/>
    <cellStyle name="Normal 3 6 8 2" xfId="21052"/>
    <cellStyle name="Normal 3 6 8 3" xfId="32409"/>
    <cellStyle name="Normal 3 6 9" xfId="11079"/>
    <cellStyle name="Normal 3 7" xfId="440"/>
    <cellStyle name="Normal 3 7 2" xfId="1270"/>
    <cellStyle name="Normal 3 7 2 2" xfId="2935"/>
    <cellStyle name="Normal 3 7 2 2 2" xfId="7923"/>
    <cellStyle name="Normal 3 7 2 2 2 2" xfId="18730"/>
    <cellStyle name="Normal 3 7 2 2 2 3" xfId="30087"/>
    <cellStyle name="Normal 3 7 2 2 3" xfId="13745"/>
    <cellStyle name="Normal 3 7 2 2 4" xfId="25103"/>
    <cellStyle name="Normal 3 7 2 3" xfId="4599"/>
    <cellStyle name="Normal 3 7 2 3 2" xfId="9584"/>
    <cellStyle name="Normal 3 7 2 3 2 2" xfId="20391"/>
    <cellStyle name="Normal 3 7 2 3 2 3" xfId="31748"/>
    <cellStyle name="Normal 3 7 2 3 3" xfId="15406"/>
    <cellStyle name="Normal 3 7 2 3 4" xfId="26764"/>
    <cellStyle name="Normal 3 7 2 4" xfId="6261"/>
    <cellStyle name="Normal 3 7 2 4 2" xfId="17069"/>
    <cellStyle name="Normal 3 7 2 4 3" xfId="28426"/>
    <cellStyle name="Normal 3 7 2 5" xfId="12084"/>
    <cellStyle name="Normal 3 7 2 6" xfId="23442"/>
    <cellStyle name="Normal 3 7 3" xfId="2106"/>
    <cellStyle name="Normal 3 7 3 2" xfId="7094"/>
    <cellStyle name="Normal 3 7 3 2 2" xfId="17901"/>
    <cellStyle name="Normal 3 7 3 2 3" xfId="29258"/>
    <cellStyle name="Normal 3 7 3 3" xfId="12916"/>
    <cellStyle name="Normal 3 7 3 4" xfId="24274"/>
    <cellStyle name="Normal 3 7 4" xfId="3770"/>
    <cellStyle name="Normal 3 7 4 2" xfId="8755"/>
    <cellStyle name="Normal 3 7 4 2 2" xfId="19562"/>
    <cellStyle name="Normal 3 7 4 2 3" xfId="30919"/>
    <cellStyle name="Normal 3 7 4 3" xfId="14577"/>
    <cellStyle name="Normal 3 7 4 4" xfId="25935"/>
    <cellStyle name="Normal 3 7 5" xfId="5432"/>
    <cellStyle name="Normal 3 7 5 2" xfId="16240"/>
    <cellStyle name="Normal 3 7 5 3" xfId="27597"/>
    <cellStyle name="Normal 3 7 6" xfId="10427"/>
    <cellStyle name="Normal 3 7 6 2" xfId="21234"/>
    <cellStyle name="Normal 3 7 6 3" xfId="32591"/>
    <cellStyle name="Normal 3 7 7" xfId="11251"/>
    <cellStyle name="Normal 3 7 8" xfId="22057"/>
    <cellStyle name="Normal 3 7 9" xfId="22611"/>
    <cellStyle name="Normal 3 8" xfId="712"/>
    <cellStyle name="Normal 3 8 2" xfId="1544"/>
    <cellStyle name="Normal 3 8 2 2" xfId="3209"/>
    <cellStyle name="Normal 3 8 2 2 2" xfId="8197"/>
    <cellStyle name="Normal 3 8 2 2 2 2" xfId="19004"/>
    <cellStyle name="Normal 3 8 2 2 2 3" xfId="30361"/>
    <cellStyle name="Normal 3 8 2 2 3" xfId="14019"/>
    <cellStyle name="Normal 3 8 2 2 4" xfId="25377"/>
    <cellStyle name="Normal 3 8 2 3" xfId="4873"/>
    <cellStyle name="Normal 3 8 2 3 2" xfId="9858"/>
    <cellStyle name="Normal 3 8 2 3 2 2" xfId="20665"/>
    <cellStyle name="Normal 3 8 2 3 2 3" xfId="32022"/>
    <cellStyle name="Normal 3 8 2 3 3" xfId="15680"/>
    <cellStyle name="Normal 3 8 2 3 4" xfId="27038"/>
    <cellStyle name="Normal 3 8 2 4" xfId="6535"/>
    <cellStyle name="Normal 3 8 2 4 2" xfId="17343"/>
    <cellStyle name="Normal 3 8 2 4 3" xfId="28700"/>
    <cellStyle name="Normal 3 8 2 5" xfId="12358"/>
    <cellStyle name="Normal 3 8 2 6" xfId="23716"/>
    <cellStyle name="Normal 3 8 3" xfId="2378"/>
    <cellStyle name="Normal 3 8 3 2" xfId="7366"/>
    <cellStyle name="Normal 3 8 3 2 2" xfId="18173"/>
    <cellStyle name="Normal 3 8 3 2 3" xfId="29530"/>
    <cellStyle name="Normal 3 8 3 3" xfId="13188"/>
    <cellStyle name="Normal 3 8 3 4" xfId="24546"/>
    <cellStyle name="Normal 3 8 4" xfId="4042"/>
    <cellStyle name="Normal 3 8 4 2" xfId="9027"/>
    <cellStyle name="Normal 3 8 4 2 2" xfId="19834"/>
    <cellStyle name="Normal 3 8 4 2 3" xfId="31191"/>
    <cellStyle name="Normal 3 8 4 3" xfId="14849"/>
    <cellStyle name="Normal 3 8 4 4" xfId="26207"/>
    <cellStyle name="Normal 3 8 5" xfId="5704"/>
    <cellStyle name="Normal 3 8 5 2" xfId="16512"/>
    <cellStyle name="Normal 3 8 5 3" xfId="27869"/>
    <cellStyle name="Normal 3 8 6" xfId="10691"/>
    <cellStyle name="Normal 3 8 6 2" xfId="21498"/>
    <cellStyle name="Normal 3 8 6 3" xfId="32855"/>
    <cellStyle name="Normal 3 8 7" xfId="11526"/>
    <cellStyle name="Normal 3 8 8" xfId="22885"/>
    <cellStyle name="Normal 3 9" xfId="1005"/>
    <cellStyle name="Normal 3 9 2" xfId="2670"/>
    <cellStyle name="Normal 3 9 2 2" xfId="7658"/>
    <cellStyle name="Normal 3 9 2 2 2" xfId="18465"/>
    <cellStyle name="Normal 3 9 2 2 3" xfId="29822"/>
    <cellStyle name="Normal 3 9 2 3" xfId="13480"/>
    <cellStyle name="Normal 3 9 2 4" xfId="24838"/>
    <cellStyle name="Normal 3 9 3" xfId="4334"/>
    <cellStyle name="Normal 3 9 3 2" xfId="9319"/>
    <cellStyle name="Normal 3 9 3 2 2" xfId="20126"/>
    <cellStyle name="Normal 3 9 3 2 3" xfId="31483"/>
    <cellStyle name="Normal 3 9 3 3" xfId="15141"/>
    <cellStyle name="Normal 3 9 3 4" xfId="26499"/>
    <cellStyle name="Normal 3 9 4" xfId="5996"/>
    <cellStyle name="Normal 3 9 4 2" xfId="16804"/>
    <cellStyle name="Normal 3 9 4 3" xfId="28161"/>
    <cellStyle name="Normal 3 9 5" xfId="11819"/>
    <cellStyle name="Normal 3 9 6" xfId="23177"/>
    <cellStyle name="Normal 4" xfId="78"/>
    <cellStyle name="Normal 4 2" xfId="70"/>
    <cellStyle name="Normal 4 2 2" xfId="408"/>
    <cellStyle name="Normal 4 3" xfId="108"/>
    <cellStyle name="Normal 4 3 2" xfId="393"/>
    <cellStyle name="Normal 4 3 3" xfId="418"/>
    <cellStyle name="Normal 4 3 4" xfId="433"/>
    <cellStyle name="Normal 4 3 5" xfId="170"/>
    <cellStyle name="Normal 4 4" xfId="403"/>
    <cellStyle name="Normal 5" xfId="67"/>
    <cellStyle name="Normal 5 10" xfId="3515"/>
    <cellStyle name="Normal 5 10 2" xfId="8500"/>
    <cellStyle name="Normal 5 10 2 2" xfId="19307"/>
    <cellStyle name="Normal 5 10 2 3" xfId="30664"/>
    <cellStyle name="Normal 5 10 3" xfId="14322"/>
    <cellStyle name="Normal 5 10 4" xfId="25680"/>
    <cellStyle name="Normal 5 11" xfId="5176"/>
    <cellStyle name="Normal 5 11 2" xfId="15985"/>
    <cellStyle name="Normal 5 11 3" xfId="27342"/>
    <cellStyle name="Normal 5 12" xfId="10160"/>
    <cellStyle name="Normal 5 12 2" xfId="20967"/>
    <cellStyle name="Normal 5 12 3" xfId="32324"/>
    <cellStyle name="Normal 5 13" xfId="10994"/>
    <cellStyle name="Normal 5 14" xfId="21801"/>
    <cellStyle name="Normal 5 15" xfId="22354"/>
    <cellStyle name="Normal 5 16" xfId="33157"/>
    <cellStyle name="Normal 5 17" xfId="33426"/>
    <cellStyle name="Normal 5 18" xfId="33697"/>
    <cellStyle name="Normal 5 2" xfId="197"/>
    <cellStyle name="Normal 5 2 10" xfId="21855"/>
    <cellStyle name="Normal 5 2 11" xfId="22408"/>
    <cellStyle name="Normal 5 2 12" xfId="33211"/>
    <cellStyle name="Normal 5 2 13" xfId="33486"/>
    <cellStyle name="Normal 5 2 14" xfId="33757"/>
    <cellStyle name="Normal 5 2 2" xfId="516"/>
    <cellStyle name="Normal 5 2 2 2" xfId="1347"/>
    <cellStyle name="Normal 5 2 2 2 2" xfId="3012"/>
    <cellStyle name="Normal 5 2 2 2 2 2" xfId="8000"/>
    <cellStyle name="Normal 5 2 2 2 2 2 2" xfId="18807"/>
    <cellStyle name="Normal 5 2 2 2 2 2 3" xfId="30164"/>
    <cellStyle name="Normal 5 2 2 2 2 3" xfId="13822"/>
    <cellStyle name="Normal 5 2 2 2 2 4" xfId="25180"/>
    <cellStyle name="Normal 5 2 2 2 3" xfId="4676"/>
    <cellStyle name="Normal 5 2 2 2 3 2" xfId="9661"/>
    <cellStyle name="Normal 5 2 2 2 3 2 2" xfId="20468"/>
    <cellStyle name="Normal 5 2 2 2 3 2 3" xfId="31825"/>
    <cellStyle name="Normal 5 2 2 2 3 3" xfId="15483"/>
    <cellStyle name="Normal 5 2 2 2 3 4" xfId="26841"/>
    <cellStyle name="Normal 5 2 2 2 4" xfId="6338"/>
    <cellStyle name="Normal 5 2 2 2 4 2" xfId="17146"/>
    <cellStyle name="Normal 5 2 2 2 4 3" xfId="28503"/>
    <cellStyle name="Normal 5 2 2 2 5" xfId="12161"/>
    <cellStyle name="Normal 5 2 2 2 6" xfId="23519"/>
    <cellStyle name="Normal 5 2 2 3" xfId="2182"/>
    <cellStyle name="Normal 5 2 2 3 2" xfId="7170"/>
    <cellStyle name="Normal 5 2 2 3 2 2" xfId="17977"/>
    <cellStyle name="Normal 5 2 2 3 2 3" xfId="29334"/>
    <cellStyle name="Normal 5 2 2 3 3" xfId="12992"/>
    <cellStyle name="Normal 5 2 2 3 4" xfId="24350"/>
    <cellStyle name="Normal 5 2 2 4" xfId="3846"/>
    <cellStyle name="Normal 5 2 2 4 2" xfId="8831"/>
    <cellStyle name="Normal 5 2 2 4 2 2" xfId="19638"/>
    <cellStyle name="Normal 5 2 2 4 2 3" xfId="30995"/>
    <cellStyle name="Normal 5 2 2 4 3" xfId="14653"/>
    <cellStyle name="Normal 5 2 2 4 4" xfId="26011"/>
    <cellStyle name="Normal 5 2 2 5" xfId="5508"/>
    <cellStyle name="Normal 5 2 2 5 2" xfId="16316"/>
    <cellStyle name="Normal 5 2 2 5 3" xfId="27673"/>
    <cellStyle name="Normal 5 2 2 6" xfId="10494"/>
    <cellStyle name="Normal 5 2 2 6 2" xfId="21301"/>
    <cellStyle name="Normal 5 2 2 6 3" xfId="32658"/>
    <cellStyle name="Normal 5 2 2 7" xfId="11328"/>
    <cellStyle name="Normal 5 2 2 8" xfId="22134"/>
    <cellStyle name="Normal 5 2 2 9" xfId="22688"/>
    <cellStyle name="Normal 5 2 3" xfId="789"/>
    <cellStyle name="Normal 5 2 3 2" xfId="1621"/>
    <cellStyle name="Normal 5 2 3 2 2" xfId="3286"/>
    <cellStyle name="Normal 5 2 3 2 2 2" xfId="8274"/>
    <cellStyle name="Normal 5 2 3 2 2 2 2" xfId="19081"/>
    <cellStyle name="Normal 5 2 3 2 2 2 3" xfId="30438"/>
    <cellStyle name="Normal 5 2 3 2 2 3" xfId="14096"/>
    <cellStyle name="Normal 5 2 3 2 2 4" xfId="25454"/>
    <cellStyle name="Normal 5 2 3 2 3" xfId="4950"/>
    <cellStyle name="Normal 5 2 3 2 3 2" xfId="9935"/>
    <cellStyle name="Normal 5 2 3 2 3 2 2" xfId="20742"/>
    <cellStyle name="Normal 5 2 3 2 3 2 3" xfId="32099"/>
    <cellStyle name="Normal 5 2 3 2 3 3" xfId="15757"/>
    <cellStyle name="Normal 5 2 3 2 3 4" xfId="27115"/>
    <cellStyle name="Normal 5 2 3 2 4" xfId="6612"/>
    <cellStyle name="Normal 5 2 3 2 4 2" xfId="17420"/>
    <cellStyle name="Normal 5 2 3 2 4 3" xfId="28777"/>
    <cellStyle name="Normal 5 2 3 2 5" xfId="12435"/>
    <cellStyle name="Normal 5 2 3 2 6" xfId="23793"/>
    <cellStyle name="Normal 5 2 3 3" xfId="2455"/>
    <cellStyle name="Normal 5 2 3 3 2" xfId="7443"/>
    <cellStyle name="Normal 5 2 3 3 2 2" xfId="18250"/>
    <cellStyle name="Normal 5 2 3 3 2 3" xfId="29607"/>
    <cellStyle name="Normal 5 2 3 3 3" xfId="13265"/>
    <cellStyle name="Normal 5 2 3 3 4" xfId="24623"/>
    <cellStyle name="Normal 5 2 3 4" xfId="4119"/>
    <cellStyle name="Normal 5 2 3 4 2" xfId="9104"/>
    <cellStyle name="Normal 5 2 3 4 2 2" xfId="19911"/>
    <cellStyle name="Normal 5 2 3 4 2 3" xfId="31268"/>
    <cellStyle name="Normal 5 2 3 4 3" xfId="14926"/>
    <cellStyle name="Normal 5 2 3 4 4" xfId="26284"/>
    <cellStyle name="Normal 5 2 3 5" xfId="5781"/>
    <cellStyle name="Normal 5 2 3 5 2" xfId="16589"/>
    <cellStyle name="Normal 5 2 3 5 3" xfId="27946"/>
    <cellStyle name="Normal 5 2 3 6" xfId="10768"/>
    <cellStyle name="Normal 5 2 3 6 2" xfId="21575"/>
    <cellStyle name="Normal 5 2 3 6 3" xfId="32932"/>
    <cellStyle name="Normal 5 2 3 7" xfId="11603"/>
    <cellStyle name="Normal 5 2 3 8" xfId="22962"/>
    <cellStyle name="Normal 5 2 4" xfId="1068"/>
    <cellStyle name="Normal 5 2 4 2" xfId="2733"/>
    <cellStyle name="Normal 5 2 4 2 2" xfId="7721"/>
    <cellStyle name="Normal 5 2 4 2 2 2" xfId="18528"/>
    <cellStyle name="Normal 5 2 4 2 2 3" xfId="29885"/>
    <cellStyle name="Normal 5 2 4 2 3" xfId="13543"/>
    <cellStyle name="Normal 5 2 4 2 4" xfId="24901"/>
    <cellStyle name="Normal 5 2 4 3" xfId="4397"/>
    <cellStyle name="Normal 5 2 4 3 2" xfId="9382"/>
    <cellStyle name="Normal 5 2 4 3 2 2" xfId="20189"/>
    <cellStyle name="Normal 5 2 4 3 2 3" xfId="31546"/>
    <cellStyle name="Normal 5 2 4 3 3" xfId="15204"/>
    <cellStyle name="Normal 5 2 4 3 4" xfId="26562"/>
    <cellStyle name="Normal 5 2 4 4" xfId="6059"/>
    <cellStyle name="Normal 5 2 4 4 2" xfId="16867"/>
    <cellStyle name="Normal 5 2 4 4 3" xfId="28224"/>
    <cellStyle name="Normal 5 2 4 5" xfId="11882"/>
    <cellStyle name="Normal 5 2 4 6" xfId="23240"/>
    <cellStyle name="Normal 5 2 5" xfId="1903"/>
    <cellStyle name="Normal 5 2 5 2" xfId="6891"/>
    <cellStyle name="Normal 5 2 5 2 2" xfId="17699"/>
    <cellStyle name="Normal 5 2 5 2 3" xfId="29056"/>
    <cellStyle name="Normal 5 2 5 3" xfId="12714"/>
    <cellStyle name="Normal 5 2 5 4" xfId="24072"/>
    <cellStyle name="Normal 5 2 6" xfId="3568"/>
    <cellStyle name="Normal 5 2 6 2" xfId="8553"/>
    <cellStyle name="Normal 5 2 6 2 2" xfId="19360"/>
    <cellStyle name="Normal 5 2 6 2 3" xfId="30717"/>
    <cellStyle name="Normal 5 2 6 3" xfId="14375"/>
    <cellStyle name="Normal 5 2 6 4" xfId="25733"/>
    <cellStyle name="Normal 5 2 7" xfId="5229"/>
    <cellStyle name="Normal 5 2 7 2" xfId="16038"/>
    <cellStyle name="Normal 5 2 7 3" xfId="27395"/>
    <cellStyle name="Normal 5 2 8" xfId="10214"/>
    <cellStyle name="Normal 5 2 8 2" xfId="21021"/>
    <cellStyle name="Normal 5 2 8 3" xfId="32378"/>
    <cellStyle name="Normal 5 2 9" xfId="11048"/>
    <cellStyle name="Normal 5 3" xfId="252"/>
    <cellStyle name="Normal 5 3 10" xfId="21909"/>
    <cellStyle name="Normal 5 3 11" xfId="22462"/>
    <cellStyle name="Normal 5 3 12" xfId="33265"/>
    <cellStyle name="Normal 5 3 13" xfId="33540"/>
    <cellStyle name="Normal 5 3 14" xfId="33811"/>
    <cellStyle name="Normal 5 3 2" xfId="569"/>
    <cellStyle name="Normal 5 3 2 2" xfId="1401"/>
    <cellStyle name="Normal 5 3 2 2 2" xfId="3066"/>
    <cellStyle name="Normal 5 3 2 2 2 2" xfId="8054"/>
    <cellStyle name="Normal 5 3 2 2 2 2 2" xfId="18861"/>
    <cellStyle name="Normal 5 3 2 2 2 2 3" xfId="30218"/>
    <cellStyle name="Normal 5 3 2 2 2 3" xfId="13876"/>
    <cellStyle name="Normal 5 3 2 2 2 4" xfId="25234"/>
    <cellStyle name="Normal 5 3 2 2 3" xfId="4730"/>
    <cellStyle name="Normal 5 3 2 2 3 2" xfId="9715"/>
    <cellStyle name="Normal 5 3 2 2 3 2 2" xfId="20522"/>
    <cellStyle name="Normal 5 3 2 2 3 2 3" xfId="31879"/>
    <cellStyle name="Normal 5 3 2 2 3 3" xfId="15537"/>
    <cellStyle name="Normal 5 3 2 2 3 4" xfId="26895"/>
    <cellStyle name="Normal 5 3 2 2 4" xfId="6392"/>
    <cellStyle name="Normal 5 3 2 2 4 2" xfId="17200"/>
    <cellStyle name="Normal 5 3 2 2 4 3" xfId="28557"/>
    <cellStyle name="Normal 5 3 2 2 5" xfId="12215"/>
    <cellStyle name="Normal 5 3 2 2 6" xfId="23573"/>
    <cellStyle name="Normal 5 3 2 3" xfId="2235"/>
    <cellStyle name="Normal 5 3 2 3 2" xfId="7223"/>
    <cellStyle name="Normal 5 3 2 3 2 2" xfId="18030"/>
    <cellStyle name="Normal 5 3 2 3 2 3" xfId="29387"/>
    <cellStyle name="Normal 5 3 2 3 3" xfId="13045"/>
    <cellStyle name="Normal 5 3 2 3 4" xfId="24403"/>
    <cellStyle name="Normal 5 3 2 4" xfId="3899"/>
    <cellStyle name="Normal 5 3 2 4 2" xfId="8884"/>
    <cellStyle name="Normal 5 3 2 4 2 2" xfId="19691"/>
    <cellStyle name="Normal 5 3 2 4 2 3" xfId="31048"/>
    <cellStyle name="Normal 5 3 2 4 3" xfId="14706"/>
    <cellStyle name="Normal 5 3 2 4 4" xfId="26064"/>
    <cellStyle name="Normal 5 3 2 5" xfId="5561"/>
    <cellStyle name="Normal 5 3 2 5 2" xfId="16369"/>
    <cellStyle name="Normal 5 3 2 5 3" xfId="27726"/>
    <cellStyle name="Normal 5 3 2 6" xfId="10548"/>
    <cellStyle name="Normal 5 3 2 6 2" xfId="21355"/>
    <cellStyle name="Normal 5 3 2 6 3" xfId="32712"/>
    <cellStyle name="Normal 5 3 2 7" xfId="11382"/>
    <cellStyle name="Normal 5 3 2 8" xfId="22188"/>
    <cellStyle name="Normal 5 3 2 9" xfId="22742"/>
    <cellStyle name="Normal 5 3 3" xfId="843"/>
    <cellStyle name="Normal 5 3 3 2" xfId="1675"/>
    <cellStyle name="Normal 5 3 3 2 2" xfId="3340"/>
    <cellStyle name="Normal 5 3 3 2 2 2" xfId="8328"/>
    <cellStyle name="Normal 5 3 3 2 2 2 2" xfId="19135"/>
    <cellStyle name="Normal 5 3 3 2 2 2 3" xfId="30492"/>
    <cellStyle name="Normal 5 3 3 2 2 3" xfId="14150"/>
    <cellStyle name="Normal 5 3 3 2 2 4" xfId="25508"/>
    <cellStyle name="Normal 5 3 3 2 3" xfId="5004"/>
    <cellStyle name="Normal 5 3 3 2 3 2" xfId="9989"/>
    <cellStyle name="Normal 5 3 3 2 3 2 2" xfId="20796"/>
    <cellStyle name="Normal 5 3 3 2 3 2 3" xfId="32153"/>
    <cellStyle name="Normal 5 3 3 2 3 3" xfId="15811"/>
    <cellStyle name="Normal 5 3 3 2 3 4" xfId="27169"/>
    <cellStyle name="Normal 5 3 3 2 4" xfId="6666"/>
    <cellStyle name="Normal 5 3 3 2 4 2" xfId="17474"/>
    <cellStyle name="Normal 5 3 3 2 4 3" xfId="28831"/>
    <cellStyle name="Normal 5 3 3 2 5" xfId="12489"/>
    <cellStyle name="Normal 5 3 3 2 6" xfId="23847"/>
    <cellStyle name="Normal 5 3 3 3" xfId="2509"/>
    <cellStyle name="Normal 5 3 3 3 2" xfId="7497"/>
    <cellStyle name="Normal 5 3 3 3 2 2" xfId="18304"/>
    <cellStyle name="Normal 5 3 3 3 2 3" xfId="29661"/>
    <cellStyle name="Normal 5 3 3 3 3" xfId="13319"/>
    <cellStyle name="Normal 5 3 3 3 4" xfId="24677"/>
    <cellStyle name="Normal 5 3 3 4" xfId="4173"/>
    <cellStyle name="Normal 5 3 3 4 2" xfId="9158"/>
    <cellStyle name="Normal 5 3 3 4 2 2" xfId="19965"/>
    <cellStyle name="Normal 5 3 3 4 2 3" xfId="31322"/>
    <cellStyle name="Normal 5 3 3 4 3" xfId="14980"/>
    <cellStyle name="Normal 5 3 3 4 4" xfId="26338"/>
    <cellStyle name="Normal 5 3 3 5" xfId="5835"/>
    <cellStyle name="Normal 5 3 3 5 2" xfId="16643"/>
    <cellStyle name="Normal 5 3 3 5 3" xfId="28000"/>
    <cellStyle name="Normal 5 3 3 6" xfId="10822"/>
    <cellStyle name="Normal 5 3 3 6 2" xfId="21629"/>
    <cellStyle name="Normal 5 3 3 6 3" xfId="32986"/>
    <cellStyle name="Normal 5 3 3 7" xfId="11657"/>
    <cellStyle name="Normal 5 3 3 8" xfId="23016"/>
    <cellStyle name="Normal 5 3 4" xfId="1122"/>
    <cellStyle name="Normal 5 3 4 2" xfId="2787"/>
    <cellStyle name="Normal 5 3 4 2 2" xfId="7775"/>
    <cellStyle name="Normal 5 3 4 2 2 2" xfId="18582"/>
    <cellStyle name="Normal 5 3 4 2 2 3" xfId="29939"/>
    <cellStyle name="Normal 5 3 4 2 3" xfId="13597"/>
    <cellStyle name="Normal 5 3 4 2 4" xfId="24955"/>
    <cellStyle name="Normal 5 3 4 3" xfId="4451"/>
    <cellStyle name="Normal 5 3 4 3 2" xfId="9436"/>
    <cellStyle name="Normal 5 3 4 3 2 2" xfId="20243"/>
    <cellStyle name="Normal 5 3 4 3 2 3" xfId="31600"/>
    <cellStyle name="Normal 5 3 4 3 3" xfId="15258"/>
    <cellStyle name="Normal 5 3 4 3 4" xfId="26616"/>
    <cellStyle name="Normal 5 3 4 4" xfId="6113"/>
    <cellStyle name="Normal 5 3 4 4 2" xfId="16921"/>
    <cellStyle name="Normal 5 3 4 4 3" xfId="28278"/>
    <cellStyle name="Normal 5 3 4 5" xfId="11936"/>
    <cellStyle name="Normal 5 3 4 6" xfId="23294"/>
    <cellStyle name="Normal 5 3 5" xfId="1957"/>
    <cellStyle name="Normal 5 3 5 2" xfId="6945"/>
    <cellStyle name="Normal 5 3 5 2 2" xfId="17753"/>
    <cellStyle name="Normal 5 3 5 2 3" xfId="29110"/>
    <cellStyle name="Normal 5 3 5 3" xfId="12768"/>
    <cellStyle name="Normal 5 3 5 4" xfId="24126"/>
    <cellStyle name="Normal 5 3 6" xfId="3622"/>
    <cellStyle name="Normal 5 3 6 2" xfId="8607"/>
    <cellStyle name="Normal 5 3 6 2 2" xfId="19414"/>
    <cellStyle name="Normal 5 3 6 2 3" xfId="30771"/>
    <cellStyle name="Normal 5 3 6 3" xfId="14429"/>
    <cellStyle name="Normal 5 3 6 4" xfId="25787"/>
    <cellStyle name="Normal 5 3 7" xfId="5283"/>
    <cellStyle name="Normal 5 3 7 2" xfId="16092"/>
    <cellStyle name="Normal 5 3 7 3" xfId="27449"/>
    <cellStyle name="Normal 5 3 8" xfId="10268"/>
    <cellStyle name="Normal 5 3 8 2" xfId="21075"/>
    <cellStyle name="Normal 5 3 8 3" xfId="32432"/>
    <cellStyle name="Normal 5 3 9" xfId="11102"/>
    <cellStyle name="Normal 5 4" xfId="307"/>
    <cellStyle name="Normal 5 4 10" xfId="21964"/>
    <cellStyle name="Normal 5 4 11" xfId="22517"/>
    <cellStyle name="Normal 5 4 12" xfId="33320"/>
    <cellStyle name="Normal 5 4 13" xfId="33595"/>
    <cellStyle name="Normal 5 4 14" xfId="33866"/>
    <cellStyle name="Normal 5 4 2" xfId="624"/>
    <cellStyle name="Normal 5 4 2 2" xfId="1456"/>
    <cellStyle name="Normal 5 4 2 2 2" xfId="3121"/>
    <cellStyle name="Normal 5 4 2 2 2 2" xfId="8109"/>
    <cellStyle name="Normal 5 4 2 2 2 2 2" xfId="18916"/>
    <cellStyle name="Normal 5 4 2 2 2 2 3" xfId="30273"/>
    <cellStyle name="Normal 5 4 2 2 2 3" xfId="13931"/>
    <cellStyle name="Normal 5 4 2 2 2 4" xfId="25289"/>
    <cellStyle name="Normal 5 4 2 2 3" xfId="4785"/>
    <cellStyle name="Normal 5 4 2 2 3 2" xfId="9770"/>
    <cellStyle name="Normal 5 4 2 2 3 2 2" xfId="20577"/>
    <cellStyle name="Normal 5 4 2 2 3 2 3" xfId="31934"/>
    <cellStyle name="Normal 5 4 2 2 3 3" xfId="15592"/>
    <cellStyle name="Normal 5 4 2 2 3 4" xfId="26950"/>
    <cellStyle name="Normal 5 4 2 2 4" xfId="6447"/>
    <cellStyle name="Normal 5 4 2 2 4 2" xfId="17255"/>
    <cellStyle name="Normal 5 4 2 2 4 3" xfId="28612"/>
    <cellStyle name="Normal 5 4 2 2 5" xfId="12270"/>
    <cellStyle name="Normal 5 4 2 2 6" xfId="23628"/>
    <cellStyle name="Normal 5 4 2 3" xfId="2290"/>
    <cellStyle name="Normal 5 4 2 3 2" xfId="7278"/>
    <cellStyle name="Normal 5 4 2 3 2 2" xfId="18085"/>
    <cellStyle name="Normal 5 4 2 3 2 3" xfId="29442"/>
    <cellStyle name="Normal 5 4 2 3 3" xfId="13100"/>
    <cellStyle name="Normal 5 4 2 3 4" xfId="24458"/>
    <cellStyle name="Normal 5 4 2 4" xfId="3954"/>
    <cellStyle name="Normal 5 4 2 4 2" xfId="8939"/>
    <cellStyle name="Normal 5 4 2 4 2 2" xfId="19746"/>
    <cellStyle name="Normal 5 4 2 4 2 3" xfId="31103"/>
    <cellStyle name="Normal 5 4 2 4 3" xfId="14761"/>
    <cellStyle name="Normal 5 4 2 4 4" xfId="26119"/>
    <cellStyle name="Normal 5 4 2 5" xfId="5616"/>
    <cellStyle name="Normal 5 4 2 5 2" xfId="16424"/>
    <cellStyle name="Normal 5 4 2 5 3" xfId="27781"/>
    <cellStyle name="Normal 5 4 2 6" xfId="10603"/>
    <cellStyle name="Normal 5 4 2 6 2" xfId="21410"/>
    <cellStyle name="Normal 5 4 2 6 3" xfId="32767"/>
    <cellStyle name="Normal 5 4 2 7" xfId="11437"/>
    <cellStyle name="Normal 5 4 2 8" xfId="22243"/>
    <cellStyle name="Normal 5 4 2 9" xfId="22797"/>
    <cellStyle name="Normal 5 4 3" xfId="898"/>
    <cellStyle name="Normal 5 4 3 2" xfId="1730"/>
    <cellStyle name="Normal 5 4 3 2 2" xfId="3395"/>
    <cellStyle name="Normal 5 4 3 2 2 2" xfId="8383"/>
    <cellStyle name="Normal 5 4 3 2 2 2 2" xfId="19190"/>
    <cellStyle name="Normal 5 4 3 2 2 2 3" xfId="30547"/>
    <cellStyle name="Normal 5 4 3 2 2 3" xfId="14205"/>
    <cellStyle name="Normal 5 4 3 2 2 4" xfId="25563"/>
    <cellStyle name="Normal 5 4 3 2 3" xfId="5059"/>
    <cellStyle name="Normal 5 4 3 2 3 2" xfId="10044"/>
    <cellStyle name="Normal 5 4 3 2 3 2 2" xfId="20851"/>
    <cellStyle name="Normal 5 4 3 2 3 2 3" xfId="32208"/>
    <cellStyle name="Normal 5 4 3 2 3 3" xfId="15866"/>
    <cellStyle name="Normal 5 4 3 2 3 4" xfId="27224"/>
    <cellStyle name="Normal 5 4 3 2 4" xfId="6721"/>
    <cellStyle name="Normal 5 4 3 2 4 2" xfId="17529"/>
    <cellStyle name="Normal 5 4 3 2 4 3" xfId="28886"/>
    <cellStyle name="Normal 5 4 3 2 5" xfId="12544"/>
    <cellStyle name="Normal 5 4 3 2 6" xfId="23902"/>
    <cellStyle name="Normal 5 4 3 3" xfId="2564"/>
    <cellStyle name="Normal 5 4 3 3 2" xfId="7552"/>
    <cellStyle name="Normal 5 4 3 3 2 2" xfId="18359"/>
    <cellStyle name="Normal 5 4 3 3 2 3" xfId="29716"/>
    <cellStyle name="Normal 5 4 3 3 3" xfId="13374"/>
    <cellStyle name="Normal 5 4 3 3 4" xfId="24732"/>
    <cellStyle name="Normal 5 4 3 4" xfId="4228"/>
    <cellStyle name="Normal 5 4 3 4 2" xfId="9213"/>
    <cellStyle name="Normal 5 4 3 4 2 2" xfId="20020"/>
    <cellStyle name="Normal 5 4 3 4 2 3" xfId="31377"/>
    <cellStyle name="Normal 5 4 3 4 3" xfId="15035"/>
    <cellStyle name="Normal 5 4 3 4 4" xfId="26393"/>
    <cellStyle name="Normal 5 4 3 5" xfId="5890"/>
    <cellStyle name="Normal 5 4 3 5 2" xfId="16698"/>
    <cellStyle name="Normal 5 4 3 5 3" xfId="28055"/>
    <cellStyle name="Normal 5 4 3 6" xfId="10877"/>
    <cellStyle name="Normal 5 4 3 6 2" xfId="21684"/>
    <cellStyle name="Normal 5 4 3 6 3" xfId="33041"/>
    <cellStyle name="Normal 5 4 3 7" xfId="11712"/>
    <cellStyle name="Normal 5 4 3 8" xfId="23071"/>
    <cellStyle name="Normal 5 4 4" xfId="1177"/>
    <cellStyle name="Normal 5 4 4 2" xfId="2842"/>
    <cellStyle name="Normal 5 4 4 2 2" xfId="7830"/>
    <cellStyle name="Normal 5 4 4 2 2 2" xfId="18637"/>
    <cellStyle name="Normal 5 4 4 2 2 3" xfId="29994"/>
    <cellStyle name="Normal 5 4 4 2 3" xfId="13652"/>
    <cellStyle name="Normal 5 4 4 2 4" xfId="25010"/>
    <cellStyle name="Normal 5 4 4 3" xfId="4506"/>
    <cellStyle name="Normal 5 4 4 3 2" xfId="9491"/>
    <cellStyle name="Normal 5 4 4 3 2 2" xfId="20298"/>
    <cellStyle name="Normal 5 4 4 3 2 3" xfId="31655"/>
    <cellStyle name="Normal 5 4 4 3 3" xfId="15313"/>
    <cellStyle name="Normal 5 4 4 3 4" xfId="26671"/>
    <cellStyle name="Normal 5 4 4 4" xfId="6168"/>
    <cellStyle name="Normal 5 4 4 4 2" xfId="16976"/>
    <cellStyle name="Normal 5 4 4 4 3" xfId="28333"/>
    <cellStyle name="Normal 5 4 4 5" xfId="11991"/>
    <cellStyle name="Normal 5 4 4 6" xfId="23349"/>
    <cellStyle name="Normal 5 4 5" xfId="2012"/>
    <cellStyle name="Normal 5 4 5 2" xfId="7000"/>
    <cellStyle name="Normal 5 4 5 2 2" xfId="17808"/>
    <cellStyle name="Normal 5 4 5 2 3" xfId="29165"/>
    <cellStyle name="Normal 5 4 5 3" xfId="12823"/>
    <cellStyle name="Normal 5 4 5 4" xfId="24181"/>
    <cellStyle name="Normal 5 4 6" xfId="3677"/>
    <cellStyle name="Normal 5 4 6 2" xfId="8662"/>
    <cellStyle name="Normal 5 4 6 2 2" xfId="19469"/>
    <cellStyle name="Normal 5 4 6 2 3" xfId="30826"/>
    <cellStyle name="Normal 5 4 6 3" xfId="14484"/>
    <cellStyle name="Normal 5 4 6 4" xfId="25842"/>
    <cellStyle name="Normal 5 4 7" xfId="5338"/>
    <cellStyle name="Normal 5 4 7 2" xfId="16147"/>
    <cellStyle name="Normal 5 4 7 3" xfId="27504"/>
    <cellStyle name="Normal 5 4 8" xfId="10323"/>
    <cellStyle name="Normal 5 4 8 2" xfId="21130"/>
    <cellStyle name="Normal 5 4 8 3" xfId="32487"/>
    <cellStyle name="Normal 5 4 9" xfId="11157"/>
    <cellStyle name="Normal 5 5" xfId="363"/>
    <cellStyle name="Normal 5 5 10" xfId="22020"/>
    <cellStyle name="Normal 5 5 11" xfId="22573"/>
    <cellStyle name="Normal 5 5 12" xfId="33376"/>
    <cellStyle name="Normal 5 5 13" xfId="33651"/>
    <cellStyle name="Normal 5 5 14" xfId="33922"/>
    <cellStyle name="Normal 5 5 2" xfId="680"/>
    <cellStyle name="Normal 5 5 2 2" xfId="1512"/>
    <cellStyle name="Normal 5 5 2 2 2" xfId="3177"/>
    <cellStyle name="Normal 5 5 2 2 2 2" xfId="8165"/>
    <cellStyle name="Normal 5 5 2 2 2 2 2" xfId="18972"/>
    <cellStyle name="Normal 5 5 2 2 2 2 3" xfId="30329"/>
    <cellStyle name="Normal 5 5 2 2 2 3" xfId="13987"/>
    <cellStyle name="Normal 5 5 2 2 2 4" xfId="25345"/>
    <cellStyle name="Normal 5 5 2 2 3" xfId="4841"/>
    <cellStyle name="Normal 5 5 2 2 3 2" xfId="9826"/>
    <cellStyle name="Normal 5 5 2 2 3 2 2" xfId="20633"/>
    <cellStyle name="Normal 5 5 2 2 3 2 3" xfId="31990"/>
    <cellStyle name="Normal 5 5 2 2 3 3" xfId="15648"/>
    <cellStyle name="Normal 5 5 2 2 3 4" xfId="27006"/>
    <cellStyle name="Normal 5 5 2 2 4" xfId="6503"/>
    <cellStyle name="Normal 5 5 2 2 4 2" xfId="17311"/>
    <cellStyle name="Normal 5 5 2 2 4 3" xfId="28668"/>
    <cellStyle name="Normal 5 5 2 2 5" xfId="12326"/>
    <cellStyle name="Normal 5 5 2 2 6" xfId="23684"/>
    <cellStyle name="Normal 5 5 2 3" xfId="2346"/>
    <cellStyle name="Normal 5 5 2 3 2" xfId="7334"/>
    <cellStyle name="Normal 5 5 2 3 2 2" xfId="18141"/>
    <cellStyle name="Normal 5 5 2 3 2 3" xfId="29498"/>
    <cellStyle name="Normal 5 5 2 3 3" xfId="13156"/>
    <cellStyle name="Normal 5 5 2 3 4" xfId="24514"/>
    <cellStyle name="Normal 5 5 2 4" xfId="4010"/>
    <cellStyle name="Normal 5 5 2 4 2" xfId="8995"/>
    <cellStyle name="Normal 5 5 2 4 2 2" xfId="19802"/>
    <cellStyle name="Normal 5 5 2 4 2 3" xfId="31159"/>
    <cellStyle name="Normal 5 5 2 4 3" xfId="14817"/>
    <cellStyle name="Normal 5 5 2 4 4" xfId="26175"/>
    <cellStyle name="Normal 5 5 2 5" xfId="5672"/>
    <cellStyle name="Normal 5 5 2 5 2" xfId="16480"/>
    <cellStyle name="Normal 5 5 2 5 3" xfId="27837"/>
    <cellStyle name="Normal 5 5 2 6" xfId="10659"/>
    <cellStyle name="Normal 5 5 2 6 2" xfId="21466"/>
    <cellStyle name="Normal 5 5 2 6 3" xfId="32823"/>
    <cellStyle name="Normal 5 5 2 7" xfId="11493"/>
    <cellStyle name="Normal 5 5 2 8" xfId="22299"/>
    <cellStyle name="Normal 5 5 2 9" xfId="22853"/>
    <cellStyle name="Normal 5 5 3" xfId="954"/>
    <cellStyle name="Normal 5 5 3 2" xfId="1786"/>
    <cellStyle name="Normal 5 5 3 2 2" xfId="3451"/>
    <cellStyle name="Normal 5 5 3 2 2 2" xfId="8439"/>
    <cellStyle name="Normal 5 5 3 2 2 2 2" xfId="19246"/>
    <cellStyle name="Normal 5 5 3 2 2 2 3" xfId="30603"/>
    <cellStyle name="Normal 5 5 3 2 2 3" xfId="14261"/>
    <cellStyle name="Normal 5 5 3 2 2 4" xfId="25619"/>
    <cellStyle name="Normal 5 5 3 2 3" xfId="5115"/>
    <cellStyle name="Normal 5 5 3 2 3 2" xfId="10100"/>
    <cellStyle name="Normal 5 5 3 2 3 2 2" xfId="20907"/>
    <cellStyle name="Normal 5 5 3 2 3 2 3" xfId="32264"/>
    <cellStyle name="Normal 5 5 3 2 3 3" xfId="15922"/>
    <cellStyle name="Normal 5 5 3 2 3 4" xfId="27280"/>
    <cellStyle name="Normal 5 5 3 2 4" xfId="6777"/>
    <cellStyle name="Normal 5 5 3 2 4 2" xfId="17585"/>
    <cellStyle name="Normal 5 5 3 2 4 3" xfId="28942"/>
    <cellStyle name="Normal 5 5 3 2 5" xfId="12600"/>
    <cellStyle name="Normal 5 5 3 2 6" xfId="23958"/>
    <cellStyle name="Normal 5 5 3 3" xfId="2620"/>
    <cellStyle name="Normal 5 5 3 3 2" xfId="7608"/>
    <cellStyle name="Normal 5 5 3 3 2 2" xfId="18415"/>
    <cellStyle name="Normal 5 5 3 3 2 3" xfId="29772"/>
    <cellStyle name="Normal 5 5 3 3 3" xfId="13430"/>
    <cellStyle name="Normal 5 5 3 3 4" xfId="24788"/>
    <cellStyle name="Normal 5 5 3 4" xfId="4284"/>
    <cellStyle name="Normal 5 5 3 4 2" xfId="9269"/>
    <cellStyle name="Normal 5 5 3 4 2 2" xfId="20076"/>
    <cellStyle name="Normal 5 5 3 4 2 3" xfId="31433"/>
    <cellStyle name="Normal 5 5 3 4 3" xfId="15091"/>
    <cellStyle name="Normal 5 5 3 4 4" xfId="26449"/>
    <cellStyle name="Normal 5 5 3 5" xfId="5946"/>
    <cellStyle name="Normal 5 5 3 5 2" xfId="16754"/>
    <cellStyle name="Normal 5 5 3 5 3" xfId="28111"/>
    <cellStyle name="Normal 5 5 3 6" xfId="10933"/>
    <cellStyle name="Normal 5 5 3 6 2" xfId="21740"/>
    <cellStyle name="Normal 5 5 3 6 3" xfId="33097"/>
    <cellStyle name="Normal 5 5 3 7" xfId="11768"/>
    <cellStyle name="Normal 5 5 3 8" xfId="23127"/>
    <cellStyle name="Normal 5 5 4" xfId="1233"/>
    <cellStyle name="Normal 5 5 4 2" xfId="2898"/>
    <cellStyle name="Normal 5 5 4 2 2" xfId="7886"/>
    <cellStyle name="Normal 5 5 4 2 2 2" xfId="18693"/>
    <cellStyle name="Normal 5 5 4 2 2 3" xfId="30050"/>
    <cellStyle name="Normal 5 5 4 2 3" xfId="13708"/>
    <cellStyle name="Normal 5 5 4 2 4" xfId="25066"/>
    <cellStyle name="Normal 5 5 4 3" xfId="4562"/>
    <cellStyle name="Normal 5 5 4 3 2" xfId="9547"/>
    <cellStyle name="Normal 5 5 4 3 2 2" xfId="20354"/>
    <cellStyle name="Normal 5 5 4 3 2 3" xfId="31711"/>
    <cellStyle name="Normal 5 5 4 3 3" xfId="15369"/>
    <cellStyle name="Normal 5 5 4 3 4" xfId="26727"/>
    <cellStyle name="Normal 5 5 4 4" xfId="6224"/>
    <cellStyle name="Normal 5 5 4 4 2" xfId="17032"/>
    <cellStyle name="Normal 5 5 4 4 3" xfId="28389"/>
    <cellStyle name="Normal 5 5 4 5" xfId="12047"/>
    <cellStyle name="Normal 5 5 4 6" xfId="23405"/>
    <cellStyle name="Normal 5 5 5" xfId="2068"/>
    <cellStyle name="Normal 5 5 5 2" xfId="7056"/>
    <cellStyle name="Normal 5 5 5 2 2" xfId="17864"/>
    <cellStyle name="Normal 5 5 5 2 3" xfId="29221"/>
    <cellStyle name="Normal 5 5 5 3" xfId="12879"/>
    <cellStyle name="Normal 5 5 5 4" xfId="24237"/>
    <cellStyle name="Normal 5 5 6" xfId="3733"/>
    <cellStyle name="Normal 5 5 6 2" xfId="8718"/>
    <cellStyle name="Normal 5 5 6 2 2" xfId="19525"/>
    <cellStyle name="Normal 5 5 6 2 3" xfId="30882"/>
    <cellStyle name="Normal 5 5 6 3" xfId="14540"/>
    <cellStyle name="Normal 5 5 6 4" xfId="25898"/>
    <cellStyle name="Normal 5 5 7" xfId="5394"/>
    <cellStyle name="Normal 5 5 7 2" xfId="16203"/>
    <cellStyle name="Normal 5 5 7 3" xfId="27560"/>
    <cellStyle name="Normal 5 5 8" xfId="10379"/>
    <cellStyle name="Normal 5 5 8 2" xfId="21186"/>
    <cellStyle name="Normal 5 5 8 3" xfId="32543"/>
    <cellStyle name="Normal 5 5 9" xfId="11213"/>
    <cellStyle name="Normal 5 6" xfId="463"/>
    <cellStyle name="Normal 5 6 2" xfId="1293"/>
    <cellStyle name="Normal 5 6 2 2" xfId="2958"/>
    <cellStyle name="Normal 5 6 2 2 2" xfId="7946"/>
    <cellStyle name="Normal 5 6 2 2 2 2" xfId="18753"/>
    <cellStyle name="Normal 5 6 2 2 2 3" xfId="30110"/>
    <cellStyle name="Normal 5 6 2 2 3" xfId="13768"/>
    <cellStyle name="Normal 5 6 2 2 4" xfId="25126"/>
    <cellStyle name="Normal 5 6 2 3" xfId="4622"/>
    <cellStyle name="Normal 5 6 2 3 2" xfId="9607"/>
    <cellStyle name="Normal 5 6 2 3 2 2" xfId="20414"/>
    <cellStyle name="Normal 5 6 2 3 2 3" xfId="31771"/>
    <cellStyle name="Normal 5 6 2 3 3" xfId="15429"/>
    <cellStyle name="Normal 5 6 2 3 4" xfId="26787"/>
    <cellStyle name="Normal 5 6 2 4" xfId="6284"/>
    <cellStyle name="Normal 5 6 2 4 2" xfId="17092"/>
    <cellStyle name="Normal 5 6 2 4 3" xfId="28449"/>
    <cellStyle name="Normal 5 6 2 5" xfId="12107"/>
    <cellStyle name="Normal 5 6 2 6" xfId="23465"/>
    <cellStyle name="Normal 5 6 3" xfId="2129"/>
    <cellStyle name="Normal 5 6 3 2" xfId="7117"/>
    <cellStyle name="Normal 5 6 3 2 2" xfId="17924"/>
    <cellStyle name="Normal 5 6 3 2 3" xfId="29281"/>
    <cellStyle name="Normal 5 6 3 3" xfId="12939"/>
    <cellStyle name="Normal 5 6 3 4" xfId="24297"/>
    <cellStyle name="Normal 5 6 4" xfId="3793"/>
    <cellStyle name="Normal 5 6 4 2" xfId="8778"/>
    <cellStyle name="Normal 5 6 4 2 2" xfId="19585"/>
    <cellStyle name="Normal 5 6 4 2 3" xfId="30942"/>
    <cellStyle name="Normal 5 6 4 3" xfId="14600"/>
    <cellStyle name="Normal 5 6 4 4" xfId="25958"/>
    <cellStyle name="Normal 5 6 5" xfId="5455"/>
    <cellStyle name="Normal 5 6 5 2" xfId="16263"/>
    <cellStyle name="Normal 5 6 5 3" xfId="27620"/>
    <cellStyle name="Normal 5 6 6" xfId="10432"/>
    <cellStyle name="Normal 5 6 6 2" xfId="21239"/>
    <cellStyle name="Normal 5 6 6 3" xfId="32596"/>
    <cellStyle name="Normal 5 6 7" xfId="11274"/>
    <cellStyle name="Normal 5 6 8" xfId="22080"/>
    <cellStyle name="Normal 5 6 9" xfId="22634"/>
    <cellStyle name="Normal 5 7" xfId="735"/>
    <cellStyle name="Normal 5 7 2" xfId="1567"/>
    <cellStyle name="Normal 5 7 2 2" xfId="3232"/>
    <cellStyle name="Normal 5 7 2 2 2" xfId="8220"/>
    <cellStyle name="Normal 5 7 2 2 2 2" xfId="19027"/>
    <cellStyle name="Normal 5 7 2 2 2 3" xfId="30384"/>
    <cellStyle name="Normal 5 7 2 2 3" xfId="14042"/>
    <cellStyle name="Normal 5 7 2 2 4" xfId="25400"/>
    <cellStyle name="Normal 5 7 2 3" xfId="4896"/>
    <cellStyle name="Normal 5 7 2 3 2" xfId="9881"/>
    <cellStyle name="Normal 5 7 2 3 2 2" xfId="20688"/>
    <cellStyle name="Normal 5 7 2 3 2 3" xfId="32045"/>
    <cellStyle name="Normal 5 7 2 3 3" xfId="15703"/>
    <cellStyle name="Normal 5 7 2 3 4" xfId="27061"/>
    <cellStyle name="Normal 5 7 2 4" xfId="6558"/>
    <cellStyle name="Normal 5 7 2 4 2" xfId="17366"/>
    <cellStyle name="Normal 5 7 2 4 3" xfId="28723"/>
    <cellStyle name="Normal 5 7 2 5" xfId="12381"/>
    <cellStyle name="Normal 5 7 2 6" xfId="23739"/>
    <cellStyle name="Normal 5 7 3" xfId="2401"/>
    <cellStyle name="Normal 5 7 3 2" xfId="7389"/>
    <cellStyle name="Normal 5 7 3 2 2" xfId="18196"/>
    <cellStyle name="Normal 5 7 3 2 3" xfId="29553"/>
    <cellStyle name="Normal 5 7 3 3" xfId="13211"/>
    <cellStyle name="Normal 5 7 3 4" xfId="24569"/>
    <cellStyle name="Normal 5 7 4" xfId="4065"/>
    <cellStyle name="Normal 5 7 4 2" xfId="9050"/>
    <cellStyle name="Normal 5 7 4 2 2" xfId="19857"/>
    <cellStyle name="Normal 5 7 4 2 3" xfId="31214"/>
    <cellStyle name="Normal 5 7 4 3" xfId="14872"/>
    <cellStyle name="Normal 5 7 4 4" xfId="26230"/>
    <cellStyle name="Normal 5 7 5" xfId="5727"/>
    <cellStyle name="Normal 5 7 5 2" xfId="16535"/>
    <cellStyle name="Normal 5 7 5 3" xfId="27892"/>
    <cellStyle name="Normal 5 7 6" xfId="10714"/>
    <cellStyle name="Normal 5 7 6 2" xfId="21521"/>
    <cellStyle name="Normal 5 7 6 3" xfId="32878"/>
    <cellStyle name="Normal 5 7 7" xfId="11549"/>
    <cellStyle name="Normal 5 7 8" xfId="22908"/>
    <cellStyle name="Normal 5 8" xfId="1014"/>
    <cellStyle name="Normal 5 8 2" xfId="2679"/>
    <cellStyle name="Normal 5 8 2 2" xfId="7667"/>
    <cellStyle name="Normal 5 8 2 2 2" xfId="18474"/>
    <cellStyle name="Normal 5 8 2 2 3" xfId="29831"/>
    <cellStyle name="Normal 5 8 2 3" xfId="13489"/>
    <cellStyle name="Normal 5 8 2 4" xfId="24847"/>
    <cellStyle name="Normal 5 8 3" xfId="4343"/>
    <cellStyle name="Normal 5 8 3 2" xfId="9328"/>
    <cellStyle name="Normal 5 8 3 2 2" xfId="20135"/>
    <cellStyle name="Normal 5 8 3 2 3" xfId="31492"/>
    <cellStyle name="Normal 5 8 3 3" xfId="15150"/>
    <cellStyle name="Normal 5 8 3 4" xfId="26508"/>
    <cellStyle name="Normal 5 8 4" xfId="6005"/>
    <cellStyle name="Normal 5 8 4 2" xfId="16813"/>
    <cellStyle name="Normal 5 8 4 3" xfId="28170"/>
    <cellStyle name="Normal 5 8 5" xfId="11828"/>
    <cellStyle name="Normal 5 8 6" xfId="23186"/>
    <cellStyle name="Normal 5 9" xfId="1850"/>
    <cellStyle name="Normal 5 9 2" xfId="6838"/>
    <cellStyle name="Normal 5 9 2 2" xfId="17646"/>
    <cellStyle name="Normal 5 9 2 3" xfId="29003"/>
    <cellStyle name="Normal 5 9 3" xfId="12661"/>
    <cellStyle name="Normal 5 9 4" xfId="24019"/>
    <cellStyle name="Normal 6" xfId="96"/>
    <cellStyle name="Normal 6 10" xfId="1033"/>
    <cellStyle name="Normal 6 10 2" xfId="2698"/>
    <cellStyle name="Normal 6 10 2 2" xfId="7686"/>
    <cellStyle name="Normal 6 10 2 2 2" xfId="18493"/>
    <cellStyle name="Normal 6 10 2 2 3" xfId="29850"/>
    <cellStyle name="Normal 6 10 2 3" xfId="13508"/>
    <cellStyle name="Normal 6 10 2 4" xfId="24866"/>
    <cellStyle name="Normal 6 10 3" xfId="4362"/>
    <cellStyle name="Normal 6 10 3 2" xfId="9347"/>
    <cellStyle name="Normal 6 10 3 2 2" xfId="20154"/>
    <cellStyle name="Normal 6 10 3 2 3" xfId="31511"/>
    <cellStyle name="Normal 6 10 3 3" xfId="15169"/>
    <cellStyle name="Normal 6 10 3 4" xfId="26527"/>
    <cellStyle name="Normal 6 10 4" xfId="6024"/>
    <cellStyle name="Normal 6 10 4 2" xfId="16832"/>
    <cellStyle name="Normal 6 10 4 3" xfId="28189"/>
    <cellStyle name="Normal 6 10 5" xfId="11847"/>
    <cellStyle name="Normal 6 10 6" xfId="23205"/>
    <cellStyle name="Normal 6 11" xfId="1869"/>
    <cellStyle name="Normal 6 11 2" xfId="6857"/>
    <cellStyle name="Normal 6 11 2 2" xfId="17665"/>
    <cellStyle name="Normal 6 11 2 3" xfId="29022"/>
    <cellStyle name="Normal 6 11 3" xfId="12680"/>
    <cellStyle name="Normal 6 11 4" xfId="24038"/>
    <cellStyle name="Normal 6 12" xfId="3534"/>
    <cellStyle name="Normal 6 12 2" xfId="8519"/>
    <cellStyle name="Normal 6 12 2 2" xfId="19326"/>
    <cellStyle name="Normal 6 12 2 3" xfId="30683"/>
    <cellStyle name="Normal 6 12 3" xfId="14341"/>
    <cellStyle name="Normal 6 12 4" xfId="25699"/>
    <cellStyle name="Normal 6 13" xfId="5195"/>
    <cellStyle name="Normal 6 13 2" xfId="16004"/>
    <cellStyle name="Normal 6 13 3" xfId="27361"/>
    <cellStyle name="Normal 6 14" xfId="10179"/>
    <cellStyle name="Normal 6 14 2" xfId="20986"/>
    <cellStyle name="Normal 6 14 3" xfId="32343"/>
    <cellStyle name="Normal 6 15" xfId="11013"/>
    <cellStyle name="Normal 6 16" xfId="21820"/>
    <cellStyle name="Normal 6 17" xfId="22373"/>
    <cellStyle name="Normal 6 18" xfId="33176"/>
    <cellStyle name="Normal 6 19" xfId="33450"/>
    <cellStyle name="Normal 6 2" xfId="216"/>
    <cellStyle name="Normal 6 2 10" xfId="21874"/>
    <cellStyle name="Normal 6 2 11" xfId="22427"/>
    <cellStyle name="Normal 6 2 12" xfId="33230"/>
    <cellStyle name="Normal 6 2 13" xfId="33505"/>
    <cellStyle name="Normal 6 2 14" xfId="33776"/>
    <cellStyle name="Normal 6 2 2" xfId="534"/>
    <cellStyle name="Normal 6 2 2 2" xfId="1366"/>
    <cellStyle name="Normal 6 2 2 2 2" xfId="3031"/>
    <cellStyle name="Normal 6 2 2 2 2 2" xfId="8019"/>
    <cellStyle name="Normal 6 2 2 2 2 2 2" xfId="18826"/>
    <cellStyle name="Normal 6 2 2 2 2 2 3" xfId="30183"/>
    <cellStyle name="Normal 6 2 2 2 2 3" xfId="13841"/>
    <cellStyle name="Normal 6 2 2 2 2 4" xfId="25199"/>
    <cellStyle name="Normal 6 2 2 2 3" xfId="4695"/>
    <cellStyle name="Normal 6 2 2 2 3 2" xfId="9680"/>
    <cellStyle name="Normal 6 2 2 2 3 2 2" xfId="20487"/>
    <cellStyle name="Normal 6 2 2 2 3 2 3" xfId="31844"/>
    <cellStyle name="Normal 6 2 2 2 3 3" xfId="15502"/>
    <cellStyle name="Normal 6 2 2 2 3 4" xfId="26860"/>
    <cellStyle name="Normal 6 2 2 2 4" xfId="6357"/>
    <cellStyle name="Normal 6 2 2 2 4 2" xfId="17165"/>
    <cellStyle name="Normal 6 2 2 2 4 3" xfId="28522"/>
    <cellStyle name="Normal 6 2 2 2 5" xfId="12180"/>
    <cellStyle name="Normal 6 2 2 2 6" xfId="23538"/>
    <cellStyle name="Normal 6 2 2 3" xfId="2200"/>
    <cellStyle name="Normal 6 2 2 3 2" xfId="7188"/>
    <cellStyle name="Normal 6 2 2 3 2 2" xfId="17995"/>
    <cellStyle name="Normal 6 2 2 3 2 3" xfId="29352"/>
    <cellStyle name="Normal 6 2 2 3 3" xfId="13010"/>
    <cellStyle name="Normal 6 2 2 3 4" xfId="24368"/>
    <cellStyle name="Normal 6 2 2 4" xfId="3864"/>
    <cellStyle name="Normal 6 2 2 4 2" xfId="8849"/>
    <cellStyle name="Normal 6 2 2 4 2 2" xfId="19656"/>
    <cellStyle name="Normal 6 2 2 4 2 3" xfId="31013"/>
    <cellStyle name="Normal 6 2 2 4 3" xfId="14671"/>
    <cellStyle name="Normal 6 2 2 4 4" xfId="26029"/>
    <cellStyle name="Normal 6 2 2 5" xfId="5526"/>
    <cellStyle name="Normal 6 2 2 5 2" xfId="16334"/>
    <cellStyle name="Normal 6 2 2 5 3" xfId="27691"/>
    <cellStyle name="Normal 6 2 2 6" xfId="10513"/>
    <cellStyle name="Normal 6 2 2 6 2" xfId="21320"/>
    <cellStyle name="Normal 6 2 2 6 3" xfId="32677"/>
    <cellStyle name="Normal 6 2 2 7" xfId="11347"/>
    <cellStyle name="Normal 6 2 2 8" xfId="22153"/>
    <cellStyle name="Normal 6 2 2 9" xfId="22707"/>
    <cellStyle name="Normal 6 2 3" xfId="808"/>
    <cellStyle name="Normal 6 2 3 2" xfId="1640"/>
    <cellStyle name="Normal 6 2 3 2 2" xfId="3305"/>
    <cellStyle name="Normal 6 2 3 2 2 2" xfId="8293"/>
    <cellStyle name="Normal 6 2 3 2 2 2 2" xfId="19100"/>
    <cellStyle name="Normal 6 2 3 2 2 2 3" xfId="30457"/>
    <cellStyle name="Normal 6 2 3 2 2 3" xfId="14115"/>
    <cellStyle name="Normal 6 2 3 2 2 4" xfId="25473"/>
    <cellStyle name="Normal 6 2 3 2 3" xfId="4969"/>
    <cellStyle name="Normal 6 2 3 2 3 2" xfId="9954"/>
    <cellStyle name="Normal 6 2 3 2 3 2 2" xfId="20761"/>
    <cellStyle name="Normal 6 2 3 2 3 2 3" xfId="32118"/>
    <cellStyle name="Normal 6 2 3 2 3 3" xfId="15776"/>
    <cellStyle name="Normal 6 2 3 2 3 4" xfId="27134"/>
    <cellStyle name="Normal 6 2 3 2 4" xfId="6631"/>
    <cellStyle name="Normal 6 2 3 2 4 2" xfId="17439"/>
    <cellStyle name="Normal 6 2 3 2 4 3" xfId="28796"/>
    <cellStyle name="Normal 6 2 3 2 5" xfId="12454"/>
    <cellStyle name="Normal 6 2 3 2 6" xfId="23812"/>
    <cellStyle name="Normal 6 2 3 3" xfId="2474"/>
    <cellStyle name="Normal 6 2 3 3 2" xfId="7462"/>
    <cellStyle name="Normal 6 2 3 3 2 2" xfId="18269"/>
    <cellStyle name="Normal 6 2 3 3 2 3" xfId="29626"/>
    <cellStyle name="Normal 6 2 3 3 3" xfId="13284"/>
    <cellStyle name="Normal 6 2 3 3 4" xfId="24642"/>
    <cellStyle name="Normal 6 2 3 4" xfId="4138"/>
    <cellStyle name="Normal 6 2 3 4 2" xfId="9123"/>
    <cellStyle name="Normal 6 2 3 4 2 2" xfId="19930"/>
    <cellStyle name="Normal 6 2 3 4 2 3" xfId="31287"/>
    <cellStyle name="Normal 6 2 3 4 3" xfId="14945"/>
    <cellStyle name="Normal 6 2 3 4 4" xfId="26303"/>
    <cellStyle name="Normal 6 2 3 5" xfId="5800"/>
    <cellStyle name="Normal 6 2 3 5 2" xfId="16608"/>
    <cellStyle name="Normal 6 2 3 5 3" xfId="27965"/>
    <cellStyle name="Normal 6 2 3 6" xfId="10787"/>
    <cellStyle name="Normal 6 2 3 6 2" xfId="21594"/>
    <cellStyle name="Normal 6 2 3 6 3" xfId="32951"/>
    <cellStyle name="Normal 6 2 3 7" xfId="11622"/>
    <cellStyle name="Normal 6 2 3 8" xfId="22981"/>
    <cellStyle name="Normal 6 2 4" xfId="1087"/>
    <cellStyle name="Normal 6 2 4 2" xfId="2752"/>
    <cellStyle name="Normal 6 2 4 2 2" xfId="7740"/>
    <cellStyle name="Normal 6 2 4 2 2 2" xfId="18547"/>
    <cellStyle name="Normal 6 2 4 2 2 3" xfId="29904"/>
    <cellStyle name="Normal 6 2 4 2 3" xfId="13562"/>
    <cellStyle name="Normal 6 2 4 2 4" xfId="24920"/>
    <cellStyle name="Normal 6 2 4 3" xfId="4416"/>
    <cellStyle name="Normal 6 2 4 3 2" xfId="9401"/>
    <cellStyle name="Normal 6 2 4 3 2 2" xfId="20208"/>
    <cellStyle name="Normal 6 2 4 3 2 3" xfId="31565"/>
    <cellStyle name="Normal 6 2 4 3 3" xfId="15223"/>
    <cellStyle name="Normal 6 2 4 3 4" xfId="26581"/>
    <cellStyle name="Normal 6 2 4 4" xfId="6078"/>
    <cellStyle name="Normal 6 2 4 4 2" xfId="16886"/>
    <cellStyle name="Normal 6 2 4 4 3" xfId="28243"/>
    <cellStyle name="Normal 6 2 4 5" xfId="11901"/>
    <cellStyle name="Normal 6 2 4 6" xfId="23259"/>
    <cellStyle name="Normal 6 2 5" xfId="1922"/>
    <cellStyle name="Normal 6 2 5 2" xfId="6910"/>
    <cellStyle name="Normal 6 2 5 2 2" xfId="17718"/>
    <cellStyle name="Normal 6 2 5 2 3" xfId="29075"/>
    <cellStyle name="Normal 6 2 5 3" xfId="12733"/>
    <cellStyle name="Normal 6 2 5 4" xfId="24091"/>
    <cellStyle name="Normal 6 2 6" xfId="3587"/>
    <cellStyle name="Normal 6 2 6 2" xfId="8572"/>
    <cellStyle name="Normal 6 2 6 2 2" xfId="19379"/>
    <cellStyle name="Normal 6 2 6 2 3" xfId="30736"/>
    <cellStyle name="Normal 6 2 6 3" xfId="14394"/>
    <cellStyle name="Normal 6 2 6 4" xfId="25752"/>
    <cellStyle name="Normal 6 2 7" xfId="5248"/>
    <cellStyle name="Normal 6 2 7 2" xfId="16057"/>
    <cellStyle name="Normal 6 2 7 3" xfId="27414"/>
    <cellStyle name="Normal 6 2 8" xfId="10233"/>
    <cellStyle name="Normal 6 2 8 2" xfId="21040"/>
    <cellStyle name="Normal 6 2 8 3" xfId="32397"/>
    <cellStyle name="Normal 6 2 9" xfId="11067"/>
    <cellStyle name="Normal 6 20" xfId="33721"/>
    <cellStyle name="Normal 6 3" xfId="271"/>
    <cellStyle name="Normal 6 3 10" xfId="21928"/>
    <cellStyle name="Normal 6 3 11" xfId="22481"/>
    <cellStyle name="Normal 6 3 12" xfId="33284"/>
    <cellStyle name="Normal 6 3 13" xfId="33559"/>
    <cellStyle name="Normal 6 3 14" xfId="33830"/>
    <cellStyle name="Normal 6 3 2" xfId="588"/>
    <cellStyle name="Normal 6 3 2 2" xfId="1420"/>
    <cellStyle name="Normal 6 3 2 2 2" xfId="3085"/>
    <cellStyle name="Normal 6 3 2 2 2 2" xfId="8073"/>
    <cellStyle name="Normal 6 3 2 2 2 2 2" xfId="18880"/>
    <cellStyle name="Normal 6 3 2 2 2 2 3" xfId="30237"/>
    <cellStyle name="Normal 6 3 2 2 2 3" xfId="13895"/>
    <cellStyle name="Normal 6 3 2 2 2 4" xfId="25253"/>
    <cellStyle name="Normal 6 3 2 2 3" xfId="4749"/>
    <cellStyle name="Normal 6 3 2 2 3 2" xfId="9734"/>
    <cellStyle name="Normal 6 3 2 2 3 2 2" xfId="20541"/>
    <cellStyle name="Normal 6 3 2 2 3 2 3" xfId="31898"/>
    <cellStyle name="Normal 6 3 2 2 3 3" xfId="15556"/>
    <cellStyle name="Normal 6 3 2 2 3 4" xfId="26914"/>
    <cellStyle name="Normal 6 3 2 2 4" xfId="6411"/>
    <cellStyle name="Normal 6 3 2 2 4 2" xfId="17219"/>
    <cellStyle name="Normal 6 3 2 2 4 3" xfId="28576"/>
    <cellStyle name="Normal 6 3 2 2 5" xfId="12234"/>
    <cellStyle name="Normal 6 3 2 2 6" xfId="23592"/>
    <cellStyle name="Normal 6 3 2 3" xfId="2254"/>
    <cellStyle name="Normal 6 3 2 3 2" xfId="7242"/>
    <cellStyle name="Normal 6 3 2 3 2 2" xfId="18049"/>
    <cellStyle name="Normal 6 3 2 3 2 3" xfId="29406"/>
    <cellStyle name="Normal 6 3 2 3 3" xfId="13064"/>
    <cellStyle name="Normal 6 3 2 3 4" xfId="24422"/>
    <cellStyle name="Normal 6 3 2 4" xfId="3918"/>
    <cellStyle name="Normal 6 3 2 4 2" xfId="8903"/>
    <cellStyle name="Normal 6 3 2 4 2 2" xfId="19710"/>
    <cellStyle name="Normal 6 3 2 4 2 3" xfId="31067"/>
    <cellStyle name="Normal 6 3 2 4 3" xfId="14725"/>
    <cellStyle name="Normal 6 3 2 4 4" xfId="26083"/>
    <cellStyle name="Normal 6 3 2 5" xfId="5580"/>
    <cellStyle name="Normal 6 3 2 5 2" xfId="16388"/>
    <cellStyle name="Normal 6 3 2 5 3" xfId="27745"/>
    <cellStyle name="Normal 6 3 2 6" xfId="10567"/>
    <cellStyle name="Normal 6 3 2 6 2" xfId="21374"/>
    <cellStyle name="Normal 6 3 2 6 3" xfId="32731"/>
    <cellStyle name="Normal 6 3 2 7" xfId="11401"/>
    <cellStyle name="Normal 6 3 2 8" xfId="22207"/>
    <cellStyle name="Normal 6 3 2 9" xfId="22761"/>
    <cellStyle name="Normal 6 3 3" xfId="862"/>
    <cellStyle name="Normal 6 3 3 2" xfId="1694"/>
    <cellStyle name="Normal 6 3 3 2 2" xfId="3359"/>
    <cellStyle name="Normal 6 3 3 2 2 2" xfId="8347"/>
    <cellStyle name="Normal 6 3 3 2 2 2 2" xfId="19154"/>
    <cellStyle name="Normal 6 3 3 2 2 2 3" xfId="30511"/>
    <cellStyle name="Normal 6 3 3 2 2 3" xfId="14169"/>
    <cellStyle name="Normal 6 3 3 2 2 4" xfId="25527"/>
    <cellStyle name="Normal 6 3 3 2 3" xfId="5023"/>
    <cellStyle name="Normal 6 3 3 2 3 2" xfId="10008"/>
    <cellStyle name="Normal 6 3 3 2 3 2 2" xfId="20815"/>
    <cellStyle name="Normal 6 3 3 2 3 2 3" xfId="32172"/>
    <cellStyle name="Normal 6 3 3 2 3 3" xfId="15830"/>
    <cellStyle name="Normal 6 3 3 2 3 4" xfId="27188"/>
    <cellStyle name="Normal 6 3 3 2 4" xfId="6685"/>
    <cellStyle name="Normal 6 3 3 2 4 2" xfId="17493"/>
    <cellStyle name="Normal 6 3 3 2 4 3" xfId="28850"/>
    <cellStyle name="Normal 6 3 3 2 5" xfId="12508"/>
    <cellStyle name="Normal 6 3 3 2 6" xfId="23866"/>
    <cellStyle name="Normal 6 3 3 3" xfId="2528"/>
    <cellStyle name="Normal 6 3 3 3 2" xfId="7516"/>
    <cellStyle name="Normal 6 3 3 3 2 2" xfId="18323"/>
    <cellStyle name="Normal 6 3 3 3 2 3" xfId="29680"/>
    <cellStyle name="Normal 6 3 3 3 3" xfId="13338"/>
    <cellStyle name="Normal 6 3 3 3 4" xfId="24696"/>
    <cellStyle name="Normal 6 3 3 4" xfId="4192"/>
    <cellStyle name="Normal 6 3 3 4 2" xfId="9177"/>
    <cellStyle name="Normal 6 3 3 4 2 2" xfId="19984"/>
    <cellStyle name="Normal 6 3 3 4 2 3" xfId="31341"/>
    <cellStyle name="Normal 6 3 3 4 3" xfId="14999"/>
    <cellStyle name="Normal 6 3 3 4 4" xfId="26357"/>
    <cellStyle name="Normal 6 3 3 5" xfId="5854"/>
    <cellStyle name="Normal 6 3 3 5 2" xfId="16662"/>
    <cellStyle name="Normal 6 3 3 5 3" xfId="28019"/>
    <cellStyle name="Normal 6 3 3 6" xfId="10841"/>
    <cellStyle name="Normal 6 3 3 6 2" xfId="21648"/>
    <cellStyle name="Normal 6 3 3 6 3" xfId="33005"/>
    <cellStyle name="Normal 6 3 3 7" xfId="11676"/>
    <cellStyle name="Normal 6 3 3 8" xfId="23035"/>
    <cellStyle name="Normal 6 3 4" xfId="1141"/>
    <cellStyle name="Normal 6 3 4 2" xfId="2806"/>
    <cellStyle name="Normal 6 3 4 2 2" xfId="7794"/>
    <cellStyle name="Normal 6 3 4 2 2 2" xfId="18601"/>
    <cellStyle name="Normal 6 3 4 2 2 3" xfId="29958"/>
    <cellStyle name="Normal 6 3 4 2 3" xfId="13616"/>
    <cellStyle name="Normal 6 3 4 2 4" xfId="24974"/>
    <cellStyle name="Normal 6 3 4 3" xfId="4470"/>
    <cellStyle name="Normal 6 3 4 3 2" xfId="9455"/>
    <cellStyle name="Normal 6 3 4 3 2 2" xfId="20262"/>
    <cellStyle name="Normal 6 3 4 3 2 3" xfId="31619"/>
    <cellStyle name="Normal 6 3 4 3 3" xfId="15277"/>
    <cellStyle name="Normal 6 3 4 3 4" xfId="26635"/>
    <cellStyle name="Normal 6 3 4 4" xfId="6132"/>
    <cellStyle name="Normal 6 3 4 4 2" xfId="16940"/>
    <cellStyle name="Normal 6 3 4 4 3" xfId="28297"/>
    <cellStyle name="Normal 6 3 4 5" xfId="11955"/>
    <cellStyle name="Normal 6 3 4 6" xfId="23313"/>
    <cellStyle name="Normal 6 3 5" xfId="1976"/>
    <cellStyle name="Normal 6 3 5 2" xfId="6964"/>
    <cellStyle name="Normal 6 3 5 2 2" xfId="17772"/>
    <cellStyle name="Normal 6 3 5 2 3" xfId="29129"/>
    <cellStyle name="Normal 6 3 5 3" xfId="12787"/>
    <cellStyle name="Normal 6 3 5 4" xfId="24145"/>
    <cellStyle name="Normal 6 3 6" xfId="3641"/>
    <cellStyle name="Normal 6 3 6 2" xfId="8626"/>
    <cellStyle name="Normal 6 3 6 2 2" xfId="19433"/>
    <cellStyle name="Normal 6 3 6 2 3" xfId="30790"/>
    <cellStyle name="Normal 6 3 6 3" xfId="14448"/>
    <cellStyle name="Normal 6 3 6 4" xfId="25806"/>
    <cellStyle name="Normal 6 3 7" xfId="5302"/>
    <cellStyle name="Normal 6 3 7 2" xfId="16111"/>
    <cellStyle name="Normal 6 3 7 3" xfId="27468"/>
    <cellStyle name="Normal 6 3 8" xfId="10287"/>
    <cellStyle name="Normal 6 3 8 2" xfId="21094"/>
    <cellStyle name="Normal 6 3 8 3" xfId="32451"/>
    <cellStyle name="Normal 6 3 9" xfId="11121"/>
    <cellStyle name="Normal 6 4" xfId="326"/>
    <cellStyle name="Normal 6 4 10" xfId="21983"/>
    <cellStyle name="Normal 6 4 11" xfId="22536"/>
    <cellStyle name="Normal 6 4 12" xfId="33339"/>
    <cellStyle name="Normal 6 4 13" xfId="33614"/>
    <cellStyle name="Normal 6 4 14" xfId="33885"/>
    <cellStyle name="Normal 6 4 2" xfId="643"/>
    <cellStyle name="Normal 6 4 2 2" xfId="1475"/>
    <cellStyle name="Normal 6 4 2 2 2" xfId="3140"/>
    <cellStyle name="Normal 6 4 2 2 2 2" xfId="8128"/>
    <cellStyle name="Normal 6 4 2 2 2 2 2" xfId="18935"/>
    <cellStyle name="Normal 6 4 2 2 2 2 3" xfId="30292"/>
    <cellStyle name="Normal 6 4 2 2 2 3" xfId="13950"/>
    <cellStyle name="Normal 6 4 2 2 2 4" xfId="25308"/>
    <cellStyle name="Normal 6 4 2 2 3" xfId="4804"/>
    <cellStyle name="Normal 6 4 2 2 3 2" xfId="9789"/>
    <cellStyle name="Normal 6 4 2 2 3 2 2" xfId="20596"/>
    <cellStyle name="Normal 6 4 2 2 3 2 3" xfId="31953"/>
    <cellStyle name="Normal 6 4 2 2 3 3" xfId="15611"/>
    <cellStyle name="Normal 6 4 2 2 3 4" xfId="26969"/>
    <cellStyle name="Normal 6 4 2 2 4" xfId="6466"/>
    <cellStyle name="Normal 6 4 2 2 4 2" xfId="17274"/>
    <cellStyle name="Normal 6 4 2 2 4 3" xfId="28631"/>
    <cellStyle name="Normal 6 4 2 2 5" xfId="12289"/>
    <cellStyle name="Normal 6 4 2 2 6" xfId="23647"/>
    <cellStyle name="Normal 6 4 2 3" xfId="2309"/>
    <cellStyle name="Normal 6 4 2 3 2" xfId="7297"/>
    <cellStyle name="Normal 6 4 2 3 2 2" xfId="18104"/>
    <cellStyle name="Normal 6 4 2 3 2 3" xfId="29461"/>
    <cellStyle name="Normal 6 4 2 3 3" xfId="13119"/>
    <cellStyle name="Normal 6 4 2 3 4" xfId="24477"/>
    <cellStyle name="Normal 6 4 2 4" xfId="3973"/>
    <cellStyle name="Normal 6 4 2 4 2" xfId="8958"/>
    <cellStyle name="Normal 6 4 2 4 2 2" xfId="19765"/>
    <cellStyle name="Normal 6 4 2 4 2 3" xfId="31122"/>
    <cellStyle name="Normal 6 4 2 4 3" xfId="14780"/>
    <cellStyle name="Normal 6 4 2 4 4" xfId="26138"/>
    <cellStyle name="Normal 6 4 2 5" xfId="5635"/>
    <cellStyle name="Normal 6 4 2 5 2" xfId="16443"/>
    <cellStyle name="Normal 6 4 2 5 3" xfId="27800"/>
    <cellStyle name="Normal 6 4 2 6" xfId="10622"/>
    <cellStyle name="Normal 6 4 2 6 2" xfId="21429"/>
    <cellStyle name="Normal 6 4 2 6 3" xfId="32786"/>
    <cellStyle name="Normal 6 4 2 7" xfId="11456"/>
    <cellStyle name="Normal 6 4 2 8" xfId="22262"/>
    <cellStyle name="Normal 6 4 2 9" xfId="22816"/>
    <cellStyle name="Normal 6 4 3" xfId="917"/>
    <cellStyle name="Normal 6 4 3 2" xfId="1749"/>
    <cellStyle name="Normal 6 4 3 2 2" xfId="3414"/>
    <cellStyle name="Normal 6 4 3 2 2 2" xfId="8402"/>
    <cellStyle name="Normal 6 4 3 2 2 2 2" xfId="19209"/>
    <cellStyle name="Normal 6 4 3 2 2 2 3" xfId="30566"/>
    <cellStyle name="Normal 6 4 3 2 2 3" xfId="14224"/>
    <cellStyle name="Normal 6 4 3 2 2 4" xfId="25582"/>
    <cellStyle name="Normal 6 4 3 2 3" xfId="5078"/>
    <cellStyle name="Normal 6 4 3 2 3 2" xfId="10063"/>
    <cellStyle name="Normal 6 4 3 2 3 2 2" xfId="20870"/>
    <cellStyle name="Normal 6 4 3 2 3 2 3" xfId="32227"/>
    <cellStyle name="Normal 6 4 3 2 3 3" xfId="15885"/>
    <cellStyle name="Normal 6 4 3 2 3 4" xfId="27243"/>
    <cellStyle name="Normal 6 4 3 2 4" xfId="6740"/>
    <cellStyle name="Normal 6 4 3 2 4 2" xfId="17548"/>
    <cellStyle name="Normal 6 4 3 2 4 3" xfId="28905"/>
    <cellStyle name="Normal 6 4 3 2 5" xfId="12563"/>
    <cellStyle name="Normal 6 4 3 2 6" xfId="23921"/>
    <cellStyle name="Normal 6 4 3 3" xfId="2583"/>
    <cellStyle name="Normal 6 4 3 3 2" xfId="7571"/>
    <cellStyle name="Normal 6 4 3 3 2 2" xfId="18378"/>
    <cellStyle name="Normal 6 4 3 3 2 3" xfId="29735"/>
    <cellStyle name="Normal 6 4 3 3 3" xfId="13393"/>
    <cellStyle name="Normal 6 4 3 3 4" xfId="24751"/>
    <cellStyle name="Normal 6 4 3 4" xfId="4247"/>
    <cellStyle name="Normal 6 4 3 4 2" xfId="9232"/>
    <cellStyle name="Normal 6 4 3 4 2 2" xfId="20039"/>
    <cellStyle name="Normal 6 4 3 4 2 3" xfId="31396"/>
    <cellStyle name="Normal 6 4 3 4 3" xfId="15054"/>
    <cellStyle name="Normal 6 4 3 4 4" xfId="26412"/>
    <cellStyle name="Normal 6 4 3 5" xfId="5909"/>
    <cellStyle name="Normal 6 4 3 5 2" xfId="16717"/>
    <cellStyle name="Normal 6 4 3 5 3" xfId="28074"/>
    <cellStyle name="Normal 6 4 3 6" xfId="10896"/>
    <cellStyle name="Normal 6 4 3 6 2" xfId="21703"/>
    <cellStyle name="Normal 6 4 3 6 3" xfId="33060"/>
    <cellStyle name="Normal 6 4 3 7" xfId="11731"/>
    <cellStyle name="Normal 6 4 3 8" xfId="23090"/>
    <cellStyle name="Normal 6 4 4" xfId="1196"/>
    <cellStyle name="Normal 6 4 4 2" xfId="2861"/>
    <cellStyle name="Normal 6 4 4 2 2" xfId="7849"/>
    <cellStyle name="Normal 6 4 4 2 2 2" xfId="18656"/>
    <cellStyle name="Normal 6 4 4 2 2 3" xfId="30013"/>
    <cellStyle name="Normal 6 4 4 2 3" xfId="13671"/>
    <cellStyle name="Normal 6 4 4 2 4" xfId="25029"/>
    <cellStyle name="Normal 6 4 4 3" xfId="4525"/>
    <cellStyle name="Normal 6 4 4 3 2" xfId="9510"/>
    <cellStyle name="Normal 6 4 4 3 2 2" xfId="20317"/>
    <cellStyle name="Normal 6 4 4 3 2 3" xfId="31674"/>
    <cellStyle name="Normal 6 4 4 3 3" xfId="15332"/>
    <cellStyle name="Normal 6 4 4 3 4" xfId="26690"/>
    <cellStyle name="Normal 6 4 4 4" xfId="6187"/>
    <cellStyle name="Normal 6 4 4 4 2" xfId="16995"/>
    <cellStyle name="Normal 6 4 4 4 3" xfId="28352"/>
    <cellStyle name="Normal 6 4 4 5" xfId="12010"/>
    <cellStyle name="Normal 6 4 4 6" xfId="23368"/>
    <cellStyle name="Normal 6 4 5" xfId="2031"/>
    <cellStyle name="Normal 6 4 5 2" xfId="7019"/>
    <cellStyle name="Normal 6 4 5 2 2" xfId="17827"/>
    <cellStyle name="Normal 6 4 5 2 3" xfId="29184"/>
    <cellStyle name="Normal 6 4 5 3" xfId="12842"/>
    <cellStyle name="Normal 6 4 5 4" xfId="24200"/>
    <cellStyle name="Normal 6 4 6" xfId="3696"/>
    <cellStyle name="Normal 6 4 6 2" xfId="8681"/>
    <cellStyle name="Normal 6 4 6 2 2" xfId="19488"/>
    <cellStyle name="Normal 6 4 6 2 3" xfId="30845"/>
    <cellStyle name="Normal 6 4 6 3" xfId="14503"/>
    <cellStyle name="Normal 6 4 6 4" xfId="25861"/>
    <cellStyle name="Normal 6 4 7" xfId="5357"/>
    <cellStyle name="Normal 6 4 7 2" xfId="16166"/>
    <cellStyle name="Normal 6 4 7 3" xfId="27523"/>
    <cellStyle name="Normal 6 4 8" xfId="10342"/>
    <cellStyle name="Normal 6 4 8 2" xfId="21149"/>
    <cellStyle name="Normal 6 4 8 3" xfId="32506"/>
    <cellStyle name="Normal 6 4 9" xfId="11176"/>
    <cellStyle name="Normal 6 5" xfId="382"/>
    <cellStyle name="Normal 6 5 10" xfId="22039"/>
    <cellStyle name="Normal 6 5 11" xfId="22592"/>
    <cellStyle name="Normal 6 5 12" xfId="33395"/>
    <cellStyle name="Normal 6 5 13" xfId="33670"/>
    <cellStyle name="Normal 6 5 14" xfId="33941"/>
    <cellStyle name="Normal 6 5 2" xfId="699"/>
    <cellStyle name="Normal 6 5 2 2" xfId="1531"/>
    <cellStyle name="Normal 6 5 2 2 2" xfId="3196"/>
    <cellStyle name="Normal 6 5 2 2 2 2" xfId="8184"/>
    <cellStyle name="Normal 6 5 2 2 2 2 2" xfId="18991"/>
    <cellStyle name="Normal 6 5 2 2 2 2 3" xfId="30348"/>
    <cellStyle name="Normal 6 5 2 2 2 3" xfId="14006"/>
    <cellStyle name="Normal 6 5 2 2 2 4" xfId="25364"/>
    <cellStyle name="Normal 6 5 2 2 3" xfId="4860"/>
    <cellStyle name="Normal 6 5 2 2 3 2" xfId="9845"/>
    <cellStyle name="Normal 6 5 2 2 3 2 2" xfId="20652"/>
    <cellStyle name="Normal 6 5 2 2 3 2 3" xfId="32009"/>
    <cellStyle name="Normal 6 5 2 2 3 3" xfId="15667"/>
    <cellStyle name="Normal 6 5 2 2 3 4" xfId="27025"/>
    <cellStyle name="Normal 6 5 2 2 4" xfId="6522"/>
    <cellStyle name="Normal 6 5 2 2 4 2" xfId="17330"/>
    <cellStyle name="Normal 6 5 2 2 4 3" xfId="28687"/>
    <cellStyle name="Normal 6 5 2 2 5" xfId="12345"/>
    <cellStyle name="Normal 6 5 2 2 6" xfId="23703"/>
    <cellStyle name="Normal 6 5 2 3" xfId="2365"/>
    <cellStyle name="Normal 6 5 2 3 2" xfId="7353"/>
    <cellStyle name="Normal 6 5 2 3 2 2" xfId="18160"/>
    <cellStyle name="Normal 6 5 2 3 2 3" xfId="29517"/>
    <cellStyle name="Normal 6 5 2 3 3" xfId="13175"/>
    <cellStyle name="Normal 6 5 2 3 4" xfId="24533"/>
    <cellStyle name="Normal 6 5 2 4" xfId="4029"/>
    <cellStyle name="Normal 6 5 2 4 2" xfId="9014"/>
    <cellStyle name="Normal 6 5 2 4 2 2" xfId="19821"/>
    <cellStyle name="Normal 6 5 2 4 2 3" xfId="31178"/>
    <cellStyle name="Normal 6 5 2 4 3" xfId="14836"/>
    <cellStyle name="Normal 6 5 2 4 4" xfId="26194"/>
    <cellStyle name="Normal 6 5 2 5" xfId="5691"/>
    <cellStyle name="Normal 6 5 2 5 2" xfId="16499"/>
    <cellStyle name="Normal 6 5 2 5 3" xfId="27856"/>
    <cellStyle name="Normal 6 5 2 6" xfId="10678"/>
    <cellStyle name="Normal 6 5 2 6 2" xfId="21485"/>
    <cellStyle name="Normal 6 5 2 6 3" xfId="32842"/>
    <cellStyle name="Normal 6 5 2 7" xfId="11512"/>
    <cellStyle name="Normal 6 5 2 8" xfId="22318"/>
    <cellStyle name="Normal 6 5 2 9" xfId="22872"/>
    <cellStyle name="Normal 6 5 3" xfId="973"/>
    <cellStyle name="Normal 6 5 3 2" xfId="1805"/>
    <cellStyle name="Normal 6 5 3 2 2" xfId="3470"/>
    <cellStyle name="Normal 6 5 3 2 2 2" xfId="8458"/>
    <cellStyle name="Normal 6 5 3 2 2 2 2" xfId="19265"/>
    <cellStyle name="Normal 6 5 3 2 2 2 3" xfId="30622"/>
    <cellStyle name="Normal 6 5 3 2 2 3" xfId="14280"/>
    <cellStyle name="Normal 6 5 3 2 2 4" xfId="25638"/>
    <cellStyle name="Normal 6 5 3 2 3" xfId="5134"/>
    <cellStyle name="Normal 6 5 3 2 3 2" xfId="10119"/>
    <cellStyle name="Normal 6 5 3 2 3 2 2" xfId="20926"/>
    <cellStyle name="Normal 6 5 3 2 3 2 3" xfId="32283"/>
    <cellStyle name="Normal 6 5 3 2 3 3" xfId="15941"/>
    <cellStyle name="Normal 6 5 3 2 3 4" xfId="27299"/>
    <cellStyle name="Normal 6 5 3 2 4" xfId="6796"/>
    <cellStyle name="Normal 6 5 3 2 4 2" xfId="17604"/>
    <cellStyle name="Normal 6 5 3 2 4 3" xfId="28961"/>
    <cellStyle name="Normal 6 5 3 2 5" xfId="12619"/>
    <cellStyle name="Normal 6 5 3 2 6" xfId="23977"/>
    <cellStyle name="Normal 6 5 3 3" xfId="2639"/>
    <cellStyle name="Normal 6 5 3 3 2" xfId="7627"/>
    <cellStyle name="Normal 6 5 3 3 2 2" xfId="18434"/>
    <cellStyle name="Normal 6 5 3 3 2 3" xfId="29791"/>
    <cellStyle name="Normal 6 5 3 3 3" xfId="13449"/>
    <cellStyle name="Normal 6 5 3 3 4" xfId="24807"/>
    <cellStyle name="Normal 6 5 3 4" xfId="4303"/>
    <cellStyle name="Normal 6 5 3 4 2" xfId="9288"/>
    <cellStyle name="Normal 6 5 3 4 2 2" xfId="20095"/>
    <cellStyle name="Normal 6 5 3 4 2 3" xfId="31452"/>
    <cellStyle name="Normal 6 5 3 4 3" xfId="15110"/>
    <cellStyle name="Normal 6 5 3 4 4" xfId="26468"/>
    <cellStyle name="Normal 6 5 3 5" xfId="5965"/>
    <cellStyle name="Normal 6 5 3 5 2" xfId="16773"/>
    <cellStyle name="Normal 6 5 3 5 3" xfId="28130"/>
    <cellStyle name="Normal 6 5 3 6" xfId="10952"/>
    <cellStyle name="Normal 6 5 3 6 2" xfId="21759"/>
    <cellStyle name="Normal 6 5 3 6 3" xfId="33116"/>
    <cellStyle name="Normal 6 5 3 7" xfId="11787"/>
    <cellStyle name="Normal 6 5 3 8" xfId="23146"/>
    <cellStyle name="Normal 6 5 4" xfId="1252"/>
    <cellStyle name="Normal 6 5 4 2" xfId="2917"/>
    <cellStyle name="Normal 6 5 4 2 2" xfId="7905"/>
    <cellStyle name="Normal 6 5 4 2 2 2" xfId="18712"/>
    <cellStyle name="Normal 6 5 4 2 2 3" xfId="30069"/>
    <cellStyle name="Normal 6 5 4 2 3" xfId="13727"/>
    <cellStyle name="Normal 6 5 4 2 4" xfId="25085"/>
    <cellStyle name="Normal 6 5 4 3" xfId="4581"/>
    <cellStyle name="Normal 6 5 4 3 2" xfId="9566"/>
    <cellStyle name="Normal 6 5 4 3 2 2" xfId="20373"/>
    <cellStyle name="Normal 6 5 4 3 2 3" xfId="31730"/>
    <cellStyle name="Normal 6 5 4 3 3" xfId="15388"/>
    <cellStyle name="Normal 6 5 4 3 4" xfId="26746"/>
    <cellStyle name="Normal 6 5 4 4" xfId="6243"/>
    <cellStyle name="Normal 6 5 4 4 2" xfId="17051"/>
    <cellStyle name="Normal 6 5 4 4 3" xfId="28408"/>
    <cellStyle name="Normal 6 5 4 5" xfId="12066"/>
    <cellStyle name="Normal 6 5 4 6" xfId="23424"/>
    <cellStyle name="Normal 6 5 5" xfId="2087"/>
    <cellStyle name="Normal 6 5 5 2" xfId="7075"/>
    <cellStyle name="Normal 6 5 5 2 2" xfId="17883"/>
    <cellStyle name="Normal 6 5 5 2 3" xfId="29240"/>
    <cellStyle name="Normal 6 5 5 3" xfId="12898"/>
    <cellStyle name="Normal 6 5 5 4" xfId="24256"/>
    <cellStyle name="Normal 6 5 6" xfId="3752"/>
    <cellStyle name="Normal 6 5 6 2" xfId="8737"/>
    <cellStyle name="Normal 6 5 6 2 2" xfId="19544"/>
    <cellStyle name="Normal 6 5 6 2 3" xfId="30901"/>
    <cellStyle name="Normal 6 5 6 3" xfId="14559"/>
    <cellStyle name="Normal 6 5 6 4" xfId="25917"/>
    <cellStyle name="Normal 6 5 7" xfId="5413"/>
    <cellStyle name="Normal 6 5 7 2" xfId="16222"/>
    <cellStyle name="Normal 6 5 7 3" xfId="27579"/>
    <cellStyle name="Normal 6 5 8" xfId="10398"/>
    <cellStyle name="Normal 6 5 8 2" xfId="21205"/>
    <cellStyle name="Normal 6 5 8 3" xfId="32562"/>
    <cellStyle name="Normal 6 5 9" xfId="11232"/>
    <cellStyle name="Normal 6 6" xfId="426"/>
    <cellStyle name="Normal 6 6 10" xfId="22604"/>
    <cellStyle name="Normal 6 6 11" xfId="33407"/>
    <cellStyle name="Normal 6 6 2" xfId="985"/>
    <cellStyle name="Normal 6 6 2 2" xfId="1817"/>
    <cellStyle name="Normal 6 6 2 2 2" xfId="3482"/>
    <cellStyle name="Normal 6 6 2 2 2 2" xfId="8470"/>
    <cellStyle name="Normal 6 6 2 2 2 2 2" xfId="19277"/>
    <cellStyle name="Normal 6 6 2 2 2 2 3" xfId="30634"/>
    <cellStyle name="Normal 6 6 2 2 2 3" xfId="14292"/>
    <cellStyle name="Normal 6 6 2 2 2 4" xfId="25650"/>
    <cellStyle name="Normal 6 6 2 2 3" xfId="5146"/>
    <cellStyle name="Normal 6 6 2 2 3 2" xfId="10131"/>
    <cellStyle name="Normal 6 6 2 2 3 2 2" xfId="20938"/>
    <cellStyle name="Normal 6 6 2 2 3 2 3" xfId="32295"/>
    <cellStyle name="Normal 6 6 2 2 3 3" xfId="15953"/>
    <cellStyle name="Normal 6 6 2 2 3 4" xfId="27311"/>
    <cellStyle name="Normal 6 6 2 2 4" xfId="6808"/>
    <cellStyle name="Normal 6 6 2 2 4 2" xfId="17616"/>
    <cellStyle name="Normal 6 6 2 2 4 3" xfId="28973"/>
    <cellStyle name="Normal 6 6 2 2 5" xfId="12631"/>
    <cellStyle name="Normal 6 6 2 2 6" xfId="23989"/>
    <cellStyle name="Normal 6 6 2 3" xfId="2651"/>
    <cellStyle name="Normal 6 6 2 3 2" xfId="7639"/>
    <cellStyle name="Normal 6 6 2 3 2 2" xfId="18446"/>
    <cellStyle name="Normal 6 6 2 3 2 3" xfId="29803"/>
    <cellStyle name="Normal 6 6 2 3 3" xfId="13461"/>
    <cellStyle name="Normal 6 6 2 3 4" xfId="24819"/>
    <cellStyle name="Normal 6 6 2 4" xfId="4315"/>
    <cellStyle name="Normal 6 6 2 4 2" xfId="9300"/>
    <cellStyle name="Normal 6 6 2 4 2 2" xfId="20107"/>
    <cellStyle name="Normal 6 6 2 4 2 3" xfId="31464"/>
    <cellStyle name="Normal 6 6 2 4 3" xfId="15122"/>
    <cellStyle name="Normal 6 6 2 4 4" xfId="26480"/>
    <cellStyle name="Normal 6 6 2 5" xfId="5977"/>
    <cellStyle name="Normal 6 6 2 5 2" xfId="16785"/>
    <cellStyle name="Normal 6 6 2 5 3" xfId="28142"/>
    <cellStyle name="Normal 6 6 2 6" xfId="10964"/>
    <cellStyle name="Normal 6 6 2 6 2" xfId="21771"/>
    <cellStyle name="Normal 6 6 2 6 3" xfId="33128"/>
    <cellStyle name="Normal 6 6 2 7" xfId="11799"/>
    <cellStyle name="Normal 6 6 2 8" xfId="23158"/>
    <cellStyle name="Normal 6 6 3" xfId="1263"/>
    <cellStyle name="Normal 6 6 3 2" xfId="2928"/>
    <cellStyle name="Normal 6 6 3 2 2" xfId="7916"/>
    <cellStyle name="Normal 6 6 3 2 2 2" xfId="18723"/>
    <cellStyle name="Normal 6 6 3 2 2 3" xfId="30080"/>
    <cellStyle name="Normal 6 6 3 2 3" xfId="13738"/>
    <cellStyle name="Normal 6 6 3 2 4" xfId="25096"/>
    <cellStyle name="Normal 6 6 3 3" xfId="4592"/>
    <cellStyle name="Normal 6 6 3 3 2" xfId="9577"/>
    <cellStyle name="Normal 6 6 3 3 2 2" xfId="20384"/>
    <cellStyle name="Normal 6 6 3 3 2 3" xfId="31741"/>
    <cellStyle name="Normal 6 6 3 3 3" xfId="15399"/>
    <cellStyle name="Normal 6 6 3 3 4" xfId="26757"/>
    <cellStyle name="Normal 6 6 3 4" xfId="6254"/>
    <cellStyle name="Normal 6 6 3 4 2" xfId="17062"/>
    <cellStyle name="Normal 6 6 3 4 3" xfId="28419"/>
    <cellStyle name="Normal 6 6 3 5" xfId="12077"/>
    <cellStyle name="Normal 6 6 3 6" xfId="23435"/>
    <cellStyle name="Normal 6 6 4" xfId="2098"/>
    <cellStyle name="Normal 6 6 4 2" xfId="7086"/>
    <cellStyle name="Normal 6 6 4 2 2" xfId="17894"/>
    <cellStyle name="Normal 6 6 4 2 3" xfId="29251"/>
    <cellStyle name="Normal 6 6 4 3" xfId="12909"/>
    <cellStyle name="Normal 6 6 4 4" xfId="24267"/>
    <cellStyle name="Normal 6 6 5" xfId="3763"/>
    <cellStyle name="Normal 6 6 5 2" xfId="8748"/>
    <cellStyle name="Normal 6 6 5 2 2" xfId="19555"/>
    <cellStyle name="Normal 6 6 5 2 3" xfId="30912"/>
    <cellStyle name="Normal 6 6 5 3" xfId="14570"/>
    <cellStyle name="Normal 6 6 5 4" xfId="25928"/>
    <cellStyle name="Normal 6 6 6" xfId="5424"/>
    <cellStyle name="Normal 6 6 6 2" xfId="16233"/>
    <cellStyle name="Normal 6 6 6 3" xfId="27590"/>
    <cellStyle name="Normal 6 6 7" xfId="10410"/>
    <cellStyle name="Normal 6 6 7 2" xfId="21217"/>
    <cellStyle name="Normal 6 6 7 3" xfId="32574"/>
    <cellStyle name="Normal 6 6 8" xfId="11244"/>
    <cellStyle name="Normal 6 6 9" xfId="22051"/>
    <cellStyle name="Normal 6 7" xfId="420"/>
    <cellStyle name="Normal 6 8" xfId="482"/>
    <cellStyle name="Normal 6 8 2" xfId="1312"/>
    <cellStyle name="Normal 6 8 2 2" xfId="2977"/>
    <cellStyle name="Normal 6 8 2 2 2" xfId="7965"/>
    <cellStyle name="Normal 6 8 2 2 2 2" xfId="18772"/>
    <cellStyle name="Normal 6 8 2 2 2 3" xfId="30129"/>
    <cellStyle name="Normal 6 8 2 2 3" xfId="13787"/>
    <cellStyle name="Normal 6 8 2 2 4" xfId="25145"/>
    <cellStyle name="Normal 6 8 2 3" xfId="4641"/>
    <cellStyle name="Normal 6 8 2 3 2" xfId="9626"/>
    <cellStyle name="Normal 6 8 2 3 2 2" xfId="20433"/>
    <cellStyle name="Normal 6 8 2 3 2 3" xfId="31790"/>
    <cellStyle name="Normal 6 8 2 3 3" xfId="15448"/>
    <cellStyle name="Normal 6 8 2 3 4" xfId="26806"/>
    <cellStyle name="Normal 6 8 2 4" xfId="6303"/>
    <cellStyle name="Normal 6 8 2 4 2" xfId="17111"/>
    <cellStyle name="Normal 6 8 2 4 3" xfId="28468"/>
    <cellStyle name="Normal 6 8 2 5" xfId="12126"/>
    <cellStyle name="Normal 6 8 2 6" xfId="23484"/>
    <cellStyle name="Normal 6 8 3" xfId="2148"/>
    <cellStyle name="Normal 6 8 3 2" xfId="7136"/>
    <cellStyle name="Normal 6 8 3 2 2" xfId="17943"/>
    <cellStyle name="Normal 6 8 3 2 3" xfId="29300"/>
    <cellStyle name="Normal 6 8 3 3" xfId="12958"/>
    <cellStyle name="Normal 6 8 3 4" xfId="24316"/>
    <cellStyle name="Normal 6 8 4" xfId="3812"/>
    <cellStyle name="Normal 6 8 4 2" xfId="8797"/>
    <cellStyle name="Normal 6 8 4 2 2" xfId="19604"/>
    <cellStyle name="Normal 6 8 4 2 3" xfId="30961"/>
    <cellStyle name="Normal 6 8 4 3" xfId="14619"/>
    <cellStyle name="Normal 6 8 4 4" xfId="25977"/>
    <cellStyle name="Normal 6 8 5" xfId="5474"/>
    <cellStyle name="Normal 6 8 5 2" xfId="16282"/>
    <cellStyle name="Normal 6 8 5 3" xfId="27639"/>
    <cellStyle name="Normal 6 8 6" xfId="10459"/>
    <cellStyle name="Normal 6 8 6 2" xfId="21266"/>
    <cellStyle name="Normal 6 8 6 3" xfId="32623"/>
    <cellStyle name="Normal 6 8 7" xfId="11293"/>
    <cellStyle name="Normal 6 8 8" xfId="22099"/>
    <cellStyle name="Normal 6 8 9" xfId="22653"/>
    <cellStyle name="Normal 6 9" xfId="754"/>
    <cellStyle name="Normal 6 9 2" xfId="1586"/>
    <cellStyle name="Normal 6 9 2 2" xfId="3251"/>
    <cellStyle name="Normal 6 9 2 2 2" xfId="8239"/>
    <cellStyle name="Normal 6 9 2 2 2 2" xfId="19046"/>
    <cellStyle name="Normal 6 9 2 2 2 3" xfId="30403"/>
    <cellStyle name="Normal 6 9 2 2 3" xfId="14061"/>
    <cellStyle name="Normal 6 9 2 2 4" xfId="25419"/>
    <cellStyle name="Normal 6 9 2 3" xfId="4915"/>
    <cellStyle name="Normal 6 9 2 3 2" xfId="9900"/>
    <cellStyle name="Normal 6 9 2 3 2 2" xfId="20707"/>
    <cellStyle name="Normal 6 9 2 3 2 3" xfId="32064"/>
    <cellStyle name="Normal 6 9 2 3 3" xfId="15722"/>
    <cellStyle name="Normal 6 9 2 3 4" xfId="27080"/>
    <cellStyle name="Normal 6 9 2 4" xfId="6577"/>
    <cellStyle name="Normal 6 9 2 4 2" xfId="17385"/>
    <cellStyle name="Normal 6 9 2 4 3" xfId="28742"/>
    <cellStyle name="Normal 6 9 2 5" xfId="12400"/>
    <cellStyle name="Normal 6 9 2 6" xfId="23758"/>
    <cellStyle name="Normal 6 9 3" xfId="2420"/>
    <cellStyle name="Normal 6 9 3 2" xfId="7408"/>
    <cellStyle name="Normal 6 9 3 2 2" xfId="18215"/>
    <cellStyle name="Normal 6 9 3 2 3" xfId="29572"/>
    <cellStyle name="Normal 6 9 3 3" xfId="13230"/>
    <cellStyle name="Normal 6 9 3 4" xfId="24588"/>
    <cellStyle name="Normal 6 9 4" xfId="4084"/>
    <cellStyle name="Normal 6 9 4 2" xfId="9069"/>
    <cellStyle name="Normal 6 9 4 2 2" xfId="19876"/>
    <cellStyle name="Normal 6 9 4 2 3" xfId="31233"/>
    <cellStyle name="Normal 6 9 4 3" xfId="14891"/>
    <cellStyle name="Normal 6 9 4 4" xfId="26249"/>
    <cellStyle name="Normal 6 9 5" xfId="5746"/>
    <cellStyle name="Normal 6 9 5 2" xfId="16554"/>
    <cellStyle name="Normal 6 9 5 3" xfId="27911"/>
    <cellStyle name="Normal 6 9 6" xfId="10733"/>
    <cellStyle name="Normal 6 9 6 2" xfId="21540"/>
    <cellStyle name="Normal 6 9 6 3" xfId="32897"/>
    <cellStyle name="Normal 6 9 7" xfId="11568"/>
    <cellStyle name="Normal 6 9 8" xfId="22927"/>
    <cellStyle name="Normal 6_Ark1" xfId="423"/>
    <cellStyle name="Normal 7" xfId="50"/>
    <cellStyle name="Normal 7 2" xfId="107"/>
    <cellStyle name="Normal 7 2 2" xfId="419"/>
    <cellStyle name="Normal 7 3" xfId="404"/>
    <cellStyle name="Normal 7_UdkastAfgørelser" xfId="425"/>
    <cellStyle name="Normal 8" xfId="174"/>
    <cellStyle name="Normal 8 10" xfId="21832"/>
    <cellStyle name="Normal 8 11" xfId="22385"/>
    <cellStyle name="Normal 8 12" xfId="33188"/>
    <cellStyle name="Normal 8 13" xfId="33461"/>
    <cellStyle name="Normal 8 14" xfId="33732"/>
    <cellStyle name="Normal 8 2" xfId="494"/>
    <cellStyle name="Normal 8 2 2" xfId="1324"/>
    <cellStyle name="Normal 8 2 2 2" xfId="2989"/>
    <cellStyle name="Normal 8 2 2 2 2" xfId="7977"/>
    <cellStyle name="Normal 8 2 2 2 2 2" xfId="18784"/>
    <cellStyle name="Normal 8 2 2 2 2 3" xfId="30141"/>
    <cellStyle name="Normal 8 2 2 2 3" xfId="13799"/>
    <cellStyle name="Normal 8 2 2 2 4" xfId="25157"/>
    <cellStyle name="Normal 8 2 2 3" xfId="4653"/>
    <cellStyle name="Normal 8 2 2 3 2" xfId="9638"/>
    <cellStyle name="Normal 8 2 2 3 2 2" xfId="20445"/>
    <cellStyle name="Normal 8 2 2 3 2 3" xfId="31802"/>
    <cellStyle name="Normal 8 2 2 3 3" xfId="15460"/>
    <cellStyle name="Normal 8 2 2 3 4" xfId="26818"/>
    <cellStyle name="Normal 8 2 2 4" xfId="6315"/>
    <cellStyle name="Normal 8 2 2 4 2" xfId="17123"/>
    <cellStyle name="Normal 8 2 2 4 3" xfId="28480"/>
    <cellStyle name="Normal 8 2 2 5" xfId="12138"/>
    <cellStyle name="Normal 8 2 2 6" xfId="23496"/>
    <cellStyle name="Normal 8 2 3" xfId="2160"/>
    <cellStyle name="Normal 8 2 3 2" xfId="7148"/>
    <cellStyle name="Normal 8 2 3 2 2" xfId="17955"/>
    <cellStyle name="Normal 8 2 3 2 3" xfId="29312"/>
    <cellStyle name="Normal 8 2 3 3" xfId="12970"/>
    <cellStyle name="Normal 8 2 3 4" xfId="24328"/>
    <cellStyle name="Normal 8 2 4" xfId="3824"/>
    <cellStyle name="Normal 8 2 4 2" xfId="8809"/>
    <cellStyle name="Normal 8 2 4 2 2" xfId="19616"/>
    <cellStyle name="Normal 8 2 4 2 3" xfId="30973"/>
    <cellStyle name="Normal 8 2 4 3" xfId="14631"/>
    <cellStyle name="Normal 8 2 4 4" xfId="25989"/>
    <cellStyle name="Normal 8 2 5" xfId="5486"/>
    <cellStyle name="Normal 8 2 5 2" xfId="16294"/>
    <cellStyle name="Normal 8 2 5 3" xfId="27651"/>
    <cellStyle name="Normal 8 2 6" xfId="10471"/>
    <cellStyle name="Normal 8 2 6 2" xfId="21278"/>
    <cellStyle name="Normal 8 2 6 3" xfId="32635"/>
    <cellStyle name="Normal 8 2 7" xfId="11305"/>
    <cellStyle name="Normal 8 2 8" xfId="22111"/>
    <cellStyle name="Normal 8 2 9" xfId="22665"/>
    <cellStyle name="Normal 8 3" xfId="766"/>
    <cellStyle name="Normal 8 3 2" xfId="1598"/>
    <cellStyle name="Normal 8 3 2 2" xfId="3263"/>
    <cellStyle name="Normal 8 3 2 2 2" xfId="8251"/>
    <cellStyle name="Normal 8 3 2 2 2 2" xfId="19058"/>
    <cellStyle name="Normal 8 3 2 2 2 3" xfId="30415"/>
    <cellStyle name="Normal 8 3 2 2 3" xfId="14073"/>
    <cellStyle name="Normal 8 3 2 2 4" xfId="25431"/>
    <cellStyle name="Normal 8 3 2 3" xfId="4927"/>
    <cellStyle name="Normal 8 3 2 3 2" xfId="9912"/>
    <cellStyle name="Normal 8 3 2 3 2 2" xfId="20719"/>
    <cellStyle name="Normal 8 3 2 3 2 3" xfId="32076"/>
    <cellStyle name="Normal 8 3 2 3 3" xfId="15734"/>
    <cellStyle name="Normal 8 3 2 3 4" xfId="27092"/>
    <cellStyle name="Normal 8 3 2 4" xfId="6589"/>
    <cellStyle name="Normal 8 3 2 4 2" xfId="17397"/>
    <cellStyle name="Normal 8 3 2 4 3" xfId="28754"/>
    <cellStyle name="Normal 8 3 2 5" xfId="12412"/>
    <cellStyle name="Normal 8 3 2 6" xfId="23770"/>
    <cellStyle name="Normal 8 3 3" xfId="2432"/>
    <cellStyle name="Normal 8 3 3 2" xfId="7420"/>
    <cellStyle name="Normal 8 3 3 2 2" xfId="18227"/>
    <cellStyle name="Normal 8 3 3 2 3" xfId="29584"/>
    <cellStyle name="Normal 8 3 3 3" xfId="13242"/>
    <cellStyle name="Normal 8 3 3 4" xfId="24600"/>
    <cellStyle name="Normal 8 3 4" xfId="4096"/>
    <cellStyle name="Normal 8 3 4 2" xfId="9081"/>
    <cellStyle name="Normal 8 3 4 2 2" xfId="19888"/>
    <cellStyle name="Normal 8 3 4 2 3" xfId="31245"/>
    <cellStyle name="Normal 8 3 4 3" xfId="14903"/>
    <cellStyle name="Normal 8 3 4 4" xfId="26261"/>
    <cellStyle name="Normal 8 3 5" xfId="5758"/>
    <cellStyle name="Normal 8 3 5 2" xfId="16566"/>
    <cellStyle name="Normal 8 3 5 3" xfId="27923"/>
    <cellStyle name="Normal 8 3 6" xfId="10745"/>
    <cellStyle name="Normal 8 3 6 2" xfId="21552"/>
    <cellStyle name="Normal 8 3 6 3" xfId="32909"/>
    <cellStyle name="Normal 8 3 7" xfId="11580"/>
    <cellStyle name="Normal 8 3 8" xfId="22939"/>
    <cellStyle name="Normal 8 4" xfId="1045"/>
    <cellStyle name="Normal 8 4 2" xfId="2710"/>
    <cellStyle name="Normal 8 4 2 2" xfId="7698"/>
    <cellStyle name="Normal 8 4 2 2 2" xfId="18505"/>
    <cellStyle name="Normal 8 4 2 2 3" xfId="29862"/>
    <cellStyle name="Normal 8 4 2 3" xfId="13520"/>
    <cellStyle name="Normal 8 4 2 4" xfId="24878"/>
    <cellStyle name="Normal 8 4 3" xfId="4374"/>
    <cellStyle name="Normal 8 4 3 2" xfId="9359"/>
    <cellStyle name="Normal 8 4 3 2 2" xfId="20166"/>
    <cellStyle name="Normal 8 4 3 2 3" xfId="31523"/>
    <cellStyle name="Normal 8 4 3 3" xfId="15181"/>
    <cellStyle name="Normal 8 4 3 4" xfId="26539"/>
    <cellStyle name="Normal 8 4 4" xfId="6036"/>
    <cellStyle name="Normal 8 4 4 2" xfId="16844"/>
    <cellStyle name="Normal 8 4 4 3" xfId="28201"/>
    <cellStyle name="Normal 8 4 5" xfId="11859"/>
    <cellStyle name="Normal 8 4 6" xfId="23217"/>
    <cellStyle name="Normal 8 5" xfId="1880"/>
    <cellStyle name="Normal 8 5 2" xfId="6868"/>
    <cellStyle name="Normal 8 5 2 2" xfId="17676"/>
    <cellStyle name="Normal 8 5 2 3" xfId="29033"/>
    <cellStyle name="Normal 8 5 3" xfId="12691"/>
    <cellStyle name="Normal 8 5 4" xfId="24049"/>
    <cellStyle name="Normal 8 6" xfId="3545"/>
    <cellStyle name="Normal 8 6 2" xfId="8530"/>
    <cellStyle name="Normal 8 6 2 2" xfId="19337"/>
    <cellStyle name="Normal 8 6 2 3" xfId="30694"/>
    <cellStyle name="Normal 8 6 3" xfId="14352"/>
    <cellStyle name="Normal 8 6 4" xfId="25710"/>
    <cellStyle name="Normal 8 7" xfId="5206"/>
    <cellStyle name="Normal 8 7 2" xfId="16015"/>
    <cellStyle name="Normal 8 7 3" xfId="27372"/>
    <cellStyle name="Normal 8 8" xfId="10191"/>
    <cellStyle name="Normal 8 8 2" xfId="20998"/>
    <cellStyle name="Normal 8 8 3" xfId="32355"/>
    <cellStyle name="Normal 8 9" xfId="11025"/>
    <cellStyle name="Normal 9" xfId="227"/>
    <cellStyle name="Normal 9 10" xfId="21885"/>
    <cellStyle name="Normal 9 11" xfId="22438"/>
    <cellStyle name="Normal 9 12" xfId="33241"/>
    <cellStyle name="Normal 9 13" xfId="33516"/>
    <cellStyle name="Normal 9 14" xfId="33787"/>
    <cellStyle name="Normal 9 2" xfId="545"/>
    <cellStyle name="Normal 9 2 2" xfId="1377"/>
    <cellStyle name="Normal 9 2 2 2" xfId="3042"/>
    <cellStyle name="Normal 9 2 2 2 2" xfId="8030"/>
    <cellStyle name="Normal 9 2 2 2 2 2" xfId="18837"/>
    <cellStyle name="Normal 9 2 2 2 2 3" xfId="30194"/>
    <cellStyle name="Normal 9 2 2 2 3" xfId="13852"/>
    <cellStyle name="Normal 9 2 2 2 4" xfId="25210"/>
    <cellStyle name="Normal 9 2 2 3" xfId="4706"/>
    <cellStyle name="Normal 9 2 2 3 2" xfId="9691"/>
    <cellStyle name="Normal 9 2 2 3 2 2" xfId="20498"/>
    <cellStyle name="Normal 9 2 2 3 2 3" xfId="31855"/>
    <cellStyle name="Normal 9 2 2 3 3" xfId="15513"/>
    <cellStyle name="Normal 9 2 2 3 4" xfId="26871"/>
    <cellStyle name="Normal 9 2 2 4" xfId="6368"/>
    <cellStyle name="Normal 9 2 2 4 2" xfId="17176"/>
    <cellStyle name="Normal 9 2 2 4 3" xfId="28533"/>
    <cellStyle name="Normal 9 2 2 5" xfId="12191"/>
    <cellStyle name="Normal 9 2 2 6" xfId="23549"/>
    <cellStyle name="Normal 9 2 3" xfId="2211"/>
    <cellStyle name="Normal 9 2 3 2" xfId="7199"/>
    <cellStyle name="Normal 9 2 3 2 2" xfId="18006"/>
    <cellStyle name="Normal 9 2 3 2 3" xfId="29363"/>
    <cellStyle name="Normal 9 2 3 3" xfId="13021"/>
    <cellStyle name="Normal 9 2 3 4" xfId="24379"/>
    <cellStyle name="Normal 9 2 4" xfId="3875"/>
    <cellStyle name="Normal 9 2 4 2" xfId="8860"/>
    <cellStyle name="Normal 9 2 4 2 2" xfId="19667"/>
    <cellStyle name="Normal 9 2 4 2 3" xfId="31024"/>
    <cellStyle name="Normal 9 2 4 3" xfId="14682"/>
    <cellStyle name="Normal 9 2 4 4" xfId="26040"/>
    <cellStyle name="Normal 9 2 5" xfId="5537"/>
    <cellStyle name="Normal 9 2 5 2" xfId="16345"/>
    <cellStyle name="Normal 9 2 5 3" xfId="27702"/>
    <cellStyle name="Normal 9 2 6" xfId="10524"/>
    <cellStyle name="Normal 9 2 6 2" xfId="21331"/>
    <cellStyle name="Normal 9 2 6 3" xfId="32688"/>
    <cellStyle name="Normal 9 2 7" xfId="11358"/>
    <cellStyle name="Normal 9 2 8" xfId="22164"/>
    <cellStyle name="Normal 9 2 9" xfId="22718"/>
    <cellStyle name="Normal 9 3" xfId="819"/>
    <cellStyle name="Normal 9 3 2" xfId="1651"/>
    <cellStyle name="Normal 9 3 2 2" xfId="3316"/>
    <cellStyle name="Normal 9 3 2 2 2" xfId="8304"/>
    <cellStyle name="Normal 9 3 2 2 2 2" xfId="19111"/>
    <cellStyle name="Normal 9 3 2 2 2 3" xfId="30468"/>
    <cellStyle name="Normal 9 3 2 2 3" xfId="14126"/>
    <cellStyle name="Normal 9 3 2 2 4" xfId="25484"/>
    <cellStyle name="Normal 9 3 2 3" xfId="4980"/>
    <cellStyle name="Normal 9 3 2 3 2" xfId="9965"/>
    <cellStyle name="Normal 9 3 2 3 2 2" xfId="20772"/>
    <cellStyle name="Normal 9 3 2 3 2 3" xfId="32129"/>
    <cellStyle name="Normal 9 3 2 3 3" xfId="15787"/>
    <cellStyle name="Normal 9 3 2 3 4" xfId="27145"/>
    <cellStyle name="Normal 9 3 2 4" xfId="6642"/>
    <cellStyle name="Normal 9 3 2 4 2" xfId="17450"/>
    <cellStyle name="Normal 9 3 2 4 3" xfId="28807"/>
    <cellStyle name="Normal 9 3 2 5" xfId="12465"/>
    <cellStyle name="Normal 9 3 2 6" xfId="23823"/>
    <cellStyle name="Normal 9 3 3" xfId="2485"/>
    <cellStyle name="Normal 9 3 3 2" xfId="7473"/>
    <cellStyle name="Normal 9 3 3 2 2" xfId="18280"/>
    <cellStyle name="Normal 9 3 3 2 3" xfId="29637"/>
    <cellStyle name="Normal 9 3 3 3" xfId="13295"/>
    <cellStyle name="Normal 9 3 3 4" xfId="24653"/>
    <cellStyle name="Normal 9 3 4" xfId="4149"/>
    <cellStyle name="Normal 9 3 4 2" xfId="9134"/>
    <cellStyle name="Normal 9 3 4 2 2" xfId="19941"/>
    <cellStyle name="Normal 9 3 4 2 3" xfId="31298"/>
    <cellStyle name="Normal 9 3 4 3" xfId="14956"/>
    <cellStyle name="Normal 9 3 4 4" xfId="26314"/>
    <cellStyle name="Normal 9 3 5" xfId="5811"/>
    <cellStyle name="Normal 9 3 5 2" xfId="16619"/>
    <cellStyle name="Normal 9 3 5 3" xfId="27976"/>
    <cellStyle name="Normal 9 3 6" xfId="10798"/>
    <cellStyle name="Normal 9 3 6 2" xfId="21605"/>
    <cellStyle name="Normal 9 3 6 3" xfId="32962"/>
    <cellStyle name="Normal 9 3 7" xfId="11633"/>
    <cellStyle name="Normal 9 3 8" xfId="22992"/>
    <cellStyle name="Normal 9 4" xfId="1098"/>
    <cellStyle name="Normal 9 4 2" xfId="2763"/>
    <cellStyle name="Normal 9 4 2 2" xfId="7751"/>
    <cellStyle name="Normal 9 4 2 2 2" xfId="18558"/>
    <cellStyle name="Normal 9 4 2 2 3" xfId="29915"/>
    <cellStyle name="Normal 9 4 2 3" xfId="13573"/>
    <cellStyle name="Normal 9 4 2 4" xfId="24931"/>
    <cellStyle name="Normal 9 4 3" xfId="4427"/>
    <cellStyle name="Normal 9 4 3 2" xfId="9412"/>
    <cellStyle name="Normal 9 4 3 2 2" xfId="20219"/>
    <cellStyle name="Normal 9 4 3 2 3" xfId="31576"/>
    <cellStyle name="Normal 9 4 3 3" xfId="15234"/>
    <cellStyle name="Normal 9 4 3 4" xfId="26592"/>
    <cellStyle name="Normal 9 4 4" xfId="6089"/>
    <cellStyle name="Normal 9 4 4 2" xfId="16897"/>
    <cellStyle name="Normal 9 4 4 3" xfId="28254"/>
    <cellStyle name="Normal 9 4 5" xfId="11912"/>
    <cellStyle name="Normal 9 4 6" xfId="23270"/>
    <cellStyle name="Normal 9 5" xfId="1933"/>
    <cellStyle name="Normal 9 5 2" xfId="6921"/>
    <cellStyle name="Normal 9 5 2 2" xfId="17729"/>
    <cellStyle name="Normal 9 5 2 3" xfId="29086"/>
    <cellStyle name="Normal 9 5 3" xfId="12744"/>
    <cellStyle name="Normal 9 5 4" xfId="24102"/>
    <cellStyle name="Normal 9 6" xfId="3598"/>
    <cellStyle name="Normal 9 6 2" xfId="8583"/>
    <cellStyle name="Normal 9 6 2 2" xfId="19390"/>
    <cellStyle name="Normal 9 6 2 3" xfId="30747"/>
    <cellStyle name="Normal 9 6 3" xfId="14405"/>
    <cellStyle name="Normal 9 6 4" xfId="25763"/>
    <cellStyle name="Normal 9 7" xfId="5259"/>
    <cellStyle name="Normal 9 7 2" xfId="16068"/>
    <cellStyle name="Normal 9 7 3" xfId="27425"/>
    <cellStyle name="Normal 9 8" xfId="10244"/>
    <cellStyle name="Normal 9 8 2" xfId="21051"/>
    <cellStyle name="Normal 9 8 3" xfId="32408"/>
    <cellStyle name="Normal 9 9" xfId="11078"/>
    <cellStyle name="Note" xfId="160"/>
    <cellStyle name="Output" xfId="12" builtinId="21" customBuiltin="1"/>
    <cellStyle name="Output 2" xfId="161"/>
    <cellStyle name="Overskrift" xfId="115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44" builtinId="5"/>
    <cellStyle name="Procent 10" xfId="353"/>
    <cellStyle name="Procent 10 10" xfId="22010"/>
    <cellStyle name="Procent 10 11" xfId="22563"/>
    <cellStyle name="Procent 10 12" xfId="33366"/>
    <cellStyle name="Procent 10 13" xfId="33641"/>
    <cellStyle name="Procent 10 14" xfId="33912"/>
    <cellStyle name="Procent 10 2" xfId="670"/>
    <cellStyle name="Procent 10 2 2" xfId="1502"/>
    <cellStyle name="Procent 10 2 2 2" xfId="3167"/>
    <cellStyle name="Procent 10 2 2 2 2" xfId="8155"/>
    <cellStyle name="Procent 10 2 2 2 2 2" xfId="18962"/>
    <cellStyle name="Procent 10 2 2 2 2 3" xfId="30319"/>
    <cellStyle name="Procent 10 2 2 2 3" xfId="13977"/>
    <cellStyle name="Procent 10 2 2 2 4" xfId="25335"/>
    <cellStyle name="Procent 10 2 2 3" xfId="4831"/>
    <cellStyle name="Procent 10 2 2 3 2" xfId="9816"/>
    <cellStyle name="Procent 10 2 2 3 2 2" xfId="20623"/>
    <cellStyle name="Procent 10 2 2 3 2 3" xfId="31980"/>
    <cellStyle name="Procent 10 2 2 3 3" xfId="15638"/>
    <cellStyle name="Procent 10 2 2 3 4" xfId="26996"/>
    <cellStyle name="Procent 10 2 2 4" xfId="6493"/>
    <cellStyle name="Procent 10 2 2 4 2" xfId="17301"/>
    <cellStyle name="Procent 10 2 2 4 3" xfId="28658"/>
    <cellStyle name="Procent 10 2 2 5" xfId="12316"/>
    <cellStyle name="Procent 10 2 2 6" xfId="23674"/>
    <cellStyle name="Procent 10 2 3" xfId="2336"/>
    <cellStyle name="Procent 10 2 3 2" xfId="7324"/>
    <cellStyle name="Procent 10 2 3 2 2" xfId="18131"/>
    <cellStyle name="Procent 10 2 3 2 3" xfId="29488"/>
    <cellStyle name="Procent 10 2 3 3" xfId="13146"/>
    <cellStyle name="Procent 10 2 3 4" xfId="24504"/>
    <cellStyle name="Procent 10 2 4" xfId="4000"/>
    <cellStyle name="Procent 10 2 4 2" xfId="8985"/>
    <cellStyle name="Procent 10 2 4 2 2" xfId="19792"/>
    <cellStyle name="Procent 10 2 4 2 3" xfId="31149"/>
    <cellStyle name="Procent 10 2 4 3" xfId="14807"/>
    <cellStyle name="Procent 10 2 4 4" xfId="26165"/>
    <cellStyle name="Procent 10 2 5" xfId="5662"/>
    <cellStyle name="Procent 10 2 5 2" xfId="16470"/>
    <cellStyle name="Procent 10 2 5 3" xfId="27827"/>
    <cellStyle name="Procent 10 2 6" xfId="10649"/>
    <cellStyle name="Procent 10 2 6 2" xfId="21456"/>
    <cellStyle name="Procent 10 2 6 3" xfId="32813"/>
    <cellStyle name="Procent 10 2 7" xfId="11483"/>
    <cellStyle name="Procent 10 2 8" xfId="22289"/>
    <cellStyle name="Procent 10 2 9" xfId="22843"/>
    <cellStyle name="Procent 10 3" xfId="944"/>
    <cellStyle name="Procent 10 3 2" xfId="1776"/>
    <cellStyle name="Procent 10 3 2 2" xfId="3441"/>
    <cellStyle name="Procent 10 3 2 2 2" xfId="8429"/>
    <cellStyle name="Procent 10 3 2 2 2 2" xfId="19236"/>
    <cellStyle name="Procent 10 3 2 2 2 3" xfId="30593"/>
    <cellStyle name="Procent 10 3 2 2 3" xfId="14251"/>
    <cellStyle name="Procent 10 3 2 2 4" xfId="25609"/>
    <cellStyle name="Procent 10 3 2 3" xfId="5105"/>
    <cellStyle name="Procent 10 3 2 3 2" xfId="10090"/>
    <cellStyle name="Procent 10 3 2 3 2 2" xfId="20897"/>
    <cellStyle name="Procent 10 3 2 3 2 3" xfId="32254"/>
    <cellStyle name="Procent 10 3 2 3 3" xfId="15912"/>
    <cellStyle name="Procent 10 3 2 3 4" xfId="27270"/>
    <cellStyle name="Procent 10 3 2 4" xfId="6767"/>
    <cellStyle name="Procent 10 3 2 4 2" xfId="17575"/>
    <cellStyle name="Procent 10 3 2 4 3" xfId="28932"/>
    <cellStyle name="Procent 10 3 2 5" xfId="12590"/>
    <cellStyle name="Procent 10 3 2 6" xfId="23948"/>
    <cellStyle name="Procent 10 3 3" xfId="2610"/>
    <cellStyle name="Procent 10 3 3 2" xfId="7598"/>
    <cellStyle name="Procent 10 3 3 2 2" xfId="18405"/>
    <cellStyle name="Procent 10 3 3 2 3" xfId="29762"/>
    <cellStyle name="Procent 10 3 3 3" xfId="13420"/>
    <cellStyle name="Procent 10 3 3 4" xfId="24778"/>
    <cellStyle name="Procent 10 3 4" xfId="4274"/>
    <cellStyle name="Procent 10 3 4 2" xfId="9259"/>
    <cellStyle name="Procent 10 3 4 2 2" xfId="20066"/>
    <cellStyle name="Procent 10 3 4 2 3" xfId="31423"/>
    <cellStyle name="Procent 10 3 4 3" xfId="15081"/>
    <cellStyle name="Procent 10 3 4 4" xfId="26439"/>
    <cellStyle name="Procent 10 3 5" xfId="5936"/>
    <cellStyle name="Procent 10 3 5 2" xfId="16744"/>
    <cellStyle name="Procent 10 3 5 3" xfId="28101"/>
    <cellStyle name="Procent 10 3 6" xfId="10923"/>
    <cellStyle name="Procent 10 3 6 2" xfId="21730"/>
    <cellStyle name="Procent 10 3 6 3" xfId="33087"/>
    <cellStyle name="Procent 10 3 7" xfId="11758"/>
    <cellStyle name="Procent 10 3 8" xfId="23117"/>
    <cellStyle name="Procent 10 4" xfId="1223"/>
    <cellStyle name="Procent 10 4 2" xfId="2888"/>
    <cellStyle name="Procent 10 4 2 2" xfId="7876"/>
    <cellStyle name="Procent 10 4 2 2 2" xfId="18683"/>
    <cellStyle name="Procent 10 4 2 2 3" xfId="30040"/>
    <cellStyle name="Procent 10 4 2 3" xfId="13698"/>
    <cellStyle name="Procent 10 4 2 4" xfId="25056"/>
    <cellStyle name="Procent 10 4 3" xfId="4552"/>
    <cellStyle name="Procent 10 4 3 2" xfId="9537"/>
    <cellStyle name="Procent 10 4 3 2 2" xfId="20344"/>
    <cellStyle name="Procent 10 4 3 2 3" xfId="31701"/>
    <cellStyle name="Procent 10 4 3 3" xfId="15359"/>
    <cellStyle name="Procent 10 4 3 4" xfId="26717"/>
    <cellStyle name="Procent 10 4 4" xfId="6214"/>
    <cellStyle name="Procent 10 4 4 2" xfId="17022"/>
    <cellStyle name="Procent 10 4 4 3" xfId="28379"/>
    <cellStyle name="Procent 10 4 5" xfId="12037"/>
    <cellStyle name="Procent 10 4 6" xfId="23395"/>
    <cellStyle name="Procent 10 5" xfId="2058"/>
    <cellStyle name="Procent 10 5 2" xfId="7046"/>
    <cellStyle name="Procent 10 5 2 2" xfId="17854"/>
    <cellStyle name="Procent 10 5 2 3" xfId="29211"/>
    <cellStyle name="Procent 10 5 3" xfId="12869"/>
    <cellStyle name="Procent 10 5 4" xfId="24227"/>
    <cellStyle name="Procent 10 6" xfId="3723"/>
    <cellStyle name="Procent 10 6 2" xfId="8708"/>
    <cellStyle name="Procent 10 6 2 2" xfId="19515"/>
    <cellStyle name="Procent 10 6 2 3" xfId="30872"/>
    <cellStyle name="Procent 10 6 3" xfId="14530"/>
    <cellStyle name="Procent 10 6 4" xfId="25888"/>
    <cellStyle name="Procent 10 7" xfId="5384"/>
    <cellStyle name="Procent 10 7 2" xfId="16193"/>
    <cellStyle name="Procent 10 7 3" xfId="27550"/>
    <cellStyle name="Procent 10 8" xfId="10369"/>
    <cellStyle name="Procent 10 8 2" xfId="21176"/>
    <cellStyle name="Procent 10 8 3" xfId="32533"/>
    <cellStyle name="Procent 10 9" xfId="11203"/>
    <cellStyle name="Procent 11" xfId="173"/>
    <cellStyle name="Procent 12" xfId="454"/>
    <cellStyle name="Procent 12 2" xfId="1284"/>
    <cellStyle name="Procent 12 2 2" xfId="2949"/>
    <cellStyle name="Procent 12 2 2 2" xfId="7937"/>
    <cellStyle name="Procent 12 2 2 2 2" xfId="18744"/>
    <cellStyle name="Procent 12 2 2 2 3" xfId="30101"/>
    <cellStyle name="Procent 12 2 2 3" xfId="13759"/>
    <cellStyle name="Procent 12 2 2 4" xfId="25117"/>
    <cellStyle name="Procent 12 2 3" xfId="4613"/>
    <cellStyle name="Procent 12 2 3 2" xfId="9598"/>
    <cellStyle name="Procent 12 2 3 2 2" xfId="20405"/>
    <cellStyle name="Procent 12 2 3 2 3" xfId="31762"/>
    <cellStyle name="Procent 12 2 3 3" xfId="15420"/>
    <cellStyle name="Procent 12 2 3 4" xfId="26778"/>
    <cellStyle name="Procent 12 2 4" xfId="6275"/>
    <cellStyle name="Procent 12 2 4 2" xfId="17083"/>
    <cellStyle name="Procent 12 2 4 3" xfId="28440"/>
    <cellStyle name="Procent 12 2 5" xfId="12098"/>
    <cellStyle name="Procent 12 2 6" xfId="23456"/>
    <cellStyle name="Procent 12 3" xfId="2120"/>
    <cellStyle name="Procent 12 3 2" xfId="7108"/>
    <cellStyle name="Procent 12 3 2 2" xfId="17915"/>
    <cellStyle name="Procent 12 3 2 3" xfId="29272"/>
    <cellStyle name="Procent 12 3 3" xfId="12930"/>
    <cellStyle name="Procent 12 3 4" xfId="24288"/>
    <cellStyle name="Procent 12 4" xfId="3784"/>
    <cellStyle name="Procent 12 4 2" xfId="8769"/>
    <cellStyle name="Procent 12 4 2 2" xfId="19576"/>
    <cellStyle name="Procent 12 4 2 3" xfId="30933"/>
    <cellStyle name="Procent 12 4 3" xfId="14591"/>
    <cellStyle name="Procent 12 4 4" xfId="25949"/>
    <cellStyle name="Procent 12 5" xfId="5446"/>
    <cellStyle name="Procent 12 5 2" xfId="16254"/>
    <cellStyle name="Procent 12 5 3" xfId="27611"/>
    <cellStyle name="Procent 12 6" xfId="10435"/>
    <cellStyle name="Procent 12 6 2" xfId="21242"/>
    <cellStyle name="Procent 12 6 3" xfId="32599"/>
    <cellStyle name="Procent 12 7" xfId="11265"/>
    <cellStyle name="Procent 12 8" xfId="22071"/>
    <cellStyle name="Procent 12 9" xfId="22625"/>
    <cellStyle name="Procent 13" xfId="726"/>
    <cellStyle name="Procent 13 2" xfId="1558"/>
    <cellStyle name="Procent 13 2 2" xfId="3223"/>
    <cellStyle name="Procent 13 2 2 2" xfId="8211"/>
    <cellStyle name="Procent 13 2 2 2 2" xfId="19018"/>
    <cellStyle name="Procent 13 2 2 2 3" xfId="30375"/>
    <cellStyle name="Procent 13 2 2 3" xfId="14033"/>
    <cellStyle name="Procent 13 2 2 4" xfId="25391"/>
    <cellStyle name="Procent 13 2 3" xfId="4887"/>
    <cellStyle name="Procent 13 2 3 2" xfId="9872"/>
    <cellStyle name="Procent 13 2 3 2 2" xfId="20679"/>
    <cellStyle name="Procent 13 2 3 2 3" xfId="32036"/>
    <cellStyle name="Procent 13 2 3 3" xfId="15694"/>
    <cellStyle name="Procent 13 2 3 4" xfId="27052"/>
    <cellStyle name="Procent 13 2 4" xfId="6549"/>
    <cellStyle name="Procent 13 2 4 2" xfId="17357"/>
    <cellStyle name="Procent 13 2 4 3" xfId="28714"/>
    <cellStyle name="Procent 13 2 5" xfId="12372"/>
    <cellStyle name="Procent 13 2 6" xfId="23730"/>
    <cellStyle name="Procent 13 3" xfId="2392"/>
    <cellStyle name="Procent 13 3 2" xfId="7380"/>
    <cellStyle name="Procent 13 3 2 2" xfId="18187"/>
    <cellStyle name="Procent 13 3 2 3" xfId="29544"/>
    <cellStyle name="Procent 13 3 3" xfId="13202"/>
    <cellStyle name="Procent 13 3 4" xfId="24560"/>
    <cellStyle name="Procent 13 4" xfId="3487"/>
    <cellStyle name="Procent 13 5" xfId="4056"/>
    <cellStyle name="Procent 13 5 2" xfId="9041"/>
    <cellStyle name="Procent 13 5 2 2" xfId="19848"/>
    <cellStyle name="Procent 13 5 2 3" xfId="31205"/>
    <cellStyle name="Procent 13 5 3" xfId="14863"/>
    <cellStyle name="Procent 13 5 4" xfId="26221"/>
    <cellStyle name="Procent 13 6" xfId="5718"/>
    <cellStyle name="Procent 13 6 2" xfId="16526"/>
    <cellStyle name="Procent 13 6 3" xfId="27883"/>
    <cellStyle name="Procent 13 7" xfId="10705"/>
    <cellStyle name="Procent 13 7 2" xfId="21512"/>
    <cellStyle name="Procent 13 7 3" xfId="32869"/>
    <cellStyle name="Procent 13 8" xfId="11540"/>
    <cellStyle name="Procent 13 9" xfId="22899"/>
    <cellStyle name="Procent 14" xfId="1840"/>
    <cellStyle name="Procent 14 2" xfId="6828"/>
    <cellStyle name="Procent 14 2 2" xfId="17636"/>
    <cellStyle name="Procent 14 2 3" xfId="28993"/>
    <cellStyle name="Procent 14 3" xfId="12651"/>
    <cellStyle name="Procent 14 4" xfId="24009"/>
    <cellStyle name="Procent 15" xfId="3505"/>
    <cellStyle name="Procent 15 2" xfId="8490"/>
    <cellStyle name="Procent 15 2 2" xfId="19297"/>
    <cellStyle name="Procent 15 2 3" xfId="30654"/>
    <cellStyle name="Procent 15 3" xfId="14312"/>
    <cellStyle name="Procent 15 4" xfId="25670"/>
    <cellStyle name="Procent 16" xfId="5166"/>
    <cellStyle name="Procent 16 2" xfId="15975"/>
    <cellStyle name="Procent 16 3" xfId="27332"/>
    <cellStyle name="Procent 17" xfId="10151"/>
    <cellStyle name="Procent 17 2" xfId="20958"/>
    <cellStyle name="Procent 17 3" xfId="32315"/>
    <cellStyle name="Procent 18" xfId="10985"/>
    <cellStyle name="Procent 19" xfId="21792"/>
    <cellStyle name="Procent 2" xfId="48"/>
    <cellStyle name="Procent 2 2" xfId="49"/>
    <cellStyle name="Procent 2 2 2" xfId="94"/>
    <cellStyle name="Procent 2 2 2 2" xfId="415"/>
    <cellStyle name="Procent 2 2 3" xfId="402"/>
    <cellStyle name="Procent 2 3" xfId="66"/>
    <cellStyle name="Procent 2 3 2" xfId="95"/>
    <cellStyle name="Procent 2 3 2 2" xfId="416"/>
    <cellStyle name="Procent 2 3 3" xfId="407"/>
    <cellStyle name="Procent 2 4" xfId="93"/>
    <cellStyle name="Procent 2 4 10" xfId="3533"/>
    <cellStyle name="Procent 2 4 10 2" xfId="8518"/>
    <cellStyle name="Procent 2 4 10 2 2" xfId="19325"/>
    <cellStyle name="Procent 2 4 10 2 3" xfId="30682"/>
    <cellStyle name="Procent 2 4 10 3" xfId="14340"/>
    <cellStyle name="Procent 2 4 10 4" xfId="25698"/>
    <cellStyle name="Procent 2 4 11" xfId="5194"/>
    <cellStyle name="Procent 2 4 11 2" xfId="16003"/>
    <cellStyle name="Procent 2 4 11 3" xfId="27360"/>
    <cellStyle name="Procent 2 4 12" xfId="10178"/>
    <cellStyle name="Procent 2 4 12 2" xfId="20985"/>
    <cellStyle name="Procent 2 4 12 3" xfId="32342"/>
    <cellStyle name="Procent 2 4 13" xfId="11012"/>
    <cellStyle name="Procent 2 4 14" xfId="21819"/>
    <cellStyle name="Procent 2 4 15" xfId="22372"/>
    <cellStyle name="Procent 2 4 16" xfId="33175"/>
    <cellStyle name="Procent 2 4 17" xfId="33444"/>
    <cellStyle name="Procent 2 4 18" xfId="33715"/>
    <cellStyle name="Procent 2 4 2" xfId="215"/>
    <cellStyle name="Procent 2 4 2 10" xfId="21873"/>
    <cellStyle name="Procent 2 4 2 11" xfId="22426"/>
    <cellStyle name="Procent 2 4 2 12" xfId="33229"/>
    <cellStyle name="Procent 2 4 2 13" xfId="33504"/>
    <cellStyle name="Procent 2 4 2 14" xfId="33775"/>
    <cellStyle name="Procent 2 4 2 2" xfId="533"/>
    <cellStyle name="Procent 2 4 2 2 2" xfId="1365"/>
    <cellStyle name="Procent 2 4 2 2 2 2" xfId="3030"/>
    <cellStyle name="Procent 2 4 2 2 2 2 2" xfId="8018"/>
    <cellStyle name="Procent 2 4 2 2 2 2 2 2" xfId="18825"/>
    <cellStyle name="Procent 2 4 2 2 2 2 2 3" xfId="30182"/>
    <cellStyle name="Procent 2 4 2 2 2 2 3" xfId="13840"/>
    <cellStyle name="Procent 2 4 2 2 2 2 4" xfId="25198"/>
    <cellStyle name="Procent 2 4 2 2 2 3" xfId="4694"/>
    <cellStyle name="Procent 2 4 2 2 2 3 2" xfId="9679"/>
    <cellStyle name="Procent 2 4 2 2 2 3 2 2" xfId="20486"/>
    <cellStyle name="Procent 2 4 2 2 2 3 2 3" xfId="31843"/>
    <cellStyle name="Procent 2 4 2 2 2 3 3" xfId="15501"/>
    <cellStyle name="Procent 2 4 2 2 2 3 4" xfId="26859"/>
    <cellStyle name="Procent 2 4 2 2 2 4" xfId="6356"/>
    <cellStyle name="Procent 2 4 2 2 2 4 2" xfId="17164"/>
    <cellStyle name="Procent 2 4 2 2 2 4 3" xfId="28521"/>
    <cellStyle name="Procent 2 4 2 2 2 5" xfId="12179"/>
    <cellStyle name="Procent 2 4 2 2 2 6" xfId="23537"/>
    <cellStyle name="Procent 2 4 2 2 3" xfId="2199"/>
    <cellStyle name="Procent 2 4 2 2 3 2" xfId="7187"/>
    <cellStyle name="Procent 2 4 2 2 3 2 2" xfId="17994"/>
    <cellStyle name="Procent 2 4 2 2 3 2 3" xfId="29351"/>
    <cellStyle name="Procent 2 4 2 2 3 3" xfId="13009"/>
    <cellStyle name="Procent 2 4 2 2 3 4" xfId="24367"/>
    <cellStyle name="Procent 2 4 2 2 4" xfId="3863"/>
    <cellStyle name="Procent 2 4 2 2 4 2" xfId="8848"/>
    <cellStyle name="Procent 2 4 2 2 4 2 2" xfId="19655"/>
    <cellStyle name="Procent 2 4 2 2 4 2 3" xfId="31012"/>
    <cellStyle name="Procent 2 4 2 2 4 3" xfId="14670"/>
    <cellStyle name="Procent 2 4 2 2 4 4" xfId="26028"/>
    <cellStyle name="Procent 2 4 2 2 5" xfId="5525"/>
    <cellStyle name="Procent 2 4 2 2 5 2" xfId="16333"/>
    <cellStyle name="Procent 2 4 2 2 5 3" xfId="27690"/>
    <cellStyle name="Procent 2 4 2 2 6" xfId="10512"/>
    <cellStyle name="Procent 2 4 2 2 6 2" xfId="21319"/>
    <cellStyle name="Procent 2 4 2 2 6 3" xfId="32676"/>
    <cellStyle name="Procent 2 4 2 2 7" xfId="11346"/>
    <cellStyle name="Procent 2 4 2 2 8" xfId="22152"/>
    <cellStyle name="Procent 2 4 2 2 9" xfId="22706"/>
    <cellStyle name="Procent 2 4 2 3" xfId="807"/>
    <cellStyle name="Procent 2 4 2 3 2" xfId="1639"/>
    <cellStyle name="Procent 2 4 2 3 2 2" xfId="3304"/>
    <cellStyle name="Procent 2 4 2 3 2 2 2" xfId="8292"/>
    <cellStyle name="Procent 2 4 2 3 2 2 2 2" xfId="19099"/>
    <cellStyle name="Procent 2 4 2 3 2 2 2 3" xfId="30456"/>
    <cellStyle name="Procent 2 4 2 3 2 2 3" xfId="14114"/>
    <cellStyle name="Procent 2 4 2 3 2 2 4" xfId="25472"/>
    <cellStyle name="Procent 2 4 2 3 2 3" xfId="4968"/>
    <cellStyle name="Procent 2 4 2 3 2 3 2" xfId="9953"/>
    <cellStyle name="Procent 2 4 2 3 2 3 2 2" xfId="20760"/>
    <cellStyle name="Procent 2 4 2 3 2 3 2 3" xfId="32117"/>
    <cellStyle name="Procent 2 4 2 3 2 3 3" xfId="15775"/>
    <cellStyle name="Procent 2 4 2 3 2 3 4" xfId="27133"/>
    <cellStyle name="Procent 2 4 2 3 2 4" xfId="6630"/>
    <cellStyle name="Procent 2 4 2 3 2 4 2" xfId="17438"/>
    <cellStyle name="Procent 2 4 2 3 2 4 3" xfId="28795"/>
    <cellStyle name="Procent 2 4 2 3 2 5" xfId="12453"/>
    <cellStyle name="Procent 2 4 2 3 2 6" xfId="23811"/>
    <cellStyle name="Procent 2 4 2 3 3" xfId="2473"/>
    <cellStyle name="Procent 2 4 2 3 3 2" xfId="7461"/>
    <cellStyle name="Procent 2 4 2 3 3 2 2" xfId="18268"/>
    <cellStyle name="Procent 2 4 2 3 3 2 3" xfId="29625"/>
    <cellStyle name="Procent 2 4 2 3 3 3" xfId="13283"/>
    <cellStyle name="Procent 2 4 2 3 3 4" xfId="24641"/>
    <cellStyle name="Procent 2 4 2 3 4" xfId="4137"/>
    <cellStyle name="Procent 2 4 2 3 4 2" xfId="9122"/>
    <cellStyle name="Procent 2 4 2 3 4 2 2" xfId="19929"/>
    <cellStyle name="Procent 2 4 2 3 4 2 3" xfId="31286"/>
    <cellStyle name="Procent 2 4 2 3 4 3" xfId="14944"/>
    <cellStyle name="Procent 2 4 2 3 4 4" xfId="26302"/>
    <cellStyle name="Procent 2 4 2 3 5" xfId="5799"/>
    <cellStyle name="Procent 2 4 2 3 5 2" xfId="16607"/>
    <cellStyle name="Procent 2 4 2 3 5 3" xfId="27964"/>
    <cellStyle name="Procent 2 4 2 3 6" xfId="10786"/>
    <cellStyle name="Procent 2 4 2 3 6 2" xfId="21593"/>
    <cellStyle name="Procent 2 4 2 3 6 3" xfId="32950"/>
    <cellStyle name="Procent 2 4 2 3 7" xfId="11621"/>
    <cellStyle name="Procent 2 4 2 3 8" xfId="22980"/>
    <cellStyle name="Procent 2 4 2 4" xfId="1086"/>
    <cellStyle name="Procent 2 4 2 4 2" xfId="2751"/>
    <cellStyle name="Procent 2 4 2 4 2 2" xfId="7739"/>
    <cellStyle name="Procent 2 4 2 4 2 2 2" xfId="18546"/>
    <cellStyle name="Procent 2 4 2 4 2 2 3" xfId="29903"/>
    <cellStyle name="Procent 2 4 2 4 2 3" xfId="13561"/>
    <cellStyle name="Procent 2 4 2 4 2 4" xfId="24919"/>
    <cellStyle name="Procent 2 4 2 4 3" xfId="4415"/>
    <cellStyle name="Procent 2 4 2 4 3 2" xfId="9400"/>
    <cellStyle name="Procent 2 4 2 4 3 2 2" xfId="20207"/>
    <cellStyle name="Procent 2 4 2 4 3 2 3" xfId="31564"/>
    <cellStyle name="Procent 2 4 2 4 3 3" xfId="15222"/>
    <cellStyle name="Procent 2 4 2 4 3 4" xfId="26580"/>
    <cellStyle name="Procent 2 4 2 4 4" xfId="6077"/>
    <cellStyle name="Procent 2 4 2 4 4 2" xfId="16885"/>
    <cellStyle name="Procent 2 4 2 4 4 3" xfId="28242"/>
    <cellStyle name="Procent 2 4 2 4 5" xfId="11900"/>
    <cellStyle name="Procent 2 4 2 4 6" xfId="23258"/>
    <cellStyle name="Procent 2 4 2 5" xfId="1921"/>
    <cellStyle name="Procent 2 4 2 5 2" xfId="6909"/>
    <cellStyle name="Procent 2 4 2 5 2 2" xfId="17717"/>
    <cellStyle name="Procent 2 4 2 5 2 3" xfId="29074"/>
    <cellStyle name="Procent 2 4 2 5 3" xfId="12732"/>
    <cellStyle name="Procent 2 4 2 5 4" xfId="24090"/>
    <cellStyle name="Procent 2 4 2 6" xfId="3586"/>
    <cellStyle name="Procent 2 4 2 6 2" xfId="8571"/>
    <cellStyle name="Procent 2 4 2 6 2 2" xfId="19378"/>
    <cellStyle name="Procent 2 4 2 6 2 3" xfId="30735"/>
    <cellStyle name="Procent 2 4 2 6 3" xfId="14393"/>
    <cellStyle name="Procent 2 4 2 6 4" xfId="25751"/>
    <cellStyle name="Procent 2 4 2 7" xfId="5247"/>
    <cellStyle name="Procent 2 4 2 7 2" xfId="16056"/>
    <cellStyle name="Procent 2 4 2 7 3" xfId="27413"/>
    <cellStyle name="Procent 2 4 2 8" xfId="10232"/>
    <cellStyle name="Procent 2 4 2 8 2" xfId="21039"/>
    <cellStyle name="Procent 2 4 2 8 3" xfId="32396"/>
    <cellStyle name="Procent 2 4 2 9" xfId="11066"/>
    <cellStyle name="Procent 2 4 3" xfId="270"/>
    <cellStyle name="Procent 2 4 3 10" xfId="21927"/>
    <cellStyle name="Procent 2 4 3 11" xfId="22480"/>
    <cellStyle name="Procent 2 4 3 12" xfId="33283"/>
    <cellStyle name="Procent 2 4 3 13" xfId="33558"/>
    <cellStyle name="Procent 2 4 3 14" xfId="33829"/>
    <cellStyle name="Procent 2 4 3 2" xfId="587"/>
    <cellStyle name="Procent 2 4 3 2 2" xfId="1419"/>
    <cellStyle name="Procent 2 4 3 2 2 2" xfId="3084"/>
    <cellStyle name="Procent 2 4 3 2 2 2 2" xfId="8072"/>
    <cellStyle name="Procent 2 4 3 2 2 2 2 2" xfId="18879"/>
    <cellStyle name="Procent 2 4 3 2 2 2 2 3" xfId="30236"/>
    <cellStyle name="Procent 2 4 3 2 2 2 3" xfId="13894"/>
    <cellStyle name="Procent 2 4 3 2 2 2 4" xfId="25252"/>
    <cellStyle name="Procent 2 4 3 2 2 3" xfId="4748"/>
    <cellStyle name="Procent 2 4 3 2 2 3 2" xfId="9733"/>
    <cellStyle name="Procent 2 4 3 2 2 3 2 2" xfId="20540"/>
    <cellStyle name="Procent 2 4 3 2 2 3 2 3" xfId="31897"/>
    <cellStyle name="Procent 2 4 3 2 2 3 3" xfId="15555"/>
    <cellStyle name="Procent 2 4 3 2 2 3 4" xfId="26913"/>
    <cellStyle name="Procent 2 4 3 2 2 4" xfId="6410"/>
    <cellStyle name="Procent 2 4 3 2 2 4 2" xfId="17218"/>
    <cellStyle name="Procent 2 4 3 2 2 4 3" xfId="28575"/>
    <cellStyle name="Procent 2 4 3 2 2 5" xfId="12233"/>
    <cellStyle name="Procent 2 4 3 2 2 6" xfId="23591"/>
    <cellStyle name="Procent 2 4 3 2 3" xfId="2253"/>
    <cellStyle name="Procent 2 4 3 2 3 2" xfId="7241"/>
    <cellStyle name="Procent 2 4 3 2 3 2 2" xfId="18048"/>
    <cellStyle name="Procent 2 4 3 2 3 2 3" xfId="29405"/>
    <cellStyle name="Procent 2 4 3 2 3 3" xfId="13063"/>
    <cellStyle name="Procent 2 4 3 2 3 4" xfId="24421"/>
    <cellStyle name="Procent 2 4 3 2 4" xfId="3917"/>
    <cellStyle name="Procent 2 4 3 2 4 2" xfId="8902"/>
    <cellStyle name="Procent 2 4 3 2 4 2 2" xfId="19709"/>
    <cellStyle name="Procent 2 4 3 2 4 2 3" xfId="31066"/>
    <cellStyle name="Procent 2 4 3 2 4 3" xfId="14724"/>
    <cellStyle name="Procent 2 4 3 2 4 4" xfId="26082"/>
    <cellStyle name="Procent 2 4 3 2 5" xfId="5579"/>
    <cellStyle name="Procent 2 4 3 2 5 2" xfId="16387"/>
    <cellStyle name="Procent 2 4 3 2 5 3" xfId="27744"/>
    <cellStyle name="Procent 2 4 3 2 6" xfId="10566"/>
    <cellStyle name="Procent 2 4 3 2 6 2" xfId="21373"/>
    <cellStyle name="Procent 2 4 3 2 6 3" xfId="32730"/>
    <cellStyle name="Procent 2 4 3 2 7" xfId="11400"/>
    <cellStyle name="Procent 2 4 3 2 8" xfId="22206"/>
    <cellStyle name="Procent 2 4 3 2 9" xfId="22760"/>
    <cellStyle name="Procent 2 4 3 3" xfId="861"/>
    <cellStyle name="Procent 2 4 3 3 2" xfId="1693"/>
    <cellStyle name="Procent 2 4 3 3 2 2" xfId="3358"/>
    <cellStyle name="Procent 2 4 3 3 2 2 2" xfId="8346"/>
    <cellStyle name="Procent 2 4 3 3 2 2 2 2" xfId="19153"/>
    <cellStyle name="Procent 2 4 3 3 2 2 2 3" xfId="30510"/>
    <cellStyle name="Procent 2 4 3 3 2 2 3" xfId="14168"/>
    <cellStyle name="Procent 2 4 3 3 2 2 4" xfId="25526"/>
    <cellStyle name="Procent 2 4 3 3 2 3" xfId="5022"/>
    <cellStyle name="Procent 2 4 3 3 2 3 2" xfId="10007"/>
    <cellStyle name="Procent 2 4 3 3 2 3 2 2" xfId="20814"/>
    <cellStyle name="Procent 2 4 3 3 2 3 2 3" xfId="32171"/>
    <cellStyle name="Procent 2 4 3 3 2 3 3" xfId="15829"/>
    <cellStyle name="Procent 2 4 3 3 2 3 4" xfId="27187"/>
    <cellStyle name="Procent 2 4 3 3 2 4" xfId="6684"/>
    <cellStyle name="Procent 2 4 3 3 2 4 2" xfId="17492"/>
    <cellStyle name="Procent 2 4 3 3 2 4 3" xfId="28849"/>
    <cellStyle name="Procent 2 4 3 3 2 5" xfId="12507"/>
    <cellStyle name="Procent 2 4 3 3 2 6" xfId="23865"/>
    <cellStyle name="Procent 2 4 3 3 3" xfId="2527"/>
    <cellStyle name="Procent 2 4 3 3 3 2" xfId="7515"/>
    <cellStyle name="Procent 2 4 3 3 3 2 2" xfId="18322"/>
    <cellStyle name="Procent 2 4 3 3 3 2 3" xfId="29679"/>
    <cellStyle name="Procent 2 4 3 3 3 3" xfId="13337"/>
    <cellStyle name="Procent 2 4 3 3 3 4" xfId="24695"/>
    <cellStyle name="Procent 2 4 3 3 4" xfId="4191"/>
    <cellStyle name="Procent 2 4 3 3 4 2" xfId="9176"/>
    <cellStyle name="Procent 2 4 3 3 4 2 2" xfId="19983"/>
    <cellStyle name="Procent 2 4 3 3 4 2 3" xfId="31340"/>
    <cellStyle name="Procent 2 4 3 3 4 3" xfId="14998"/>
    <cellStyle name="Procent 2 4 3 3 4 4" xfId="26356"/>
    <cellStyle name="Procent 2 4 3 3 5" xfId="5853"/>
    <cellStyle name="Procent 2 4 3 3 5 2" xfId="16661"/>
    <cellStyle name="Procent 2 4 3 3 5 3" xfId="28018"/>
    <cellStyle name="Procent 2 4 3 3 6" xfId="10840"/>
    <cellStyle name="Procent 2 4 3 3 6 2" xfId="21647"/>
    <cellStyle name="Procent 2 4 3 3 6 3" xfId="33004"/>
    <cellStyle name="Procent 2 4 3 3 7" xfId="11675"/>
    <cellStyle name="Procent 2 4 3 3 8" xfId="23034"/>
    <cellStyle name="Procent 2 4 3 4" xfId="1140"/>
    <cellStyle name="Procent 2 4 3 4 2" xfId="2805"/>
    <cellStyle name="Procent 2 4 3 4 2 2" xfId="7793"/>
    <cellStyle name="Procent 2 4 3 4 2 2 2" xfId="18600"/>
    <cellStyle name="Procent 2 4 3 4 2 2 3" xfId="29957"/>
    <cellStyle name="Procent 2 4 3 4 2 3" xfId="13615"/>
    <cellStyle name="Procent 2 4 3 4 2 4" xfId="24973"/>
    <cellStyle name="Procent 2 4 3 4 3" xfId="4469"/>
    <cellStyle name="Procent 2 4 3 4 3 2" xfId="9454"/>
    <cellStyle name="Procent 2 4 3 4 3 2 2" xfId="20261"/>
    <cellStyle name="Procent 2 4 3 4 3 2 3" xfId="31618"/>
    <cellStyle name="Procent 2 4 3 4 3 3" xfId="15276"/>
    <cellStyle name="Procent 2 4 3 4 3 4" xfId="26634"/>
    <cellStyle name="Procent 2 4 3 4 4" xfId="6131"/>
    <cellStyle name="Procent 2 4 3 4 4 2" xfId="16939"/>
    <cellStyle name="Procent 2 4 3 4 4 3" xfId="28296"/>
    <cellStyle name="Procent 2 4 3 4 5" xfId="11954"/>
    <cellStyle name="Procent 2 4 3 4 6" xfId="23312"/>
    <cellStyle name="Procent 2 4 3 5" xfId="1975"/>
    <cellStyle name="Procent 2 4 3 5 2" xfId="6963"/>
    <cellStyle name="Procent 2 4 3 5 2 2" xfId="17771"/>
    <cellStyle name="Procent 2 4 3 5 2 3" xfId="29128"/>
    <cellStyle name="Procent 2 4 3 5 3" xfId="12786"/>
    <cellStyle name="Procent 2 4 3 5 4" xfId="24144"/>
    <cellStyle name="Procent 2 4 3 6" xfId="3640"/>
    <cellStyle name="Procent 2 4 3 6 2" xfId="8625"/>
    <cellStyle name="Procent 2 4 3 6 2 2" xfId="19432"/>
    <cellStyle name="Procent 2 4 3 6 2 3" xfId="30789"/>
    <cellStyle name="Procent 2 4 3 6 3" xfId="14447"/>
    <cellStyle name="Procent 2 4 3 6 4" xfId="25805"/>
    <cellStyle name="Procent 2 4 3 7" xfId="5301"/>
    <cellStyle name="Procent 2 4 3 7 2" xfId="16110"/>
    <cellStyle name="Procent 2 4 3 7 3" xfId="27467"/>
    <cellStyle name="Procent 2 4 3 8" xfId="10286"/>
    <cellStyle name="Procent 2 4 3 8 2" xfId="21093"/>
    <cellStyle name="Procent 2 4 3 8 3" xfId="32450"/>
    <cellStyle name="Procent 2 4 3 9" xfId="11120"/>
    <cellStyle name="Procent 2 4 4" xfId="325"/>
    <cellStyle name="Procent 2 4 4 10" xfId="21982"/>
    <cellStyle name="Procent 2 4 4 11" xfId="22535"/>
    <cellStyle name="Procent 2 4 4 12" xfId="33338"/>
    <cellStyle name="Procent 2 4 4 13" xfId="33613"/>
    <cellStyle name="Procent 2 4 4 14" xfId="33884"/>
    <cellStyle name="Procent 2 4 4 2" xfId="642"/>
    <cellStyle name="Procent 2 4 4 2 2" xfId="1474"/>
    <cellStyle name="Procent 2 4 4 2 2 2" xfId="3139"/>
    <cellStyle name="Procent 2 4 4 2 2 2 2" xfId="8127"/>
    <cellStyle name="Procent 2 4 4 2 2 2 2 2" xfId="18934"/>
    <cellStyle name="Procent 2 4 4 2 2 2 2 3" xfId="30291"/>
    <cellStyle name="Procent 2 4 4 2 2 2 3" xfId="13949"/>
    <cellStyle name="Procent 2 4 4 2 2 2 4" xfId="25307"/>
    <cellStyle name="Procent 2 4 4 2 2 3" xfId="4803"/>
    <cellStyle name="Procent 2 4 4 2 2 3 2" xfId="9788"/>
    <cellStyle name="Procent 2 4 4 2 2 3 2 2" xfId="20595"/>
    <cellStyle name="Procent 2 4 4 2 2 3 2 3" xfId="31952"/>
    <cellStyle name="Procent 2 4 4 2 2 3 3" xfId="15610"/>
    <cellStyle name="Procent 2 4 4 2 2 3 4" xfId="26968"/>
    <cellStyle name="Procent 2 4 4 2 2 4" xfId="6465"/>
    <cellStyle name="Procent 2 4 4 2 2 4 2" xfId="17273"/>
    <cellStyle name="Procent 2 4 4 2 2 4 3" xfId="28630"/>
    <cellStyle name="Procent 2 4 4 2 2 5" xfId="12288"/>
    <cellStyle name="Procent 2 4 4 2 2 6" xfId="23646"/>
    <cellStyle name="Procent 2 4 4 2 3" xfId="2308"/>
    <cellStyle name="Procent 2 4 4 2 3 2" xfId="7296"/>
    <cellStyle name="Procent 2 4 4 2 3 2 2" xfId="18103"/>
    <cellStyle name="Procent 2 4 4 2 3 2 3" xfId="29460"/>
    <cellStyle name="Procent 2 4 4 2 3 3" xfId="13118"/>
    <cellStyle name="Procent 2 4 4 2 3 4" xfId="24476"/>
    <cellStyle name="Procent 2 4 4 2 4" xfId="3972"/>
    <cellStyle name="Procent 2 4 4 2 4 2" xfId="8957"/>
    <cellStyle name="Procent 2 4 4 2 4 2 2" xfId="19764"/>
    <cellStyle name="Procent 2 4 4 2 4 2 3" xfId="31121"/>
    <cellStyle name="Procent 2 4 4 2 4 3" xfId="14779"/>
    <cellStyle name="Procent 2 4 4 2 4 4" xfId="26137"/>
    <cellStyle name="Procent 2 4 4 2 5" xfId="5634"/>
    <cellStyle name="Procent 2 4 4 2 5 2" xfId="16442"/>
    <cellStyle name="Procent 2 4 4 2 5 3" xfId="27799"/>
    <cellStyle name="Procent 2 4 4 2 6" xfId="10621"/>
    <cellStyle name="Procent 2 4 4 2 6 2" xfId="21428"/>
    <cellStyle name="Procent 2 4 4 2 6 3" xfId="32785"/>
    <cellStyle name="Procent 2 4 4 2 7" xfId="11455"/>
    <cellStyle name="Procent 2 4 4 2 8" xfId="22261"/>
    <cellStyle name="Procent 2 4 4 2 9" xfId="22815"/>
    <cellStyle name="Procent 2 4 4 3" xfId="916"/>
    <cellStyle name="Procent 2 4 4 3 2" xfId="1748"/>
    <cellStyle name="Procent 2 4 4 3 2 2" xfId="3413"/>
    <cellStyle name="Procent 2 4 4 3 2 2 2" xfId="8401"/>
    <cellStyle name="Procent 2 4 4 3 2 2 2 2" xfId="19208"/>
    <cellStyle name="Procent 2 4 4 3 2 2 2 3" xfId="30565"/>
    <cellStyle name="Procent 2 4 4 3 2 2 3" xfId="14223"/>
    <cellStyle name="Procent 2 4 4 3 2 2 4" xfId="25581"/>
    <cellStyle name="Procent 2 4 4 3 2 3" xfId="5077"/>
    <cellStyle name="Procent 2 4 4 3 2 3 2" xfId="10062"/>
    <cellStyle name="Procent 2 4 4 3 2 3 2 2" xfId="20869"/>
    <cellStyle name="Procent 2 4 4 3 2 3 2 3" xfId="32226"/>
    <cellStyle name="Procent 2 4 4 3 2 3 3" xfId="15884"/>
    <cellStyle name="Procent 2 4 4 3 2 3 4" xfId="27242"/>
    <cellStyle name="Procent 2 4 4 3 2 4" xfId="6739"/>
    <cellStyle name="Procent 2 4 4 3 2 4 2" xfId="17547"/>
    <cellStyle name="Procent 2 4 4 3 2 4 3" xfId="28904"/>
    <cellStyle name="Procent 2 4 4 3 2 5" xfId="12562"/>
    <cellStyle name="Procent 2 4 4 3 2 6" xfId="23920"/>
    <cellStyle name="Procent 2 4 4 3 3" xfId="2582"/>
    <cellStyle name="Procent 2 4 4 3 3 2" xfId="7570"/>
    <cellStyle name="Procent 2 4 4 3 3 2 2" xfId="18377"/>
    <cellStyle name="Procent 2 4 4 3 3 2 3" xfId="29734"/>
    <cellStyle name="Procent 2 4 4 3 3 3" xfId="13392"/>
    <cellStyle name="Procent 2 4 4 3 3 4" xfId="24750"/>
    <cellStyle name="Procent 2 4 4 3 4" xfId="4246"/>
    <cellStyle name="Procent 2 4 4 3 4 2" xfId="9231"/>
    <cellStyle name="Procent 2 4 4 3 4 2 2" xfId="20038"/>
    <cellStyle name="Procent 2 4 4 3 4 2 3" xfId="31395"/>
    <cellStyle name="Procent 2 4 4 3 4 3" xfId="15053"/>
    <cellStyle name="Procent 2 4 4 3 4 4" xfId="26411"/>
    <cellStyle name="Procent 2 4 4 3 5" xfId="5908"/>
    <cellStyle name="Procent 2 4 4 3 5 2" xfId="16716"/>
    <cellStyle name="Procent 2 4 4 3 5 3" xfId="28073"/>
    <cellStyle name="Procent 2 4 4 3 6" xfId="10895"/>
    <cellStyle name="Procent 2 4 4 3 6 2" xfId="21702"/>
    <cellStyle name="Procent 2 4 4 3 6 3" xfId="33059"/>
    <cellStyle name="Procent 2 4 4 3 7" xfId="11730"/>
    <cellStyle name="Procent 2 4 4 3 8" xfId="23089"/>
    <cellStyle name="Procent 2 4 4 4" xfId="1195"/>
    <cellStyle name="Procent 2 4 4 4 2" xfId="2860"/>
    <cellStyle name="Procent 2 4 4 4 2 2" xfId="7848"/>
    <cellStyle name="Procent 2 4 4 4 2 2 2" xfId="18655"/>
    <cellStyle name="Procent 2 4 4 4 2 2 3" xfId="30012"/>
    <cellStyle name="Procent 2 4 4 4 2 3" xfId="13670"/>
    <cellStyle name="Procent 2 4 4 4 2 4" xfId="25028"/>
    <cellStyle name="Procent 2 4 4 4 3" xfId="4524"/>
    <cellStyle name="Procent 2 4 4 4 3 2" xfId="9509"/>
    <cellStyle name="Procent 2 4 4 4 3 2 2" xfId="20316"/>
    <cellStyle name="Procent 2 4 4 4 3 2 3" xfId="31673"/>
    <cellStyle name="Procent 2 4 4 4 3 3" xfId="15331"/>
    <cellStyle name="Procent 2 4 4 4 3 4" xfId="26689"/>
    <cellStyle name="Procent 2 4 4 4 4" xfId="6186"/>
    <cellStyle name="Procent 2 4 4 4 4 2" xfId="16994"/>
    <cellStyle name="Procent 2 4 4 4 4 3" xfId="28351"/>
    <cellStyle name="Procent 2 4 4 4 5" xfId="12009"/>
    <cellStyle name="Procent 2 4 4 4 6" xfId="23367"/>
    <cellStyle name="Procent 2 4 4 5" xfId="2030"/>
    <cellStyle name="Procent 2 4 4 5 2" xfId="7018"/>
    <cellStyle name="Procent 2 4 4 5 2 2" xfId="17826"/>
    <cellStyle name="Procent 2 4 4 5 2 3" xfId="29183"/>
    <cellStyle name="Procent 2 4 4 5 3" xfId="12841"/>
    <cellStyle name="Procent 2 4 4 5 4" xfId="24199"/>
    <cellStyle name="Procent 2 4 4 6" xfId="3695"/>
    <cellStyle name="Procent 2 4 4 6 2" xfId="8680"/>
    <cellStyle name="Procent 2 4 4 6 2 2" xfId="19487"/>
    <cellStyle name="Procent 2 4 4 6 2 3" xfId="30844"/>
    <cellStyle name="Procent 2 4 4 6 3" xfId="14502"/>
    <cellStyle name="Procent 2 4 4 6 4" xfId="25860"/>
    <cellStyle name="Procent 2 4 4 7" xfId="5356"/>
    <cellStyle name="Procent 2 4 4 7 2" xfId="16165"/>
    <cellStyle name="Procent 2 4 4 7 3" xfId="27522"/>
    <cellStyle name="Procent 2 4 4 8" xfId="10341"/>
    <cellStyle name="Procent 2 4 4 8 2" xfId="21148"/>
    <cellStyle name="Procent 2 4 4 8 3" xfId="32505"/>
    <cellStyle name="Procent 2 4 4 9" xfId="11175"/>
    <cellStyle name="Procent 2 4 5" xfId="381"/>
    <cellStyle name="Procent 2 4 5 10" xfId="22038"/>
    <cellStyle name="Procent 2 4 5 11" xfId="22591"/>
    <cellStyle name="Procent 2 4 5 12" xfId="33394"/>
    <cellStyle name="Procent 2 4 5 13" xfId="33669"/>
    <cellStyle name="Procent 2 4 5 14" xfId="33940"/>
    <cellStyle name="Procent 2 4 5 2" xfId="698"/>
    <cellStyle name="Procent 2 4 5 2 2" xfId="1530"/>
    <cellStyle name="Procent 2 4 5 2 2 2" xfId="3195"/>
    <cellStyle name="Procent 2 4 5 2 2 2 2" xfId="8183"/>
    <cellStyle name="Procent 2 4 5 2 2 2 2 2" xfId="18990"/>
    <cellStyle name="Procent 2 4 5 2 2 2 2 3" xfId="30347"/>
    <cellStyle name="Procent 2 4 5 2 2 2 3" xfId="14005"/>
    <cellStyle name="Procent 2 4 5 2 2 2 4" xfId="25363"/>
    <cellStyle name="Procent 2 4 5 2 2 3" xfId="4859"/>
    <cellStyle name="Procent 2 4 5 2 2 3 2" xfId="9844"/>
    <cellStyle name="Procent 2 4 5 2 2 3 2 2" xfId="20651"/>
    <cellStyle name="Procent 2 4 5 2 2 3 2 3" xfId="32008"/>
    <cellStyle name="Procent 2 4 5 2 2 3 3" xfId="15666"/>
    <cellStyle name="Procent 2 4 5 2 2 3 4" xfId="27024"/>
    <cellStyle name="Procent 2 4 5 2 2 4" xfId="6521"/>
    <cellStyle name="Procent 2 4 5 2 2 4 2" xfId="17329"/>
    <cellStyle name="Procent 2 4 5 2 2 4 3" xfId="28686"/>
    <cellStyle name="Procent 2 4 5 2 2 5" xfId="12344"/>
    <cellStyle name="Procent 2 4 5 2 2 6" xfId="23702"/>
    <cellStyle name="Procent 2 4 5 2 3" xfId="2364"/>
    <cellStyle name="Procent 2 4 5 2 3 2" xfId="7352"/>
    <cellStyle name="Procent 2 4 5 2 3 2 2" xfId="18159"/>
    <cellStyle name="Procent 2 4 5 2 3 2 3" xfId="29516"/>
    <cellStyle name="Procent 2 4 5 2 3 3" xfId="13174"/>
    <cellStyle name="Procent 2 4 5 2 3 4" xfId="24532"/>
    <cellStyle name="Procent 2 4 5 2 4" xfId="4028"/>
    <cellStyle name="Procent 2 4 5 2 4 2" xfId="9013"/>
    <cellStyle name="Procent 2 4 5 2 4 2 2" xfId="19820"/>
    <cellStyle name="Procent 2 4 5 2 4 2 3" xfId="31177"/>
    <cellStyle name="Procent 2 4 5 2 4 3" xfId="14835"/>
    <cellStyle name="Procent 2 4 5 2 4 4" xfId="26193"/>
    <cellStyle name="Procent 2 4 5 2 5" xfId="5690"/>
    <cellStyle name="Procent 2 4 5 2 5 2" xfId="16498"/>
    <cellStyle name="Procent 2 4 5 2 5 3" xfId="27855"/>
    <cellStyle name="Procent 2 4 5 2 6" xfId="10677"/>
    <cellStyle name="Procent 2 4 5 2 6 2" xfId="21484"/>
    <cellStyle name="Procent 2 4 5 2 6 3" xfId="32841"/>
    <cellStyle name="Procent 2 4 5 2 7" xfId="11511"/>
    <cellStyle name="Procent 2 4 5 2 8" xfId="22317"/>
    <cellStyle name="Procent 2 4 5 2 9" xfId="22871"/>
    <cellStyle name="Procent 2 4 5 3" xfId="972"/>
    <cellStyle name="Procent 2 4 5 3 2" xfId="1804"/>
    <cellStyle name="Procent 2 4 5 3 2 2" xfId="3469"/>
    <cellStyle name="Procent 2 4 5 3 2 2 2" xfId="8457"/>
    <cellStyle name="Procent 2 4 5 3 2 2 2 2" xfId="19264"/>
    <cellStyle name="Procent 2 4 5 3 2 2 2 3" xfId="30621"/>
    <cellStyle name="Procent 2 4 5 3 2 2 3" xfId="14279"/>
    <cellStyle name="Procent 2 4 5 3 2 2 4" xfId="25637"/>
    <cellStyle name="Procent 2 4 5 3 2 3" xfId="5133"/>
    <cellStyle name="Procent 2 4 5 3 2 3 2" xfId="10118"/>
    <cellStyle name="Procent 2 4 5 3 2 3 2 2" xfId="20925"/>
    <cellStyle name="Procent 2 4 5 3 2 3 2 3" xfId="32282"/>
    <cellStyle name="Procent 2 4 5 3 2 3 3" xfId="15940"/>
    <cellStyle name="Procent 2 4 5 3 2 3 4" xfId="27298"/>
    <cellStyle name="Procent 2 4 5 3 2 4" xfId="6795"/>
    <cellStyle name="Procent 2 4 5 3 2 4 2" xfId="17603"/>
    <cellStyle name="Procent 2 4 5 3 2 4 3" xfId="28960"/>
    <cellStyle name="Procent 2 4 5 3 2 5" xfId="12618"/>
    <cellStyle name="Procent 2 4 5 3 2 6" xfId="23976"/>
    <cellStyle name="Procent 2 4 5 3 3" xfId="2638"/>
    <cellStyle name="Procent 2 4 5 3 3 2" xfId="7626"/>
    <cellStyle name="Procent 2 4 5 3 3 2 2" xfId="18433"/>
    <cellStyle name="Procent 2 4 5 3 3 2 3" xfId="29790"/>
    <cellStyle name="Procent 2 4 5 3 3 3" xfId="13448"/>
    <cellStyle name="Procent 2 4 5 3 3 4" xfId="24806"/>
    <cellStyle name="Procent 2 4 5 3 4" xfId="4302"/>
    <cellStyle name="Procent 2 4 5 3 4 2" xfId="9287"/>
    <cellStyle name="Procent 2 4 5 3 4 2 2" xfId="20094"/>
    <cellStyle name="Procent 2 4 5 3 4 2 3" xfId="31451"/>
    <cellStyle name="Procent 2 4 5 3 4 3" xfId="15109"/>
    <cellStyle name="Procent 2 4 5 3 4 4" xfId="26467"/>
    <cellStyle name="Procent 2 4 5 3 5" xfId="5964"/>
    <cellStyle name="Procent 2 4 5 3 5 2" xfId="16772"/>
    <cellStyle name="Procent 2 4 5 3 5 3" xfId="28129"/>
    <cellStyle name="Procent 2 4 5 3 6" xfId="10951"/>
    <cellStyle name="Procent 2 4 5 3 6 2" xfId="21758"/>
    <cellStyle name="Procent 2 4 5 3 6 3" xfId="33115"/>
    <cellStyle name="Procent 2 4 5 3 7" xfId="11786"/>
    <cellStyle name="Procent 2 4 5 3 8" xfId="23145"/>
    <cellStyle name="Procent 2 4 5 4" xfId="1251"/>
    <cellStyle name="Procent 2 4 5 4 2" xfId="2916"/>
    <cellStyle name="Procent 2 4 5 4 2 2" xfId="7904"/>
    <cellStyle name="Procent 2 4 5 4 2 2 2" xfId="18711"/>
    <cellStyle name="Procent 2 4 5 4 2 2 3" xfId="30068"/>
    <cellStyle name="Procent 2 4 5 4 2 3" xfId="13726"/>
    <cellStyle name="Procent 2 4 5 4 2 4" xfId="25084"/>
    <cellStyle name="Procent 2 4 5 4 3" xfId="4580"/>
    <cellStyle name="Procent 2 4 5 4 3 2" xfId="9565"/>
    <cellStyle name="Procent 2 4 5 4 3 2 2" xfId="20372"/>
    <cellStyle name="Procent 2 4 5 4 3 2 3" xfId="31729"/>
    <cellStyle name="Procent 2 4 5 4 3 3" xfId="15387"/>
    <cellStyle name="Procent 2 4 5 4 3 4" xfId="26745"/>
    <cellStyle name="Procent 2 4 5 4 4" xfId="6242"/>
    <cellStyle name="Procent 2 4 5 4 4 2" xfId="17050"/>
    <cellStyle name="Procent 2 4 5 4 4 3" xfId="28407"/>
    <cellStyle name="Procent 2 4 5 4 5" xfId="12065"/>
    <cellStyle name="Procent 2 4 5 4 6" xfId="23423"/>
    <cellStyle name="Procent 2 4 5 5" xfId="2086"/>
    <cellStyle name="Procent 2 4 5 5 2" xfId="7074"/>
    <cellStyle name="Procent 2 4 5 5 2 2" xfId="17882"/>
    <cellStyle name="Procent 2 4 5 5 2 3" xfId="29239"/>
    <cellStyle name="Procent 2 4 5 5 3" xfId="12897"/>
    <cellStyle name="Procent 2 4 5 5 4" xfId="24255"/>
    <cellStyle name="Procent 2 4 5 6" xfId="3751"/>
    <cellStyle name="Procent 2 4 5 6 2" xfId="8736"/>
    <cellStyle name="Procent 2 4 5 6 2 2" xfId="19543"/>
    <cellStyle name="Procent 2 4 5 6 2 3" xfId="30900"/>
    <cellStyle name="Procent 2 4 5 6 3" xfId="14558"/>
    <cellStyle name="Procent 2 4 5 6 4" xfId="25916"/>
    <cellStyle name="Procent 2 4 5 7" xfId="5412"/>
    <cellStyle name="Procent 2 4 5 7 2" xfId="16221"/>
    <cellStyle name="Procent 2 4 5 7 3" xfId="27578"/>
    <cellStyle name="Procent 2 4 5 8" xfId="10397"/>
    <cellStyle name="Procent 2 4 5 8 2" xfId="21204"/>
    <cellStyle name="Procent 2 4 5 8 3" xfId="32561"/>
    <cellStyle name="Procent 2 4 5 9" xfId="11231"/>
    <cellStyle name="Procent 2 4 6" xfId="481"/>
    <cellStyle name="Procent 2 4 6 2" xfId="1311"/>
    <cellStyle name="Procent 2 4 6 2 2" xfId="2976"/>
    <cellStyle name="Procent 2 4 6 2 2 2" xfId="7964"/>
    <cellStyle name="Procent 2 4 6 2 2 2 2" xfId="18771"/>
    <cellStyle name="Procent 2 4 6 2 2 2 3" xfId="30128"/>
    <cellStyle name="Procent 2 4 6 2 2 3" xfId="13786"/>
    <cellStyle name="Procent 2 4 6 2 2 4" xfId="25144"/>
    <cellStyle name="Procent 2 4 6 2 3" xfId="4640"/>
    <cellStyle name="Procent 2 4 6 2 3 2" xfId="9625"/>
    <cellStyle name="Procent 2 4 6 2 3 2 2" xfId="20432"/>
    <cellStyle name="Procent 2 4 6 2 3 2 3" xfId="31789"/>
    <cellStyle name="Procent 2 4 6 2 3 3" xfId="15447"/>
    <cellStyle name="Procent 2 4 6 2 3 4" xfId="26805"/>
    <cellStyle name="Procent 2 4 6 2 4" xfId="6302"/>
    <cellStyle name="Procent 2 4 6 2 4 2" xfId="17110"/>
    <cellStyle name="Procent 2 4 6 2 4 3" xfId="28467"/>
    <cellStyle name="Procent 2 4 6 2 5" xfId="12125"/>
    <cellStyle name="Procent 2 4 6 2 6" xfId="23483"/>
    <cellStyle name="Procent 2 4 6 3" xfId="2147"/>
    <cellStyle name="Procent 2 4 6 3 2" xfId="7135"/>
    <cellStyle name="Procent 2 4 6 3 2 2" xfId="17942"/>
    <cellStyle name="Procent 2 4 6 3 2 3" xfId="29299"/>
    <cellStyle name="Procent 2 4 6 3 3" xfId="12957"/>
    <cellStyle name="Procent 2 4 6 3 4" xfId="24315"/>
    <cellStyle name="Procent 2 4 6 4" xfId="3811"/>
    <cellStyle name="Procent 2 4 6 4 2" xfId="8796"/>
    <cellStyle name="Procent 2 4 6 4 2 2" xfId="19603"/>
    <cellStyle name="Procent 2 4 6 4 2 3" xfId="30960"/>
    <cellStyle name="Procent 2 4 6 4 3" xfId="14618"/>
    <cellStyle name="Procent 2 4 6 4 4" xfId="25976"/>
    <cellStyle name="Procent 2 4 6 5" xfId="5473"/>
    <cellStyle name="Procent 2 4 6 5 2" xfId="16281"/>
    <cellStyle name="Procent 2 4 6 5 3" xfId="27638"/>
    <cellStyle name="Procent 2 4 6 6" xfId="10416"/>
    <cellStyle name="Procent 2 4 6 6 2" xfId="21223"/>
    <cellStyle name="Procent 2 4 6 6 3" xfId="32580"/>
    <cellStyle name="Procent 2 4 6 7" xfId="11292"/>
    <cellStyle name="Procent 2 4 6 8" xfId="22098"/>
    <cellStyle name="Procent 2 4 6 9" xfId="22652"/>
    <cellStyle name="Procent 2 4 7" xfId="753"/>
    <cellStyle name="Procent 2 4 7 2" xfId="1585"/>
    <cellStyle name="Procent 2 4 7 2 2" xfId="3250"/>
    <cellStyle name="Procent 2 4 7 2 2 2" xfId="8238"/>
    <cellStyle name="Procent 2 4 7 2 2 2 2" xfId="19045"/>
    <cellStyle name="Procent 2 4 7 2 2 2 3" xfId="30402"/>
    <cellStyle name="Procent 2 4 7 2 2 3" xfId="14060"/>
    <cellStyle name="Procent 2 4 7 2 2 4" xfId="25418"/>
    <cellStyle name="Procent 2 4 7 2 3" xfId="4914"/>
    <cellStyle name="Procent 2 4 7 2 3 2" xfId="9899"/>
    <cellStyle name="Procent 2 4 7 2 3 2 2" xfId="20706"/>
    <cellStyle name="Procent 2 4 7 2 3 2 3" xfId="32063"/>
    <cellStyle name="Procent 2 4 7 2 3 3" xfId="15721"/>
    <cellStyle name="Procent 2 4 7 2 3 4" xfId="27079"/>
    <cellStyle name="Procent 2 4 7 2 4" xfId="6576"/>
    <cellStyle name="Procent 2 4 7 2 4 2" xfId="17384"/>
    <cellStyle name="Procent 2 4 7 2 4 3" xfId="28741"/>
    <cellStyle name="Procent 2 4 7 2 5" xfId="12399"/>
    <cellStyle name="Procent 2 4 7 2 6" xfId="23757"/>
    <cellStyle name="Procent 2 4 7 3" xfId="2419"/>
    <cellStyle name="Procent 2 4 7 3 2" xfId="7407"/>
    <cellStyle name="Procent 2 4 7 3 2 2" xfId="18214"/>
    <cellStyle name="Procent 2 4 7 3 2 3" xfId="29571"/>
    <cellStyle name="Procent 2 4 7 3 3" xfId="13229"/>
    <cellStyle name="Procent 2 4 7 3 4" xfId="24587"/>
    <cellStyle name="Procent 2 4 7 4" xfId="4083"/>
    <cellStyle name="Procent 2 4 7 4 2" xfId="9068"/>
    <cellStyle name="Procent 2 4 7 4 2 2" xfId="19875"/>
    <cellStyle name="Procent 2 4 7 4 2 3" xfId="31232"/>
    <cellStyle name="Procent 2 4 7 4 3" xfId="14890"/>
    <cellStyle name="Procent 2 4 7 4 4" xfId="26248"/>
    <cellStyle name="Procent 2 4 7 5" xfId="5745"/>
    <cellStyle name="Procent 2 4 7 5 2" xfId="16553"/>
    <cellStyle name="Procent 2 4 7 5 3" xfId="27910"/>
    <cellStyle name="Procent 2 4 7 6" xfId="10732"/>
    <cellStyle name="Procent 2 4 7 6 2" xfId="21539"/>
    <cellStyle name="Procent 2 4 7 6 3" xfId="32896"/>
    <cellStyle name="Procent 2 4 7 7" xfId="11567"/>
    <cellStyle name="Procent 2 4 7 8" xfId="22926"/>
    <cellStyle name="Procent 2 4 8" xfId="1032"/>
    <cellStyle name="Procent 2 4 8 2" xfId="2697"/>
    <cellStyle name="Procent 2 4 8 2 2" xfId="7685"/>
    <cellStyle name="Procent 2 4 8 2 2 2" xfId="18492"/>
    <cellStyle name="Procent 2 4 8 2 2 3" xfId="29849"/>
    <cellStyle name="Procent 2 4 8 2 3" xfId="13507"/>
    <cellStyle name="Procent 2 4 8 2 4" xfId="24865"/>
    <cellStyle name="Procent 2 4 8 3" xfId="4361"/>
    <cellStyle name="Procent 2 4 8 3 2" xfId="9346"/>
    <cellStyle name="Procent 2 4 8 3 2 2" xfId="20153"/>
    <cellStyle name="Procent 2 4 8 3 2 3" xfId="31510"/>
    <cellStyle name="Procent 2 4 8 3 3" xfId="15168"/>
    <cellStyle name="Procent 2 4 8 3 4" xfId="26526"/>
    <cellStyle name="Procent 2 4 8 4" xfId="6023"/>
    <cellStyle name="Procent 2 4 8 4 2" xfId="16831"/>
    <cellStyle name="Procent 2 4 8 4 3" xfId="28188"/>
    <cellStyle name="Procent 2 4 8 5" xfId="11846"/>
    <cellStyle name="Procent 2 4 8 6" xfId="23204"/>
    <cellStyle name="Procent 2 4 9" xfId="1868"/>
    <cellStyle name="Procent 2 4 9 2" xfId="6856"/>
    <cellStyle name="Procent 2 4 9 2 2" xfId="17664"/>
    <cellStyle name="Procent 2 4 9 2 3" xfId="29021"/>
    <cellStyle name="Procent 2 4 9 3" xfId="12679"/>
    <cellStyle name="Procent 2 4 9 4" xfId="24037"/>
    <cellStyle name="Procent 2 5" xfId="65"/>
    <cellStyle name="Procent 2 5 10" xfId="5175"/>
    <cellStyle name="Procent 2 5 10 2" xfId="15984"/>
    <cellStyle name="Procent 2 5 10 3" xfId="27341"/>
    <cellStyle name="Procent 2 5 11" xfId="10159"/>
    <cellStyle name="Procent 2 5 11 2" xfId="20966"/>
    <cellStyle name="Procent 2 5 11 3" xfId="32323"/>
    <cellStyle name="Procent 2 5 12" xfId="10993"/>
    <cellStyle name="Procent 2 5 13" xfId="21800"/>
    <cellStyle name="Procent 2 5 14" xfId="22353"/>
    <cellStyle name="Procent 2 5 15" xfId="33156"/>
    <cellStyle name="Procent 2 5 16" xfId="33485"/>
    <cellStyle name="Procent 2 5 17" xfId="33756"/>
    <cellStyle name="Procent 2 5 2" xfId="251"/>
    <cellStyle name="Procent 2 5 2 10" xfId="21908"/>
    <cellStyle name="Procent 2 5 2 11" xfId="22461"/>
    <cellStyle name="Procent 2 5 2 12" xfId="33264"/>
    <cellStyle name="Procent 2 5 2 13" xfId="33539"/>
    <cellStyle name="Procent 2 5 2 14" xfId="33810"/>
    <cellStyle name="Procent 2 5 2 2" xfId="568"/>
    <cellStyle name="Procent 2 5 2 2 2" xfId="1400"/>
    <cellStyle name="Procent 2 5 2 2 2 2" xfId="3065"/>
    <cellStyle name="Procent 2 5 2 2 2 2 2" xfId="8053"/>
    <cellStyle name="Procent 2 5 2 2 2 2 2 2" xfId="18860"/>
    <cellStyle name="Procent 2 5 2 2 2 2 2 3" xfId="30217"/>
    <cellStyle name="Procent 2 5 2 2 2 2 3" xfId="13875"/>
    <cellStyle name="Procent 2 5 2 2 2 2 4" xfId="25233"/>
    <cellStyle name="Procent 2 5 2 2 2 3" xfId="4729"/>
    <cellStyle name="Procent 2 5 2 2 2 3 2" xfId="9714"/>
    <cellStyle name="Procent 2 5 2 2 2 3 2 2" xfId="20521"/>
    <cellStyle name="Procent 2 5 2 2 2 3 2 3" xfId="31878"/>
    <cellStyle name="Procent 2 5 2 2 2 3 3" xfId="15536"/>
    <cellStyle name="Procent 2 5 2 2 2 3 4" xfId="26894"/>
    <cellStyle name="Procent 2 5 2 2 2 4" xfId="6391"/>
    <cellStyle name="Procent 2 5 2 2 2 4 2" xfId="17199"/>
    <cellStyle name="Procent 2 5 2 2 2 4 3" xfId="28556"/>
    <cellStyle name="Procent 2 5 2 2 2 5" xfId="12214"/>
    <cellStyle name="Procent 2 5 2 2 2 6" xfId="23572"/>
    <cellStyle name="Procent 2 5 2 2 3" xfId="2234"/>
    <cellStyle name="Procent 2 5 2 2 3 2" xfId="7222"/>
    <cellStyle name="Procent 2 5 2 2 3 2 2" xfId="18029"/>
    <cellStyle name="Procent 2 5 2 2 3 2 3" xfId="29386"/>
    <cellStyle name="Procent 2 5 2 2 3 3" xfId="13044"/>
    <cellStyle name="Procent 2 5 2 2 3 4" xfId="24402"/>
    <cellStyle name="Procent 2 5 2 2 4" xfId="3898"/>
    <cellStyle name="Procent 2 5 2 2 4 2" xfId="8883"/>
    <cellStyle name="Procent 2 5 2 2 4 2 2" xfId="19690"/>
    <cellStyle name="Procent 2 5 2 2 4 2 3" xfId="31047"/>
    <cellStyle name="Procent 2 5 2 2 4 3" xfId="14705"/>
    <cellStyle name="Procent 2 5 2 2 4 4" xfId="26063"/>
    <cellStyle name="Procent 2 5 2 2 5" xfId="5560"/>
    <cellStyle name="Procent 2 5 2 2 5 2" xfId="16368"/>
    <cellStyle name="Procent 2 5 2 2 5 3" xfId="27725"/>
    <cellStyle name="Procent 2 5 2 2 6" xfId="10547"/>
    <cellStyle name="Procent 2 5 2 2 6 2" xfId="21354"/>
    <cellStyle name="Procent 2 5 2 2 6 3" xfId="32711"/>
    <cellStyle name="Procent 2 5 2 2 7" xfId="11381"/>
    <cellStyle name="Procent 2 5 2 2 8" xfId="22187"/>
    <cellStyle name="Procent 2 5 2 2 9" xfId="22741"/>
    <cellStyle name="Procent 2 5 2 3" xfId="842"/>
    <cellStyle name="Procent 2 5 2 3 2" xfId="1674"/>
    <cellStyle name="Procent 2 5 2 3 2 2" xfId="3339"/>
    <cellStyle name="Procent 2 5 2 3 2 2 2" xfId="8327"/>
    <cellStyle name="Procent 2 5 2 3 2 2 2 2" xfId="19134"/>
    <cellStyle name="Procent 2 5 2 3 2 2 2 3" xfId="30491"/>
    <cellStyle name="Procent 2 5 2 3 2 2 3" xfId="14149"/>
    <cellStyle name="Procent 2 5 2 3 2 2 4" xfId="25507"/>
    <cellStyle name="Procent 2 5 2 3 2 3" xfId="5003"/>
    <cellStyle name="Procent 2 5 2 3 2 3 2" xfId="9988"/>
    <cellStyle name="Procent 2 5 2 3 2 3 2 2" xfId="20795"/>
    <cellStyle name="Procent 2 5 2 3 2 3 2 3" xfId="32152"/>
    <cellStyle name="Procent 2 5 2 3 2 3 3" xfId="15810"/>
    <cellStyle name="Procent 2 5 2 3 2 3 4" xfId="27168"/>
    <cellStyle name="Procent 2 5 2 3 2 4" xfId="6665"/>
    <cellStyle name="Procent 2 5 2 3 2 4 2" xfId="17473"/>
    <cellStyle name="Procent 2 5 2 3 2 4 3" xfId="28830"/>
    <cellStyle name="Procent 2 5 2 3 2 5" xfId="12488"/>
    <cellStyle name="Procent 2 5 2 3 2 6" xfId="23846"/>
    <cellStyle name="Procent 2 5 2 3 3" xfId="2508"/>
    <cellStyle name="Procent 2 5 2 3 3 2" xfId="7496"/>
    <cellStyle name="Procent 2 5 2 3 3 2 2" xfId="18303"/>
    <cellStyle name="Procent 2 5 2 3 3 2 3" xfId="29660"/>
    <cellStyle name="Procent 2 5 2 3 3 3" xfId="13318"/>
    <cellStyle name="Procent 2 5 2 3 3 4" xfId="24676"/>
    <cellStyle name="Procent 2 5 2 3 4" xfId="4172"/>
    <cellStyle name="Procent 2 5 2 3 4 2" xfId="9157"/>
    <cellStyle name="Procent 2 5 2 3 4 2 2" xfId="19964"/>
    <cellStyle name="Procent 2 5 2 3 4 2 3" xfId="31321"/>
    <cellStyle name="Procent 2 5 2 3 4 3" xfId="14979"/>
    <cellStyle name="Procent 2 5 2 3 4 4" xfId="26337"/>
    <cellStyle name="Procent 2 5 2 3 5" xfId="5834"/>
    <cellStyle name="Procent 2 5 2 3 5 2" xfId="16642"/>
    <cellStyle name="Procent 2 5 2 3 5 3" xfId="27999"/>
    <cellStyle name="Procent 2 5 2 3 6" xfId="10821"/>
    <cellStyle name="Procent 2 5 2 3 6 2" xfId="21628"/>
    <cellStyle name="Procent 2 5 2 3 6 3" xfId="32985"/>
    <cellStyle name="Procent 2 5 2 3 7" xfId="11656"/>
    <cellStyle name="Procent 2 5 2 3 8" xfId="23015"/>
    <cellStyle name="Procent 2 5 2 4" xfId="1121"/>
    <cellStyle name="Procent 2 5 2 4 2" xfId="2786"/>
    <cellStyle name="Procent 2 5 2 4 2 2" xfId="7774"/>
    <cellStyle name="Procent 2 5 2 4 2 2 2" xfId="18581"/>
    <cellStyle name="Procent 2 5 2 4 2 2 3" xfId="29938"/>
    <cellStyle name="Procent 2 5 2 4 2 3" xfId="13596"/>
    <cellStyle name="Procent 2 5 2 4 2 4" xfId="24954"/>
    <cellStyle name="Procent 2 5 2 4 3" xfId="4450"/>
    <cellStyle name="Procent 2 5 2 4 3 2" xfId="9435"/>
    <cellStyle name="Procent 2 5 2 4 3 2 2" xfId="20242"/>
    <cellStyle name="Procent 2 5 2 4 3 2 3" xfId="31599"/>
    <cellStyle name="Procent 2 5 2 4 3 3" xfId="15257"/>
    <cellStyle name="Procent 2 5 2 4 3 4" xfId="26615"/>
    <cellStyle name="Procent 2 5 2 4 4" xfId="6112"/>
    <cellStyle name="Procent 2 5 2 4 4 2" xfId="16920"/>
    <cellStyle name="Procent 2 5 2 4 4 3" xfId="28277"/>
    <cellStyle name="Procent 2 5 2 4 5" xfId="11935"/>
    <cellStyle name="Procent 2 5 2 4 6" xfId="23293"/>
    <cellStyle name="Procent 2 5 2 5" xfId="1956"/>
    <cellStyle name="Procent 2 5 2 5 2" xfId="6944"/>
    <cellStyle name="Procent 2 5 2 5 2 2" xfId="17752"/>
    <cellStyle name="Procent 2 5 2 5 2 3" xfId="29109"/>
    <cellStyle name="Procent 2 5 2 5 3" xfId="12767"/>
    <cellStyle name="Procent 2 5 2 5 4" xfId="24125"/>
    <cellStyle name="Procent 2 5 2 6" xfId="3621"/>
    <cellStyle name="Procent 2 5 2 6 2" xfId="8606"/>
    <cellStyle name="Procent 2 5 2 6 2 2" xfId="19413"/>
    <cellStyle name="Procent 2 5 2 6 2 3" xfId="30770"/>
    <cellStyle name="Procent 2 5 2 6 3" xfId="14428"/>
    <cellStyle name="Procent 2 5 2 6 4" xfId="25786"/>
    <cellStyle name="Procent 2 5 2 7" xfId="5282"/>
    <cellStyle name="Procent 2 5 2 7 2" xfId="16091"/>
    <cellStyle name="Procent 2 5 2 7 3" xfId="27448"/>
    <cellStyle name="Procent 2 5 2 8" xfId="10267"/>
    <cellStyle name="Procent 2 5 2 8 2" xfId="21074"/>
    <cellStyle name="Procent 2 5 2 8 3" xfId="32431"/>
    <cellStyle name="Procent 2 5 2 9" xfId="11101"/>
    <cellStyle name="Procent 2 5 3" xfId="306"/>
    <cellStyle name="Procent 2 5 3 10" xfId="21963"/>
    <cellStyle name="Procent 2 5 3 11" xfId="22516"/>
    <cellStyle name="Procent 2 5 3 12" xfId="33319"/>
    <cellStyle name="Procent 2 5 3 13" xfId="33594"/>
    <cellStyle name="Procent 2 5 3 14" xfId="33865"/>
    <cellStyle name="Procent 2 5 3 2" xfId="623"/>
    <cellStyle name="Procent 2 5 3 2 2" xfId="1455"/>
    <cellStyle name="Procent 2 5 3 2 2 2" xfId="3120"/>
    <cellStyle name="Procent 2 5 3 2 2 2 2" xfId="8108"/>
    <cellStyle name="Procent 2 5 3 2 2 2 2 2" xfId="18915"/>
    <cellStyle name="Procent 2 5 3 2 2 2 2 3" xfId="30272"/>
    <cellStyle name="Procent 2 5 3 2 2 2 3" xfId="13930"/>
    <cellStyle name="Procent 2 5 3 2 2 2 4" xfId="25288"/>
    <cellStyle name="Procent 2 5 3 2 2 3" xfId="4784"/>
    <cellStyle name="Procent 2 5 3 2 2 3 2" xfId="9769"/>
    <cellStyle name="Procent 2 5 3 2 2 3 2 2" xfId="20576"/>
    <cellStyle name="Procent 2 5 3 2 2 3 2 3" xfId="31933"/>
    <cellStyle name="Procent 2 5 3 2 2 3 3" xfId="15591"/>
    <cellStyle name="Procent 2 5 3 2 2 3 4" xfId="26949"/>
    <cellStyle name="Procent 2 5 3 2 2 4" xfId="6446"/>
    <cellStyle name="Procent 2 5 3 2 2 4 2" xfId="17254"/>
    <cellStyle name="Procent 2 5 3 2 2 4 3" xfId="28611"/>
    <cellStyle name="Procent 2 5 3 2 2 5" xfId="12269"/>
    <cellStyle name="Procent 2 5 3 2 2 6" xfId="23627"/>
    <cellStyle name="Procent 2 5 3 2 3" xfId="2289"/>
    <cellStyle name="Procent 2 5 3 2 3 2" xfId="7277"/>
    <cellStyle name="Procent 2 5 3 2 3 2 2" xfId="18084"/>
    <cellStyle name="Procent 2 5 3 2 3 2 3" xfId="29441"/>
    <cellStyle name="Procent 2 5 3 2 3 3" xfId="13099"/>
    <cellStyle name="Procent 2 5 3 2 3 4" xfId="24457"/>
    <cellStyle name="Procent 2 5 3 2 4" xfId="3953"/>
    <cellStyle name="Procent 2 5 3 2 4 2" xfId="8938"/>
    <cellStyle name="Procent 2 5 3 2 4 2 2" xfId="19745"/>
    <cellStyle name="Procent 2 5 3 2 4 2 3" xfId="31102"/>
    <cellStyle name="Procent 2 5 3 2 4 3" xfId="14760"/>
    <cellStyle name="Procent 2 5 3 2 4 4" xfId="26118"/>
    <cellStyle name="Procent 2 5 3 2 5" xfId="5615"/>
    <cellStyle name="Procent 2 5 3 2 5 2" xfId="16423"/>
    <cellStyle name="Procent 2 5 3 2 5 3" xfId="27780"/>
    <cellStyle name="Procent 2 5 3 2 6" xfId="10602"/>
    <cellStyle name="Procent 2 5 3 2 6 2" xfId="21409"/>
    <cellStyle name="Procent 2 5 3 2 6 3" xfId="32766"/>
    <cellStyle name="Procent 2 5 3 2 7" xfId="11436"/>
    <cellStyle name="Procent 2 5 3 2 8" xfId="22242"/>
    <cellStyle name="Procent 2 5 3 2 9" xfId="22796"/>
    <cellStyle name="Procent 2 5 3 3" xfId="897"/>
    <cellStyle name="Procent 2 5 3 3 2" xfId="1729"/>
    <cellStyle name="Procent 2 5 3 3 2 2" xfId="3394"/>
    <cellStyle name="Procent 2 5 3 3 2 2 2" xfId="8382"/>
    <cellStyle name="Procent 2 5 3 3 2 2 2 2" xfId="19189"/>
    <cellStyle name="Procent 2 5 3 3 2 2 2 3" xfId="30546"/>
    <cellStyle name="Procent 2 5 3 3 2 2 3" xfId="14204"/>
    <cellStyle name="Procent 2 5 3 3 2 2 4" xfId="25562"/>
    <cellStyle name="Procent 2 5 3 3 2 3" xfId="5058"/>
    <cellStyle name="Procent 2 5 3 3 2 3 2" xfId="10043"/>
    <cellStyle name="Procent 2 5 3 3 2 3 2 2" xfId="20850"/>
    <cellStyle name="Procent 2 5 3 3 2 3 2 3" xfId="32207"/>
    <cellStyle name="Procent 2 5 3 3 2 3 3" xfId="15865"/>
    <cellStyle name="Procent 2 5 3 3 2 3 4" xfId="27223"/>
    <cellStyle name="Procent 2 5 3 3 2 4" xfId="6720"/>
    <cellStyle name="Procent 2 5 3 3 2 4 2" xfId="17528"/>
    <cellStyle name="Procent 2 5 3 3 2 4 3" xfId="28885"/>
    <cellStyle name="Procent 2 5 3 3 2 5" xfId="12543"/>
    <cellStyle name="Procent 2 5 3 3 2 6" xfId="23901"/>
    <cellStyle name="Procent 2 5 3 3 3" xfId="2563"/>
    <cellStyle name="Procent 2 5 3 3 3 2" xfId="7551"/>
    <cellStyle name="Procent 2 5 3 3 3 2 2" xfId="18358"/>
    <cellStyle name="Procent 2 5 3 3 3 2 3" xfId="29715"/>
    <cellStyle name="Procent 2 5 3 3 3 3" xfId="13373"/>
    <cellStyle name="Procent 2 5 3 3 3 4" xfId="24731"/>
    <cellStyle name="Procent 2 5 3 3 4" xfId="4227"/>
    <cellStyle name="Procent 2 5 3 3 4 2" xfId="9212"/>
    <cellStyle name="Procent 2 5 3 3 4 2 2" xfId="20019"/>
    <cellStyle name="Procent 2 5 3 3 4 2 3" xfId="31376"/>
    <cellStyle name="Procent 2 5 3 3 4 3" xfId="15034"/>
    <cellStyle name="Procent 2 5 3 3 4 4" xfId="26392"/>
    <cellStyle name="Procent 2 5 3 3 5" xfId="5889"/>
    <cellStyle name="Procent 2 5 3 3 5 2" xfId="16697"/>
    <cellStyle name="Procent 2 5 3 3 5 3" xfId="28054"/>
    <cellStyle name="Procent 2 5 3 3 6" xfId="10876"/>
    <cellStyle name="Procent 2 5 3 3 6 2" xfId="21683"/>
    <cellStyle name="Procent 2 5 3 3 6 3" xfId="33040"/>
    <cellStyle name="Procent 2 5 3 3 7" xfId="11711"/>
    <cellStyle name="Procent 2 5 3 3 8" xfId="23070"/>
    <cellStyle name="Procent 2 5 3 4" xfId="1176"/>
    <cellStyle name="Procent 2 5 3 4 2" xfId="2841"/>
    <cellStyle name="Procent 2 5 3 4 2 2" xfId="7829"/>
    <cellStyle name="Procent 2 5 3 4 2 2 2" xfId="18636"/>
    <cellStyle name="Procent 2 5 3 4 2 2 3" xfId="29993"/>
    <cellStyle name="Procent 2 5 3 4 2 3" xfId="13651"/>
    <cellStyle name="Procent 2 5 3 4 2 4" xfId="25009"/>
    <cellStyle name="Procent 2 5 3 4 3" xfId="4505"/>
    <cellStyle name="Procent 2 5 3 4 3 2" xfId="9490"/>
    <cellStyle name="Procent 2 5 3 4 3 2 2" xfId="20297"/>
    <cellStyle name="Procent 2 5 3 4 3 2 3" xfId="31654"/>
    <cellStyle name="Procent 2 5 3 4 3 3" xfId="15312"/>
    <cellStyle name="Procent 2 5 3 4 3 4" xfId="26670"/>
    <cellStyle name="Procent 2 5 3 4 4" xfId="6167"/>
    <cellStyle name="Procent 2 5 3 4 4 2" xfId="16975"/>
    <cellStyle name="Procent 2 5 3 4 4 3" xfId="28332"/>
    <cellStyle name="Procent 2 5 3 4 5" xfId="11990"/>
    <cellStyle name="Procent 2 5 3 4 6" xfId="23348"/>
    <cellStyle name="Procent 2 5 3 5" xfId="2011"/>
    <cellStyle name="Procent 2 5 3 5 2" xfId="6999"/>
    <cellStyle name="Procent 2 5 3 5 2 2" xfId="17807"/>
    <cellStyle name="Procent 2 5 3 5 2 3" xfId="29164"/>
    <cellStyle name="Procent 2 5 3 5 3" xfId="12822"/>
    <cellStyle name="Procent 2 5 3 5 4" xfId="24180"/>
    <cellStyle name="Procent 2 5 3 6" xfId="3676"/>
    <cellStyle name="Procent 2 5 3 6 2" xfId="8661"/>
    <cellStyle name="Procent 2 5 3 6 2 2" xfId="19468"/>
    <cellStyle name="Procent 2 5 3 6 2 3" xfId="30825"/>
    <cellStyle name="Procent 2 5 3 6 3" xfId="14483"/>
    <cellStyle name="Procent 2 5 3 6 4" xfId="25841"/>
    <cellStyle name="Procent 2 5 3 7" xfId="5337"/>
    <cellStyle name="Procent 2 5 3 7 2" xfId="16146"/>
    <cellStyle name="Procent 2 5 3 7 3" xfId="27503"/>
    <cellStyle name="Procent 2 5 3 8" xfId="10322"/>
    <cellStyle name="Procent 2 5 3 8 2" xfId="21129"/>
    <cellStyle name="Procent 2 5 3 8 3" xfId="32486"/>
    <cellStyle name="Procent 2 5 3 9" xfId="11156"/>
    <cellStyle name="Procent 2 5 4" xfId="362"/>
    <cellStyle name="Procent 2 5 4 10" xfId="22019"/>
    <cellStyle name="Procent 2 5 4 11" xfId="22572"/>
    <cellStyle name="Procent 2 5 4 12" xfId="33375"/>
    <cellStyle name="Procent 2 5 4 13" xfId="33650"/>
    <cellStyle name="Procent 2 5 4 14" xfId="33921"/>
    <cellStyle name="Procent 2 5 4 2" xfId="679"/>
    <cellStyle name="Procent 2 5 4 2 2" xfId="1511"/>
    <cellStyle name="Procent 2 5 4 2 2 2" xfId="3176"/>
    <cellStyle name="Procent 2 5 4 2 2 2 2" xfId="8164"/>
    <cellStyle name="Procent 2 5 4 2 2 2 2 2" xfId="18971"/>
    <cellStyle name="Procent 2 5 4 2 2 2 2 3" xfId="30328"/>
    <cellStyle name="Procent 2 5 4 2 2 2 3" xfId="13986"/>
    <cellStyle name="Procent 2 5 4 2 2 2 4" xfId="25344"/>
    <cellStyle name="Procent 2 5 4 2 2 3" xfId="4840"/>
    <cellStyle name="Procent 2 5 4 2 2 3 2" xfId="9825"/>
    <cellStyle name="Procent 2 5 4 2 2 3 2 2" xfId="20632"/>
    <cellStyle name="Procent 2 5 4 2 2 3 2 3" xfId="31989"/>
    <cellStyle name="Procent 2 5 4 2 2 3 3" xfId="15647"/>
    <cellStyle name="Procent 2 5 4 2 2 3 4" xfId="27005"/>
    <cellStyle name="Procent 2 5 4 2 2 4" xfId="6502"/>
    <cellStyle name="Procent 2 5 4 2 2 4 2" xfId="17310"/>
    <cellStyle name="Procent 2 5 4 2 2 4 3" xfId="28667"/>
    <cellStyle name="Procent 2 5 4 2 2 5" xfId="12325"/>
    <cellStyle name="Procent 2 5 4 2 2 6" xfId="23683"/>
    <cellStyle name="Procent 2 5 4 2 3" xfId="2345"/>
    <cellStyle name="Procent 2 5 4 2 3 2" xfId="7333"/>
    <cellStyle name="Procent 2 5 4 2 3 2 2" xfId="18140"/>
    <cellStyle name="Procent 2 5 4 2 3 2 3" xfId="29497"/>
    <cellStyle name="Procent 2 5 4 2 3 3" xfId="13155"/>
    <cellStyle name="Procent 2 5 4 2 3 4" xfId="24513"/>
    <cellStyle name="Procent 2 5 4 2 4" xfId="4009"/>
    <cellStyle name="Procent 2 5 4 2 4 2" xfId="8994"/>
    <cellStyle name="Procent 2 5 4 2 4 2 2" xfId="19801"/>
    <cellStyle name="Procent 2 5 4 2 4 2 3" xfId="31158"/>
    <cellStyle name="Procent 2 5 4 2 4 3" xfId="14816"/>
    <cellStyle name="Procent 2 5 4 2 4 4" xfId="26174"/>
    <cellStyle name="Procent 2 5 4 2 5" xfId="5671"/>
    <cellStyle name="Procent 2 5 4 2 5 2" xfId="16479"/>
    <cellStyle name="Procent 2 5 4 2 5 3" xfId="27836"/>
    <cellStyle name="Procent 2 5 4 2 6" xfId="10658"/>
    <cellStyle name="Procent 2 5 4 2 6 2" xfId="21465"/>
    <cellStyle name="Procent 2 5 4 2 6 3" xfId="32822"/>
    <cellStyle name="Procent 2 5 4 2 7" xfId="11492"/>
    <cellStyle name="Procent 2 5 4 2 8" xfId="22298"/>
    <cellStyle name="Procent 2 5 4 2 9" xfId="22852"/>
    <cellStyle name="Procent 2 5 4 3" xfId="953"/>
    <cellStyle name="Procent 2 5 4 3 2" xfId="1785"/>
    <cellStyle name="Procent 2 5 4 3 2 2" xfId="3450"/>
    <cellStyle name="Procent 2 5 4 3 2 2 2" xfId="8438"/>
    <cellStyle name="Procent 2 5 4 3 2 2 2 2" xfId="19245"/>
    <cellStyle name="Procent 2 5 4 3 2 2 2 3" xfId="30602"/>
    <cellStyle name="Procent 2 5 4 3 2 2 3" xfId="14260"/>
    <cellStyle name="Procent 2 5 4 3 2 2 4" xfId="25618"/>
    <cellStyle name="Procent 2 5 4 3 2 3" xfId="5114"/>
    <cellStyle name="Procent 2 5 4 3 2 3 2" xfId="10099"/>
    <cellStyle name="Procent 2 5 4 3 2 3 2 2" xfId="20906"/>
    <cellStyle name="Procent 2 5 4 3 2 3 2 3" xfId="32263"/>
    <cellStyle name="Procent 2 5 4 3 2 3 3" xfId="15921"/>
    <cellStyle name="Procent 2 5 4 3 2 3 4" xfId="27279"/>
    <cellStyle name="Procent 2 5 4 3 2 4" xfId="6776"/>
    <cellStyle name="Procent 2 5 4 3 2 4 2" xfId="17584"/>
    <cellStyle name="Procent 2 5 4 3 2 4 3" xfId="28941"/>
    <cellStyle name="Procent 2 5 4 3 2 5" xfId="12599"/>
    <cellStyle name="Procent 2 5 4 3 2 6" xfId="23957"/>
    <cellStyle name="Procent 2 5 4 3 3" xfId="2619"/>
    <cellStyle name="Procent 2 5 4 3 3 2" xfId="7607"/>
    <cellStyle name="Procent 2 5 4 3 3 2 2" xfId="18414"/>
    <cellStyle name="Procent 2 5 4 3 3 2 3" xfId="29771"/>
    <cellStyle name="Procent 2 5 4 3 3 3" xfId="13429"/>
    <cellStyle name="Procent 2 5 4 3 3 4" xfId="24787"/>
    <cellStyle name="Procent 2 5 4 3 4" xfId="4283"/>
    <cellStyle name="Procent 2 5 4 3 4 2" xfId="9268"/>
    <cellStyle name="Procent 2 5 4 3 4 2 2" xfId="20075"/>
    <cellStyle name="Procent 2 5 4 3 4 2 3" xfId="31432"/>
    <cellStyle name="Procent 2 5 4 3 4 3" xfId="15090"/>
    <cellStyle name="Procent 2 5 4 3 4 4" xfId="26448"/>
    <cellStyle name="Procent 2 5 4 3 5" xfId="5945"/>
    <cellStyle name="Procent 2 5 4 3 5 2" xfId="16753"/>
    <cellStyle name="Procent 2 5 4 3 5 3" xfId="28110"/>
    <cellStyle name="Procent 2 5 4 3 6" xfId="10932"/>
    <cellStyle name="Procent 2 5 4 3 6 2" xfId="21739"/>
    <cellStyle name="Procent 2 5 4 3 6 3" xfId="33096"/>
    <cellStyle name="Procent 2 5 4 3 7" xfId="11767"/>
    <cellStyle name="Procent 2 5 4 3 8" xfId="23126"/>
    <cellStyle name="Procent 2 5 4 4" xfId="1232"/>
    <cellStyle name="Procent 2 5 4 4 2" xfId="2897"/>
    <cellStyle name="Procent 2 5 4 4 2 2" xfId="7885"/>
    <cellStyle name="Procent 2 5 4 4 2 2 2" xfId="18692"/>
    <cellStyle name="Procent 2 5 4 4 2 2 3" xfId="30049"/>
    <cellStyle name="Procent 2 5 4 4 2 3" xfId="13707"/>
    <cellStyle name="Procent 2 5 4 4 2 4" xfId="25065"/>
    <cellStyle name="Procent 2 5 4 4 3" xfId="4561"/>
    <cellStyle name="Procent 2 5 4 4 3 2" xfId="9546"/>
    <cellStyle name="Procent 2 5 4 4 3 2 2" xfId="20353"/>
    <cellStyle name="Procent 2 5 4 4 3 2 3" xfId="31710"/>
    <cellStyle name="Procent 2 5 4 4 3 3" xfId="15368"/>
    <cellStyle name="Procent 2 5 4 4 3 4" xfId="26726"/>
    <cellStyle name="Procent 2 5 4 4 4" xfId="6223"/>
    <cellStyle name="Procent 2 5 4 4 4 2" xfId="17031"/>
    <cellStyle name="Procent 2 5 4 4 4 3" xfId="28388"/>
    <cellStyle name="Procent 2 5 4 4 5" xfId="12046"/>
    <cellStyle name="Procent 2 5 4 4 6" xfId="23404"/>
    <cellStyle name="Procent 2 5 4 5" xfId="2067"/>
    <cellStyle name="Procent 2 5 4 5 2" xfId="7055"/>
    <cellStyle name="Procent 2 5 4 5 2 2" xfId="17863"/>
    <cellStyle name="Procent 2 5 4 5 2 3" xfId="29220"/>
    <cellStyle name="Procent 2 5 4 5 3" xfId="12878"/>
    <cellStyle name="Procent 2 5 4 5 4" xfId="24236"/>
    <cellStyle name="Procent 2 5 4 6" xfId="3732"/>
    <cellStyle name="Procent 2 5 4 6 2" xfId="8717"/>
    <cellStyle name="Procent 2 5 4 6 2 2" xfId="19524"/>
    <cellStyle name="Procent 2 5 4 6 2 3" xfId="30881"/>
    <cellStyle name="Procent 2 5 4 6 3" xfId="14539"/>
    <cellStyle name="Procent 2 5 4 6 4" xfId="25897"/>
    <cellStyle name="Procent 2 5 4 7" xfId="5393"/>
    <cellStyle name="Procent 2 5 4 7 2" xfId="16202"/>
    <cellStyle name="Procent 2 5 4 7 3" xfId="27559"/>
    <cellStyle name="Procent 2 5 4 8" xfId="10378"/>
    <cellStyle name="Procent 2 5 4 8 2" xfId="21185"/>
    <cellStyle name="Procent 2 5 4 8 3" xfId="32542"/>
    <cellStyle name="Procent 2 5 4 9" xfId="11212"/>
    <cellStyle name="Procent 2 5 5" xfId="462"/>
    <cellStyle name="Procent 2 5 5 2" xfId="1292"/>
    <cellStyle name="Procent 2 5 5 2 2" xfId="2957"/>
    <cellStyle name="Procent 2 5 5 2 2 2" xfId="7945"/>
    <cellStyle name="Procent 2 5 5 2 2 2 2" xfId="18752"/>
    <cellStyle name="Procent 2 5 5 2 2 2 3" xfId="30109"/>
    <cellStyle name="Procent 2 5 5 2 2 3" xfId="13767"/>
    <cellStyle name="Procent 2 5 5 2 2 4" xfId="25125"/>
    <cellStyle name="Procent 2 5 5 2 3" xfId="4621"/>
    <cellStyle name="Procent 2 5 5 2 3 2" xfId="9606"/>
    <cellStyle name="Procent 2 5 5 2 3 2 2" xfId="20413"/>
    <cellStyle name="Procent 2 5 5 2 3 2 3" xfId="31770"/>
    <cellStyle name="Procent 2 5 5 2 3 3" xfId="15428"/>
    <cellStyle name="Procent 2 5 5 2 3 4" xfId="26786"/>
    <cellStyle name="Procent 2 5 5 2 4" xfId="6283"/>
    <cellStyle name="Procent 2 5 5 2 4 2" xfId="17091"/>
    <cellStyle name="Procent 2 5 5 2 4 3" xfId="28448"/>
    <cellStyle name="Procent 2 5 5 2 5" xfId="12106"/>
    <cellStyle name="Procent 2 5 5 2 6" xfId="23464"/>
    <cellStyle name="Procent 2 5 5 3" xfId="2128"/>
    <cellStyle name="Procent 2 5 5 3 2" xfId="7116"/>
    <cellStyle name="Procent 2 5 5 3 2 2" xfId="17923"/>
    <cellStyle name="Procent 2 5 5 3 2 3" xfId="29280"/>
    <cellStyle name="Procent 2 5 5 3 3" xfId="12938"/>
    <cellStyle name="Procent 2 5 5 3 4" xfId="24296"/>
    <cellStyle name="Procent 2 5 5 4" xfId="3792"/>
    <cellStyle name="Procent 2 5 5 4 2" xfId="8777"/>
    <cellStyle name="Procent 2 5 5 4 2 2" xfId="19584"/>
    <cellStyle name="Procent 2 5 5 4 2 3" xfId="30941"/>
    <cellStyle name="Procent 2 5 5 4 3" xfId="14599"/>
    <cellStyle name="Procent 2 5 5 4 4" xfId="25957"/>
    <cellStyle name="Procent 2 5 5 5" xfId="5454"/>
    <cellStyle name="Procent 2 5 5 5 2" xfId="16262"/>
    <cellStyle name="Procent 2 5 5 5 3" xfId="27619"/>
    <cellStyle name="Procent 2 5 5 6" xfId="10441"/>
    <cellStyle name="Procent 2 5 5 6 2" xfId="21248"/>
    <cellStyle name="Procent 2 5 5 6 3" xfId="32605"/>
    <cellStyle name="Procent 2 5 5 7" xfId="11273"/>
    <cellStyle name="Procent 2 5 5 8" xfId="22079"/>
    <cellStyle name="Procent 2 5 5 9" xfId="22633"/>
    <cellStyle name="Procent 2 5 6" xfId="734"/>
    <cellStyle name="Procent 2 5 6 2" xfId="1566"/>
    <cellStyle name="Procent 2 5 6 2 2" xfId="3231"/>
    <cellStyle name="Procent 2 5 6 2 2 2" xfId="8219"/>
    <cellStyle name="Procent 2 5 6 2 2 2 2" xfId="19026"/>
    <cellStyle name="Procent 2 5 6 2 2 2 3" xfId="30383"/>
    <cellStyle name="Procent 2 5 6 2 2 3" xfId="14041"/>
    <cellStyle name="Procent 2 5 6 2 2 4" xfId="25399"/>
    <cellStyle name="Procent 2 5 6 2 3" xfId="4895"/>
    <cellStyle name="Procent 2 5 6 2 3 2" xfId="9880"/>
    <cellStyle name="Procent 2 5 6 2 3 2 2" xfId="20687"/>
    <cellStyle name="Procent 2 5 6 2 3 2 3" xfId="32044"/>
    <cellStyle name="Procent 2 5 6 2 3 3" xfId="15702"/>
    <cellStyle name="Procent 2 5 6 2 3 4" xfId="27060"/>
    <cellStyle name="Procent 2 5 6 2 4" xfId="6557"/>
    <cellStyle name="Procent 2 5 6 2 4 2" xfId="17365"/>
    <cellStyle name="Procent 2 5 6 2 4 3" xfId="28722"/>
    <cellStyle name="Procent 2 5 6 2 5" xfId="12380"/>
    <cellStyle name="Procent 2 5 6 2 6" xfId="23738"/>
    <cellStyle name="Procent 2 5 6 3" xfId="2400"/>
    <cellStyle name="Procent 2 5 6 3 2" xfId="7388"/>
    <cellStyle name="Procent 2 5 6 3 2 2" xfId="18195"/>
    <cellStyle name="Procent 2 5 6 3 2 3" xfId="29552"/>
    <cellStyle name="Procent 2 5 6 3 3" xfId="13210"/>
    <cellStyle name="Procent 2 5 6 3 4" xfId="24568"/>
    <cellStyle name="Procent 2 5 6 4" xfId="4064"/>
    <cellStyle name="Procent 2 5 6 4 2" xfId="9049"/>
    <cellStyle name="Procent 2 5 6 4 2 2" xfId="19856"/>
    <cellStyle name="Procent 2 5 6 4 2 3" xfId="31213"/>
    <cellStyle name="Procent 2 5 6 4 3" xfId="14871"/>
    <cellStyle name="Procent 2 5 6 4 4" xfId="26229"/>
    <cellStyle name="Procent 2 5 6 5" xfId="5726"/>
    <cellStyle name="Procent 2 5 6 5 2" xfId="16534"/>
    <cellStyle name="Procent 2 5 6 5 3" xfId="27891"/>
    <cellStyle name="Procent 2 5 6 6" xfId="10713"/>
    <cellStyle name="Procent 2 5 6 6 2" xfId="21520"/>
    <cellStyle name="Procent 2 5 6 6 3" xfId="32877"/>
    <cellStyle name="Procent 2 5 6 7" xfId="11548"/>
    <cellStyle name="Procent 2 5 6 8" xfId="22907"/>
    <cellStyle name="Procent 2 5 7" xfId="1013"/>
    <cellStyle name="Procent 2 5 7 2" xfId="2678"/>
    <cellStyle name="Procent 2 5 7 2 2" xfId="7666"/>
    <cellStyle name="Procent 2 5 7 2 2 2" xfId="18473"/>
    <cellStyle name="Procent 2 5 7 2 2 3" xfId="29830"/>
    <cellStyle name="Procent 2 5 7 2 3" xfId="13488"/>
    <cellStyle name="Procent 2 5 7 2 4" xfId="24846"/>
    <cellStyle name="Procent 2 5 7 3" xfId="4342"/>
    <cellStyle name="Procent 2 5 7 3 2" xfId="9327"/>
    <cellStyle name="Procent 2 5 7 3 2 2" xfId="20134"/>
    <cellStyle name="Procent 2 5 7 3 2 3" xfId="31491"/>
    <cellStyle name="Procent 2 5 7 3 3" xfId="15149"/>
    <cellStyle name="Procent 2 5 7 3 4" xfId="26507"/>
    <cellStyle name="Procent 2 5 7 4" xfId="6004"/>
    <cellStyle name="Procent 2 5 7 4 2" xfId="16812"/>
    <cellStyle name="Procent 2 5 7 4 3" xfId="28169"/>
    <cellStyle name="Procent 2 5 7 5" xfId="11827"/>
    <cellStyle name="Procent 2 5 7 6" xfId="23185"/>
    <cellStyle name="Procent 2 5 8" xfId="1849"/>
    <cellStyle name="Procent 2 5 8 2" xfId="6837"/>
    <cellStyle name="Procent 2 5 8 2 2" xfId="17645"/>
    <cellStyle name="Procent 2 5 8 2 3" xfId="29002"/>
    <cellStyle name="Procent 2 5 8 3" xfId="12660"/>
    <cellStyle name="Procent 2 5 8 4" xfId="24018"/>
    <cellStyle name="Procent 2 5 9" xfId="3514"/>
    <cellStyle name="Procent 2 5 9 2" xfId="8499"/>
    <cellStyle name="Procent 2 5 9 2 2" xfId="19306"/>
    <cellStyle name="Procent 2 5 9 2 3" xfId="30663"/>
    <cellStyle name="Procent 2 5 9 3" xfId="14321"/>
    <cellStyle name="Procent 2 5 9 4" xfId="25679"/>
    <cellStyle name="Procent 2 6" xfId="162"/>
    <cellStyle name="Procent 2 7" xfId="401"/>
    <cellStyle name="Procent 2 8" xfId="33425"/>
    <cellStyle name="Procent 2 9" xfId="33696"/>
    <cellStyle name="Procent 20" xfId="22345"/>
    <cellStyle name="Procent 21" xfId="33148"/>
    <cellStyle name="Procent 3" xfId="92"/>
    <cellStyle name="Procent 3 2" xfId="414"/>
    <cellStyle name="Procent 4" xfId="69"/>
    <cellStyle name="Procent 4 10" xfId="3517"/>
    <cellStyle name="Procent 4 10 2" xfId="8502"/>
    <cellStyle name="Procent 4 10 2 2" xfId="19309"/>
    <cellStyle name="Procent 4 10 2 3" xfId="30666"/>
    <cellStyle name="Procent 4 10 3" xfId="14324"/>
    <cellStyle name="Procent 4 10 4" xfId="25682"/>
    <cellStyle name="Procent 4 11" xfId="5178"/>
    <cellStyle name="Procent 4 11 2" xfId="15987"/>
    <cellStyle name="Procent 4 11 3" xfId="27344"/>
    <cellStyle name="Procent 4 12" xfId="10162"/>
    <cellStyle name="Procent 4 12 2" xfId="20969"/>
    <cellStyle name="Procent 4 12 3" xfId="32326"/>
    <cellStyle name="Procent 4 13" xfId="10996"/>
    <cellStyle name="Procent 4 14" xfId="21803"/>
    <cellStyle name="Procent 4 15" xfId="22356"/>
    <cellStyle name="Procent 4 16" xfId="33159"/>
    <cellStyle name="Procent 4 17" xfId="33428"/>
    <cellStyle name="Procent 4 18" xfId="33699"/>
    <cellStyle name="Procent 4 2" xfId="199"/>
    <cellStyle name="Procent 4 2 10" xfId="21857"/>
    <cellStyle name="Procent 4 2 11" xfId="22410"/>
    <cellStyle name="Procent 4 2 12" xfId="33213"/>
    <cellStyle name="Procent 4 2 13" xfId="33488"/>
    <cellStyle name="Procent 4 2 14" xfId="33759"/>
    <cellStyle name="Procent 4 2 2" xfId="517"/>
    <cellStyle name="Procent 4 2 2 2" xfId="1349"/>
    <cellStyle name="Procent 4 2 2 2 2" xfId="3014"/>
    <cellStyle name="Procent 4 2 2 2 2 2" xfId="8002"/>
    <cellStyle name="Procent 4 2 2 2 2 2 2" xfId="18809"/>
    <cellStyle name="Procent 4 2 2 2 2 2 3" xfId="30166"/>
    <cellStyle name="Procent 4 2 2 2 2 3" xfId="13824"/>
    <cellStyle name="Procent 4 2 2 2 2 4" xfId="25182"/>
    <cellStyle name="Procent 4 2 2 2 3" xfId="4678"/>
    <cellStyle name="Procent 4 2 2 2 3 2" xfId="9663"/>
    <cellStyle name="Procent 4 2 2 2 3 2 2" xfId="20470"/>
    <cellStyle name="Procent 4 2 2 2 3 2 3" xfId="31827"/>
    <cellStyle name="Procent 4 2 2 2 3 3" xfId="15485"/>
    <cellStyle name="Procent 4 2 2 2 3 4" xfId="26843"/>
    <cellStyle name="Procent 4 2 2 2 4" xfId="6340"/>
    <cellStyle name="Procent 4 2 2 2 4 2" xfId="17148"/>
    <cellStyle name="Procent 4 2 2 2 4 3" xfId="28505"/>
    <cellStyle name="Procent 4 2 2 2 5" xfId="12163"/>
    <cellStyle name="Procent 4 2 2 2 6" xfId="23521"/>
    <cellStyle name="Procent 4 2 2 3" xfId="2183"/>
    <cellStyle name="Procent 4 2 2 3 2" xfId="7171"/>
    <cellStyle name="Procent 4 2 2 3 2 2" xfId="17978"/>
    <cellStyle name="Procent 4 2 2 3 2 3" xfId="29335"/>
    <cellStyle name="Procent 4 2 2 3 3" xfId="12993"/>
    <cellStyle name="Procent 4 2 2 3 4" xfId="24351"/>
    <cellStyle name="Procent 4 2 2 4" xfId="3847"/>
    <cellStyle name="Procent 4 2 2 4 2" xfId="8832"/>
    <cellStyle name="Procent 4 2 2 4 2 2" xfId="19639"/>
    <cellStyle name="Procent 4 2 2 4 2 3" xfId="30996"/>
    <cellStyle name="Procent 4 2 2 4 3" xfId="14654"/>
    <cellStyle name="Procent 4 2 2 4 4" xfId="26012"/>
    <cellStyle name="Procent 4 2 2 5" xfId="5509"/>
    <cellStyle name="Procent 4 2 2 5 2" xfId="16317"/>
    <cellStyle name="Procent 4 2 2 5 3" xfId="27674"/>
    <cellStyle name="Procent 4 2 2 6" xfId="10496"/>
    <cellStyle name="Procent 4 2 2 6 2" xfId="21303"/>
    <cellStyle name="Procent 4 2 2 6 3" xfId="32660"/>
    <cellStyle name="Procent 4 2 2 7" xfId="11330"/>
    <cellStyle name="Procent 4 2 2 8" xfId="22136"/>
    <cellStyle name="Procent 4 2 2 9" xfId="22690"/>
    <cellStyle name="Procent 4 2 3" xfId="791"/>
    <cellStyle name="Procent 4 2 3 2" xfId="1623"/>
    <cellStyle name="Procent 4 2 3 2 2" xfId="3288"/>
    <cellStyle name="Procent 4 2 3 2 2 2" xfId="8276"/>
    <cellStyle name="Procent 4 2 3 2 2 2 2" xfId="19083"/>
    <cellStyle name="Procent 4 2 3 2 2 2 3" xfId="30440"/>
    <cellStyle name="Procent 4 2 3 2 2 3" xfId="14098"/>
    <cellStyle name="Procent 4 2 3 2 2 4" xfId="25456"/>
    <cellStyle name="Procent 4 2 3 2 3" xfId="4952"/>
    <cellStyle name="Procent 4 2 3 2 3 2" xfId="9937"/>
    <cellStyle name="Procent 4 2 3 2 3 2 2" xfId="20744"/>
    <cellStyle name="Procent 4 2 3 2 3 2 3" xfId="32101"/>
    <cellStyle name="Procent 4 2 3 2 3 3" xfId="15759"/>
    <cellStyle name="Procent 4 2 3 2 3 4" xfId="27117"/>
    <cellStyle name="Procent 4 2 3 2 4" xfId="6614"/>
    <cellStyle name="Procent 4 2 3 2 4 2" xfId="17422"/>
    <cellStyle name="Procent 4 2 3 2 4 3" xfId="28779"/>
    <cellStyle name="Procent 4 2 3 2 5" xfId="12437"/>
    <cellStyle name="Procent 4 2 3 2 6" xfId="23795"/>
    <cellStyle name="Procent 4 2 3 3" xfId="2457"/>
    <cellStyle name="Procent 4 2 3 3 2" xfId="7445"/>
    <cellStyle name="Procent 4 2 3 3 2 2" xfId="18252"/>
    <cellStyle name="Procent 4 2 3 3 2 3" xfId="29609"/>
    <cellStyle name="Procent 4 2 3 3 3" xfId="13267"/>
    <cellStyle name="Procent 4 2 3 3 4" xfId="24625"/>
    <cellStyle name="Procent 4 2 3 4" xfId="4121"/>
    <cellStyle name="Procent 4 2 3 4 2" xfId="9106"/>
    <cellStyle name="Procent 4 2 3 4 2 2" xfId="19913"/>
    <cellStyle name="Procent 4 2 3 4 2 3" xfId="31270"/>
    <cellStyle name="Procent 4 2 3 4 3" xfId="14928"/>
    <cellStyle name="Procent 4 2 3 4 4" xfId="26286"/>
    <cellStyle name="Procent 4 2 3 5" xfId="5783"/>
    <cellStyle name="Procent 4 2 3 5 2" xfId="16591"/>
    <cellStyle name="Procent 4 2 3 5 3" xfId="27948"/>
    <cellStyle name="Procent 4 2 3 6" xfId="10770"/>
    <cellStyle name="Procent 4 2 3 6 2" xfId="21577"/>
    <cellStyle name="Procent 4 2 3 6 3" xfId="32934"/>
    <cellStyle name="Procent 4 2 3 7" xfId="11605"/>
    <cellStyle name="Procent 4 2 3 8" xfId="22964"/>
    <cellStyle name="Procent 4 2 4" xfId="1070"/>
    <cellStyle name="Procent 4 2 4 2" xfId="2735"/>
    <cellStyle name="Procent 4 2 4 2 2" xfId="7723"/>
    <cellStyle name="Procent 4 2 4 2 2 2" xfId="18530"/>
    <cellStyle name="Procent 4 2 4 2 2 3" xfId="29887"/>
    <cellStyle name="Procent 4 2 4 2 3" xfId="13545"/>
    <cellStyle name="Procent 4 2 4 2 4" xfId="24903"/>
    <cellStyle name="Procent 4 2 4 3" xfId="4399"/>
    <cellStyle name="Procent 4 2 4 3 2" xfId="9384"/>
    <cellStyle name="Procent 4 2 4 3 2 2" xfId="20191"/>
    <cellStyle name="Procent 4 2 4 3 2 3" xfId="31548"/>
    <cellStyle name="Procent 4 2 4 3 3" xfId="15206"/>
    <cellStyle name="Procent 4 2 4 3 4" xfId="26564"/>
    <cellStyle name="Procent 4 2 4 4" xfId="6061"/>
    <cellStyle name="Procent 4 2 4 4 2" xfId="16869"/>
    <cellStyle name="Procent 4 2 4 4 3" xfId="28226"/>
    <cellStyle name="Procent 4 2 4 5" xfId="11884"/>
    <cellStyle name="Procent 4 2 4 6" xfId="23242"/>
    <cellStyle name="Procent 4 2 5" xfId="1905"/>
    <cellStyle name="Procent 4 2 5 2" xfId="6893"/>
    <cellStyle name="Procent 4 2 5 2 2" xfId="17701"/>
    <cellStyle name="Procent 4 2 5 2 3" xfId="29058"/>
    <cellStyle name="Procent 4 2 5 3" xfId="12716"/>
    <cellStyle name="Procent 4 2 5 4" xfId="24074"/>
    <cellStyle name="Procent 4 2 6" xfId="3570"/>
    <cellStyle name="Procent 4 2 6 2" xfId="8555"/>
    <cellStyle name="Procent 4 2 6 2 2" xfId="19362"/>
    <cellStyle name="Procent 4 2 6 2 3" xfId="30719"/>
    <cellStyle name="Procent 4 2 6 3" xfId="14377"/>
    <cellStyle name="Procent 4 2 6 4" xfId="25735"/>
    <cellStyle name="Procent 4 2 7" xfId="5231"/>
    <cellStyle name="Procent 4 2 7 2" xfId="16040"/>
    <cellStyle name="Procent 4 2 7 3" xfId="27397"/>
    <cellStyle name="Procent 4 2 8" xfId="10216"/>
    <cellStyle name="Procent 4 2 8 2" xfId="21023"/>
    <cellStyle name="Procent 4 2 8 3" xfId="32380"/>
    <cellStyle name="Procent 4 2 9" xfId="11050"/>
    <cellStyle name="Procent 4 3" xfId="254"/>
    <cellStyle name="Procent 4 3 10" xfId="21911"/>
    <cellStyle name="Procent 4 3 11" xfId="22464"/>
    <cellStyle name="Procent 4 3 12" xfId="33267"/>
    <cellStyle name="Procent 4 3 13" xfId="33542"/>
    <cellStyle name="Procent 4 3 14" xfId="33813"/>
    <cellStyle name="Procent 4 3 2" xfId="571"/>
    <cellStyle name="Procent 4 3 2 2" xfId="1403"/>
    <cellStyle name="Procent 4 3 2 2 2" xfId="3068"/>
    <cellStyle name="Procent 4 3 2 2 2 2" xfId="8056"/>
    <cellStyle name="Procent 4 3 2 2 2 2 2" xfId="18863"/>
    <cellStyle name="Procent 4 3 2 2 2 2 3" xfId="30220"/>
    <cellStyle name="Procent 4 3 2 2 2 3" xfId="13878"/>
    <cellStyle name="Procent 4 3 2 2 2 4" xfId="25236"/>
    <cellStyle name="Procent 4 3 2 2 3" xfId="4732"/>
    <cellStyle name="Procent 4 3 2 2 3 2" xfId="9717"/>
    <cellStyle name="Procent 4 3 2 2 3 2 2" xfId="20524"/>
    <cellStyle name="Procent 4 3 2 2 3 2 3" xfId="31881"/>
    <cellStyle name="Procent 4 3 2 2 3 3" xfId="15539"/>
    <cellStyle name="Procent 4 3 2 2 3 4" xfId="26897"/>
    <cellStyle name="Procent 4 3 2 2 4" xfId="6394"/>
    <cellStyle name="Procent 4 3 2 2 4 2" xfId="17202"/>
    <cellStyle name="Procent 4 3 2 2 4 3" xfId="28559"/>
    <cellStyle name="Procent 4 3 2 2 5" xfId="12217"/>
    <cellStyle name="Procent 4 3 2 2 6" xfId="23575"/>
    <cellStyle name="Procent 4 3 2 3" xfId="2237"/>
    <cellStyle name="Procent 4 3 2 3 2" xfId="7225"/>
    <cellStyle name="Procent 4 3 2 3 2 2" xfId="18032"/>
    <cellStyle name="Procent 4 3 2 3 2 3" xfId="29389"/>
    <cellStyle name="Procent 4 3 2 3 3" xfId="13047"/>
    <cellStyle name="Procent 4 3 2 3 4" xfId="24405"/>
    <cellStyle name="Procent 4 3 2 4" xfId="3901"/>
    <cellStyle name="Procent 4 3 2 4 2" xfId="8886"/>
    <cellStyle name="Procent 4 3 2 4 2 2" xfId="19693"/>
    <cellStyle name="Procent 4 3 2 4 2 3" xfId="31050"/>
    <cellStyle name="Procent 4 3 2 4 3" xfId="14708"/>
    <cellStyle name="Procent 4 3 2 4 4" xfId="26066"/>
    <cellStyle name="Procent 4 3 2 5" xfId="5563"/>
    <cellStyle name="Procent 4 3 2 5 2" xfId="16371"/>
    <cellStyle name="Procent 4 3 2 5 3" xfId="27728"/>
    <cellStyle name="Procent 4 3 2 6" xfId="10550"/>
    <cellStyle name="Procent 4 3 2 6 2" xfId="21357"/>
    <cellStyle name="Procent 4 3 2 6 3" xfId="32714"/>
    <cellStyle name="Procent 4 3 2 7" xfId="11384"/>
    <cellStyle name="Procent 4 3 2 8" xfId="22190"/>
    <cellStyle name="Procent 4 3 2 9" xfId="22744"/>
    <cellStyle name="Procent 4 3 3" xfId="845"/>
    <cellStyle name="Procent 4 3 3 2" xfId="1677"/>
    <cellStyle name="Procent 4 3 3 2 2" xfId="3342"/>
    <cellStyle name="Procent 4 3 3 2 2 2" xfId="8330"/>
    <cellStyle name="Procent 4 3 3 2 2 2 2" xfId="19137"/>
    <cellStyle name="Procent 4 3 3 2 2 2 3" xfId="30494"/>
    <cellStyle name="Procent 4 3 3 2 2 3" xfId="14152"/>
    <cellStyle name="Procent 4 3 3 2 2 4" xfId="25510"/>
    <cellStyle name="Procent 4 3 3 2 3" xfId="5006"/>
    <cellStyle name="Procent 4 3 3 2 3 2" xfId="9991"/>
    <cellStyle name="Procent 4 3 3 2 3 2 2" xfId="20798"/>
    <cellStyle name="Procent 4 3 3 2 3 2 3" xfId="32155"/>
    <cellStyle name="Procent 4 3 3 2 3 3" xfId="15813"/>
    <cellStyle name="Procent 4 3 3 2 3 4" xfId="27171"/>
    <cellStyle name="Procent 4 3 3 2 4" xfId="6668"/>
    <cellStyle name="Procent 4 3 3 2 4 2" xfId="17476"/>
    <cellStyle name="Procent 4 3 3 2 4 3" xfId="28833"/>
    <cellStyle name="Procent 4 3 3 2 5" xfId="12491"/>
    <cellStyle name="Procent 4 3 3 2 6" xfId="23849"/>
    <cellStyle name="Procent 4 3 3 3" xfId="2511"/>
    <cellStyle name="Procent 4 3 3 3 2" xfId="7499"/>
    <cellStyle name="Procent 4 3 3 3 2 2" xfId="18306"/>
    <cellStyle name="Procent 4 3 3 3 2 3" xfId="29663"/>
    <cellStyle name="Procent 4 3 3 3 3" xfId="13321"/>
    <cellStyle name="Procent 4 3 3 3 4" xfId="24679"/>
    <cellStyle name="Procent 4 3 3 4" xfId="4175"/>
    <cellStyle name="Procent 4 3 3 4 2" xfId="9160"/>
    <cellStyle name="Procent 4 3 3 4 2 2" xfId="19967"/>
    <cellStyle name="Procent 4 3 3 4 2 3" xfId="31324"/>
    <cellStyle name="Procent 4 3 3 4 3" xfId="14982"/>
    <cellStyle name="Procent 4 3 3 4 4" xfId="26340"/>
    <cellStyle name="Procent 4 3 3 5" xfId="5837"/>
    <cellStyle name="Procent 4 3 3 5 2" xfId="16645"/>
    <cellStyle name="Procent 4 3 3 5 3" xfId="28002"/>
    <cellStyle name="Procent 4 3 3 6" xfId="10824"/>
    <cellStyle name="Procent 4 3 3 6 2" xfId="21631"/>
    <cellStyle name="Procent 4 3 3 6 3" xfId="32988"/>
    <cellStyle name="Procent 4 3 3 7" xfId="11659"/>
    <cellStyle name="Procent 4 3 3 8" xfId="23018"/>
    <cellStyle name="Procent 4 3 4" xfId="1124"/>
    <cellStyle name="Procent 4 3 4 2" xfId="2789"/>
    <cellStyle name="Procent 4 3 4 2 2" xfId="7777"/>
    <cellStyle name="Procent 4 3 4 2 2 2" xfId="18584"/>
    <cellStyle name="Procent 4 3 4 2 2 3" xfId="29941"/>
    <cellStyle name="Procent 4 3 4 2 3" xfId="13599"/>
    <cellStyle name="Procent 4 3 4 2 4" xfId="24957"/>
    <cellStyle name="Procent 4 3 4 3" xfId="4453"/>
    <cellStyle name="Procent 4 3 4 3 2" xfId="9438"/>
    <cellStyle name="Procent 4 3 4 3 2 2" xfId="20245"/>
    <cellStyle name="Procent 4 3 4 3 2 3" xfId="31602"/>
    <cellStyle name="Procent 4 3 4 3 3" xfId="15260"/>
    <cellStyle name="Procent 4 3 4 3 4" xfId="26618"/>
    <cellStyle name="Procent 4 3 4 4" xfId="6115"/>
    <cellStyle name="Procent 4 3 4 4 2" xfId="16923"/>
    <cellStyle name="Procent 4 3 4 4 3" xfId="28280"/>
    <cellStyle name="Procent 4 3 4 5" xfId="11938"/>
    <cellStyle name="Procent 4 3 4 6" xfId="23296"/>
    <cellStyle name="Procent 4 3 5" xfId="1959"/>
    <cellStyle name="Procent 4 3 5 2" xfId="6947"/>
    <cellStyle name="Procent 4 3 5 2 2" xfId="17755"/>
    <cellStyle name="Procent 4 3 5 2 3" xfId="29112"/>
    <cellStyle name="Procent 4 3 5 3" xfId="12770"/>
    <cellStyle name="Procent 4 3 5 4" xfId="24128"/>
    <cellStyle name="Procent 4 3 6" xfId="3624"/>
    <cellStyle name="Procent 4 3 6 2" xfId="8609"/>
    <cellStyle name="Procent 4 3 6 2 2" xfId="19416"/>
    <cellStyle name="Procent 4 3 6 2 3" xfId="30773"/>
    <cellStyle name="Procent 4 3 6 3" xfId="14431"/>
    <cellStyle name="Procent 4 3 6 4" xfId="25789"/>
    <cellStyle name="Procent 4 3 7" xfId="5285"/>
    <cellStyle name="Procent 4 3 7 2" xfId="16094"/>
    <cellStyle name="Procent 4 3 7 3" xfId="27451"/>
    <cellStyle name="Procent 4 3 8" xfId="10270"/>
    <cellStyle name="Procent 4 3 8 2" xfId="21077"/>
    <cellStyle name="Procent 4 3 8 3" xfId="32434"/>
    <cellStyle name="Procent 4 3 9" xfId="11104"/>
    <cellStyle name="Procent 4 4" xfId="309"/>
    <cellStyle name="Procent 4 4 10" xfId="21966"/>
    <cellStyle name="Procent 4 4 11" xfId="22519"/>
    <cellStyle name="Procent 4 4 12" xfId="33322"/>
    <cellStyle name="Procent 4 4 13" xfId="33597"/>
    <cellStyle name="Procent 4 4 14" xfId="33868"/>
    <cellStyle name="Procent 4 4 2" xfId="626"/>
    <cellStyle name="Procent 4 4 2 2" xfId="1458"/>
    <cellStyle name="Procent 4 4 2 2 2" xfId="3123"/>
    <cellStyle name="Procent 4 4 2 2 2 2" xfId="8111"/>
    <cellStyle name="Procent 4 4 2 2 2 2 2" xfId="18918"/>
    <cellStyle name="Procent 4 4 2 2 2 2 3" xfId="30275"/>
    <cellStyle name="Procent 4 4 2 2 2 3" xfId="13933"/>
    <cellStyle name="Procent 4 4 2 2 2 4" xfId="25291"/>
    <cellStyle name="Procent 4 4 2 2 3" xfId="4787"/>
    <cellStyle name="Procent 4 4 2 2 3 2" xfId="9772"/>
    <cellStyle name="Procent 4 4 2 2 3 2 2" xfId="20579"/>
    <cellStyle name="Procent 4 4 2 2 3 2 3" xfId="31936"/>
    <cellStyle name="Procent 4 4 2 2 3 3" xfId="15594"/>
    <cellStyle name="Procent 4 4 2 2 3 4" xfId="26952"/>
    <cellStyle name="Procent 4 4 2 2 4" xfId="6449"/>
    <cellStyle name="Procent 4 4 2 2 4 2" xfId="17257"/>
    <cellStyle name="Procent 4 4 2 2 4 3" xfId="28614"/>
    <cellStyle name="Procent 4 4 2 2 5" xfId="12272"/>
    <cellStyle name="Procent 4 4 2 2 6" xfId="23630"/>
    <cellStyle name="Procent 4 4 2 3" xfId="2292"/>
    <cellStyle name="Procent 4 4 2 3 2" xfId="7280"/>
    <cellStyle name="Procent 4 4 2 3 2 2" xfId="18087"/>
    <cellStyle name="Procent 4 4 2 3 2 3" xfId="29444"/>
    <cellStyle name="Procent 4 4 2 3 3" xfId="13102"/>
    <cellStyle name="Procent 4 4 2 3 4" xfId="24460"/>
    <cellStyle name="Procent 4 4 2 4" xfId="3956"/>
    <cellStyle name="Procent 4 4 2 4 2" xfId="8941"/>
    <cellStyle name="Procent 4 4 2 4 2 2" xfId="19748"/>
    <cellStyle name="Procent 4 4 2 4 2 3" xfId="31105"/>
    <cellStyle name="Procent 4 4 2 4 3" xfId="14763"/>
    <cellStyle name="Procent 4 4 2 4 4" xfId="26121"/>
    <cellStyle name="Procent 4 4 2 5" xfId="5618"/>
    <cellStyle name="Procent 4 4 2 5 2" xfId="16426"/>
    <cellStyle name="Procent 4 4 2 5 3" xfId="27783"/>
    <cellStyle name="Procent 4 4 2 6" xfId="10605"/>
    <cellStyle name="Procent 4 4 2 6 2" xfId="21412"/>
    <cellStyle name="Procent 4 4 2 6 3" xfId="32769"/>
    <cellStyle name="Procent 4 4 2 7" xfId="11439"/>
    <cellStyle name="Procent 4 4 2 8" xfId="22245"/>
    <cellStyle name="Procent 4 4 2 9" xfId="22799"/>
    <cellStyle name="Procent 4 4 3" xfId="900"/>
    <cellStyle name="Procent 4 4 3 2" xfId="1732"/>
    <cellStyle name="Procent 4 4 3 2 2" xfId="3397"/>
    <cellStyle name="Procent 4 4 3 2 2 2" xfId="8385"/>
    <cellStyle name="Procent 4 4 3 2 2 2 2" xfId="19192"/>
    <cellStyle name="Procent 4 4 3 2 2 2 3" xfId="30549"/>
    <cellStyle name="Procent 4 4 3 2 2 3" xfId="14207"/>
    <cellStyle name="Procent 4 4 3 2 2 4" xfId="25565"/>
    <cellStyle name="Procent 4 4 3 2 3" xfId="5061"/>
    <cellStyle name="Procent 4 4 3 2 3 2" xfId="10046"/>
    <cellStyle name="Procent 4 4 3 2 3 2 2" xfId="20853"/>
    <cellStyle name="Procent 4 4 3 2 3 2 3" xfId="32210"/>
    <cellStyle name="Procent 4 4 3 2 3 3" xfId="15868"/>
    <cellStyle name="Procent 4 4 3 2 3 4" xfId="27226"/>
    <cellStyle name="Procent 4 4 3 2 4" xfId="6723"/>
    <cellStyle name="Procent 4 4 3 2 4 2" xfId="17531"/>
    <cellStyle name="Procent 4 4 3 2 4 3" xfId="28888"/>
    <cellStyle name="Procent 4 4 3 2 5" xfId="12546"/>
    <cellStyle name="Procent 4 4 3 2 6" xfId="23904"/>
    <cellStyle name="Procent 4 4 3 3" xfId="2566"/>
    <cellStyle name="Procent 4 4 3 3 2" xfId="7554"/>
    <cellStyle name="Procent 4 4 3 3 2 2" xfId="18361"/>
    <cellStyle name="Procent 4 4 3 3 2 3" xfId="29718"/>
    <cellStyle name="Procent 4 4 3 3 3" xfId="13376"/>
    <cellStyle name="Procent 4 4 3 3 4" xfId="24734"/>
    <cellStyle name="Procent 4 4 3 4" xfId="4230"/>
    <cellStyle name="Procent 4 4 3 4 2" xfId="9215"/>
    <cellStyle name="Procent 4 4 3 4 2 2" xfId="20022"/>
    <cellStyle name="Procent 4 4 3 4 2 3" xfId="31379"/>
    <cellStyle name="Procent 4 4 3 4 3" xfId="15037"/>
    <cellStyle name="Procent 4 4 3 4 4" xfId="26395"/>
    <cellStyle name="Procent 4 4 3 5" xfId="5892"/>
    <cellStyle name="Procent 4 4 3 5 2" xfId="16700"/>
    <cellStyle name="Procent 4 4 3 5 3" xfId="28057"/>
    <cellStyle name="Procent 4 4 3 6" xfId="10879"/>
    <cellStyle name="Procent 4 4 3 6 2" xfId="21686"/>
    <cellStyle name="Procent 4 4 3 6 3" xfId="33043"/>
    <cellStyle name="Procent 4 4 3 7" xfId="11714"/>
    <cellStyle name="Procent 4 4 3 8" xfId="23073"/>
    <cellStyle name="Procent 4 4 4" xfId="1179"/>
    <cellStyle name="Procent 4 4 4 2" xfId="2844"/>
    <cellStyle name="Procent 4 4 4 2 2" xfId="7832"/>
    <cellStyle name="Procent 4 4 4 2 2 2" xfId="18639"/>
    <cellStyle name="Procent 4 4 4 2 2 3" xfId="29996"/>
    <cellStyle name="Procent 4 4 4 2 3" xfId="13654"/>
    <cellStyle name="Procent 4 4 4 2 4" xfId="25012"/>
    <cellStyle name="Procent 4 4 4 3" xfId="4508"/>
    <cellStyle name="Procent 4 4 4 3 2" xfId="9493"/>
    <cellStyle name="Procent 4 4 4 3 2 2" xfId="20300"/>
    <cellStyle name="Procent 4 4 4 3 2 3" xfId="31657"/>
    <cellStyle name="Procent 4 4 4 3 3" xfId="15315"/>
    <cellStyle name="Procent 4 4 4 3 4" xfId="26673"/>
    <cellStyle name="Procent 4 4 4 4" xfId="6170"/>
    <cellStyle name="Procent 4 4 4 4 2" xfId="16978"/>
    <cellStyle name="Procent 4 4 4 4 3" xfId="28335"/>
    <cellStyle name="Procent 4 4 4 5" xfId="11993"/>
    <cellStyle name="Procent 4 4 4 6" xfId="23351"/>
    <cellStyle name="Procent 4 4 5" xfId="2014"/>
    <cellStyle name="Procent 4 4 5 2" xfId="7002"/>
    <cellStyle name="Procent 4 4 5 2 2" xfId="17810"/>
    <cellStyle name="Procent 4 4 5 2 3" xfId="29167"/>
    <cellStyle name="Procent 4 4 5 3" xfId="12825"/>
    <cellStyle name="Procent 4 4 5 4" xfId="24183"/>
    <cellStyle name="Procent 4 4 6" xfId="3679"/>
    <cellStyle name="Procent 4 4 6 2" xfId="8664"/>
    <cellStyle name="Procent 4 4 6 2 2" xfId="19471"/>
    <cellStyle name="Procent 4 4 6 2 3" xfId="30828"/>
    <cellStyle name="Procent 4 4 6 3" xfId="14486"/>
    <cellStyle name="Procent 4 4 6 4" xfId="25844"/>
    <cellStyle name="Procent 4 4 7" xfId="5340"/>
    <cellStyle name="Procent 4 4 7 2" xfId="16149"/>
    <cellStyle name="Procent 4 4 7 3" xfId="27506"/>
    <cellStyle name="Procent 4 4 8" xfId="10325"/>
    <cellStyle name="Procent 4 4 8 2" xfId="21132"/>
    <cellStyle name="Procent 4 4 8 3" xfId="32489"/>
    <cellStyle name="Procent 4 4 9" xfId="11159"/>
    <cellStyle name="Procent 4 5" xfId="365"/>
    <cellStyle name="Procent 4 5 10" xfId="22022"/>
    <cellStyle name="Procent 4 5 11" xfId="22575"/>
    <cellStyle name="Procent 4 5 12" xfId="33378"/>
    <cellStyle name="Procent 4 5 13" xfId="33653"/>
    <cellStyle name="Procent 4 5 14" xfId="33924"/>
    <cellStyle name="Procent 4 5 2" xfId="682"/>
    <cellStyle name="Procent 4 5 2 2" xfId="1514"/>
    <cellStyle name="Procent 4 5 2 2 2" xfId="3179"/>
    <cellStyle name="Procent 4 5 2 2 2 2" xfId="8167"/>
    <cellStyle name="Procent 4 5 2 2 2 2 2" xfId="18974"/>
    <cellStyle name="Procent 4 5 2 2 2 2 3" xfId="30331"/>
    <cellStyle name="Procent 4 5 2 2 2 3" xfId="13989"/>
    <cellStyle name="Procent 4 5 2 2 2 4" xfId="25347"/>
    <cellStyle name="Procent 4 5 2 2 3" xfId="4843"/>
    <cellStyle name="Procent 4 5 2 2 3 2" xfId="9828"/>
    <cellStyle name="Procent 4 5 2 2 3 2 2" xfId="20635"/>
    <cellStyle name="Procent 4 5 2 2 3 2 3" xfId="31992"/>
    <cellStyle name="Procent 4 5 2 2 3 3" xfId="15650"/>
    <cellStyle name="Procent 4 5 2 2 3 4" xfId="27008"/>
    <cellStyle name="Procent 4 5 2 2 4" xfId="6505"/>
    <cellStyle name="Procent 4 5 2 2 4 2" xfId="17313"/>
    <cellStyle name="Procent 4 5 2 2 4 3" xfId="28670"/>
    <cellStyle name="Procent 4 5 2 2 5" xfId="12328"/>
    <cellStyle name="Procent 4 5 2 2 6" xfId="23686"/>
    <cellStyle name="Procent 4 5 2 3" xfId="2348"/>
    <cellStyle name="Procent 4 5 2 3 2" xfId="7336"/>
    <cellStyle name="Procent 4 5 2 3 2 2" xfId="18143"/>
    <cellStyle name="Procent 4 5 2 3 2 3" xfId="29500"/>
    <cellStyle name="Procent 4 5 2 3 3" xfId="13158"/>
    <cellStyle name="Procent 4 5 2 3 4" xfId="24516"/>
    <cellStyle name="Procent 4 5 2 4" xfId="4012"/>
    <cellStyle name="Procent 4 5 2 4 2" xfId="8997"/>
    <cellStyle name="Procent 4 5 2 4 2 2" xfId="19804"/>
    <cellStyle name="Procent 4 5 2 4 2 3" xfId="31161"/>
    <cellStyle name="Procent 4 5 2 4 3" xfId="14819"/>
    <cellStyle name="Procent 4 5 2 4 4" xfId="26177"/>
    <cellStyle name="Procent 4 5 2 5" xfId="5674"/>
    <cellStyle name="Procent 4 5 2 5 2" xfId="16482"/>
    <cellStyle name="Procent 4 5 2 5 3" xfId="27839"/>
    <cellStyle name="Procent 4 5 2 6" xfId="10661"/>
    <cellStyle name="Procent 4 5 2 6 2" xfId="21468"/>
    <cellStyle name="Procent 4 5 2 6 3" xfId="32825"/>
    <cellStyle name="Procent 4 5 2 7" xfId="11495"/>
    <cellStyle name="Procent 4 5 2 8" xfId="22301"/>
    <cellStyle name="Procent 4 5 2 9" xfId="22855"/>
    <cellStyle name="Procent 4 5 3" xfId="956"/>
    <cellStyle name="Procent 4 5 3 2" xfId="1788"/>
    <cellStyle name="Procent 4 5 3 2 2" xfId="3453"/>
    <cellStyle name="Procent 4 5 3 2 2 2" xfId="8441"/>
    <cellStyle name="Procent 4 5 3 2 2 2 2" xfId="19248"/>
    <cellStyle name="Procent 4 5 3 2 2 2 3" xfId="30605"/>
    <cellStyle name="Procent 4 5 3 2 2 3" xfId="14263"/>
    <cellStyle name="Procent 4 5 3 2 2 4" xfId="25621"/>
    <cellStyle name="Procent 4 5 3 2 3" xfId="5117"/>
    <cellStyle name="Procent 4 5 3 2 3 2" xfId="10102"/>
    <cellStyle name="Procent 4 5 3 2 3 2 2" xfId="20909"/>
    <cellStyle name="Procent 4 5 3 2 3 2 3" xfId="32266"/>
    <cellStyle name="Procent 4 5 3 2 3 3" xfId="15924"/>
    <cellStyle name="Procent 4 5 3 2 3 4" xfId="27282"/>
    <cellStyle name="Procent 4 5 3 2 4" xfId="6779"/>
    <cellStyle name="Procent 4 5 3 2 4 2" xfId="17587"/>
    <cellStyle name="Procent 4 5 3 2 4 3" xfId="28944"/>
    <cellStyle name="Procent 4 5 3 2 5" xfId="12602"/>
    <cellStyle name="Procent 4 5 3 2 6" xfId="23960"/>
    <cellStyle name="Procent 4 5 3 3" xfId="2622"/>
    <cellStyle name="Procent 4 5 3 3 2" xfId="7610"/>
    <cellStyle name="Procent 4 5 3 3 2 2" xfId="18417"/>
    <cellStyle name="Procent 4 5 3 3 2 3" xfId="29774"/>
    <cellStyle name="Procent 4 5 3 3 3" xfId="13432"/>
    <cellStyle name="Procent 4 5 3 3 4" xfId="24790"/>
    <cellStyle name="Procent 4 5 3 4" xfId="4286"/>
    <cellStyle name="Procent 4 5 3 4 2" xfId="9271"/>
    <cellStyle name="Procent 4 5 3 4 2 2" xfId="20078"/>
    <cellStyle name="Procent 4 5 3 4 2 3" xfId="31435"/>
    <cellStyle name="Procent 4 5 3 4 3" xfId="15093"/>
    <cellStyle name="Procent 4 5 3 4 4" xfId="26451"/>
    <cellStyle name="Procent 4 5 3 5" xfId="5948"/>
    <cellStyle name="Procent 4 5 3 5 2" xfId="16756"/>
    <cellStyle name="Procent 4 5 3 5 3" xfId="28113"/>
    <cellStyle name="Procent 4 5 3 6" xfId="10935"/>
    <cellStyle name="Procent 4 5 3 6 2" xfId="21742"/>
    <cellStyle name="Procent 4 5 3 6 3" xfId="33099"/>
    <cellStyle name="Procent 4 5 3 7" xfId="11770"/>
    <cellStyle name="Procent 4 5 3 8" xfId="23129"/>
    <cellStyle name="Procent 4 5 4" xfId="1235"/>
    <cellStyle name="Procent 4 5 4 2" xfId="2900"/>
    <cellStyle name="Procent 4 5 4 2 2" xfId="7888"/>
    <cellStyle name="Procent 4 5 4 2 2 2" xfId="18695"/>
    <cellStyle name="Procent 4 5 4 2 2 3" xfId="30052"/>
    <cellStyle name="Procent 4 5 4 2 3" xfId="13710"/>
    <cellStyle name="Procent 4 5 4 2 4" xfId="25068"/>
    <cellStyle name="Procent 4 5 4 3" xfId="4564"/>
    <cellStyle name="Procent 4 5 4 3 2" xfId="9549"/>
    <cellStyle name="Procent 4 5 4 3 2 2" xfId="20356"/>
    <cellStyle name="Procent 4 5 4 3 2 3" xfId="31713"/>
    <cellStyle name="Procent 4 5 4 3 3" xfId="15371"/>
    <cellStyle name="Procent 4 5 4 3 4" xfId="26729"/>
    <cellStyle name="Procent 4 5 4 4" xfId="6226"/>
    <cellStyle name="Procent 4 5 4 4 2" xfId="17034"/>
    <cellStyle name="Procent 4 5 4 4 3" xfId="28391"/>
    <cellStyle name="Procent 4 5 4 5" xfId="12049"/>
    <cellStyle name="Procent 4 5 4 6" xfId="23407"/>
    <cellStyle name="Procent 4 5 5" xfId="2070"/>
    <cellStyle name="Procent 4 5 5 2" xfId="7058"/>
    <cellStyle name="Procent 4 5 5 2 2" xfId="17866"/>
    <cellStyle name="Procent 4 5 5 2 3" xfId="29223"/>
    <cellStyle name="Procent 4 5 5 3" xfId="12881"/>
    <cellStyle name="Procent 4 5 5 4" xfId="24239"/>
    <cellStyle name="Procent 4 5 6" xfId="3735"/>
    <cellStyle name="Procent 4 5 6 2" xfId="8720"/>
    <cellStyle name="Procent 4 5 6 2 2" xfId="19527"/>
    <cellStyle name="Procent 4 5 6 2 3" xfId="30884"/>
    <cellStyle name="Procent 4 5 6 3" xfId="14542"/>
    <cellStyle name="Procent 4 5 6 4" xfId="25900"/>
    <cellStyle name="Procent 4 5 7" xfId="5396"/>
    <cellStyle name="Procent 4 5 7 2" xfId="16205"/>
    <cellStyle name="Procent 4 5 7 3" xfId="27562"/>
    <cellStyle name="Procent 4 5 8" xfId="10381"/>
    <cellStyle name="Procent 4 5 8 2" xfId="21188"/>
    <cellStyle name="Procent 4 5 8 3" xfId="32545"/>
    <cellStyle name="Procent 4 5 9" xfId="11215"/>
    <cellStyle name="Procent 4 6" xfId="465"/>
    <cellStyle name="Procent 4 6 2" xfId="1295"/>
    <cellStyle name="Procent 4 6 2 2" xfId="2960"/>
    <cellStyle name="Procent 4 6 2 2 2" xfId="7948"/>
    <cellStyle name="Procent 4 6 2 2 2 2" xfId="18755"/>
    <cellStyle name="Procent 4 6 2 2 2 3" xfId="30112"/>
    <cellStyle name="Procent 4 6 2 2 3" xfId="13770"/>
    <cellStyle name="Procent 4 6 2 2 4" xfId="25128"/>
    <cellStyle name="Procent 4 6 2 3" xfId="4624"/>
    <cellStyle name="Procent 4 6 2 3 2" xfId="9609"/>
    <cellStyle name="Procent 4 6 2 3 2 2" xfId="20416"/>
    <cellStyle name="Procent 4 6 2 3 2 3" xfId="31773"/>
    <cellStyle name="Procent 4 6 2 3 3" xfId="15431"/>
    <cellStyle name="Procent 4 6 2 3 4" xfId="26789"/>
    <cellStyle name="Procent 4 6 2 4" xfId="6286"/>
    <cellStyle name="Procent 4 6 2 4 2" xfId="17094"/>
    <cellStyle name="Procent 4 6 2 4 3" xfId="28451"/>
    <cellStyle name="Procent 4 6 2 5" xfId="12109"/>
    <cellStyle name="Procent 4 6 2 6" xfId="23467"/>
    <cellStyle name="Procent 4 6 3" xfId="2131"/>
    <cellStyle name="Procent 4 6 3 2" xfId="7119"/>
    <cellStyle name="Procent 4 6 3 2 2" xfId="17926"/>
    <cellStyle name="Procent 4 6 3 2 3" xfId="29283"/>
    <cellStyle name="Procent 4 6 3 3" xfId="12941"/>
    <cellStyle name="Procent 4 6 3 4" xfId="24299"/>
    <cellStyle name="Procent 4 6 4" xfId="3795"/>
    <cellStyle name="Procent 4 6 4 2" xfId="8780"/>
    <cellStyle name="Procent 4 6 4 2 2" xfId="19587"/>
    <cellStyle name="Procent 4 6 4 2 3" xfId="30944"/>
    <cellStyle name="Procent 4 6 4 3" xfId="14602"/>
    <cellStyle name="Procent 4 6 4 4" xfId="25960"/>
    <cellStyle name="Procent 4 6 5" xfId="5457"/>
    <cellStyle name="Procent 4 6 5 2" xfId="16265"/>
    <cellStyle name="Procent 4 6 5 3" xfId="27622"/>
    <cellStyle name="Procent 4 6 6" xfId="10420"/>
    <cellStyle name="Procent 4 6 6 2" xfId="21227"/>
    <cellStyle name="Procent 4 6 6 3" xfId="32584"/>
    <cellStyle name="Procent 4 6 7" xfId="11276"/>
    <cellStyle name="Procent 4 6 8" xfId="22082"/>
    <cellStyle name="Procent 4 6 9" xfId="22636"/>
    <cellStyle name="Procent 4 7" xfId="737"/>
    <cellStyle name="Procent 4 7 2" xfId="1569"/>
    <cellStyle name="Procent 4 7 2 2" xfId="3234"/>
    <cellStyle name="Procent 4 7 2 2 2" xfId="8222"/>
    <cellStyle name="Procent 4 7 2 2 2 2" xfId="19029"/>
    <cellStyle name="Procent 4 7 2 2 2 3" xfId="30386"/>
    <cellStyle name="Procent 4 7 2 2 3" xfId="14044"/>
    <cellStyle name="Procent 4 7 2 2 4" xfId="25402"/>
    <cellStyle name="Procent 4 7 2 3" xfId="4898"/>
    <cellStyle name="Procent 4 7 2 3 2" xfId="9883"/>
    <cellStyle name="Procent 4 7 2 3 2 2" xfId="20690"/>
    <cellStyle name="Procent 4 7 2 3 2 3" xfId="32047"/>
    <cellStyle name="Procent 4 7 2 3 3" xfId="15705"/>
    <cellStyle name="Procent 4 7 2 3 4" xfId="27063"/>
    <cellStyle name="Procent 4 7 2 4" xfId="6560"/>
    <cellStyle name="Procent 4 7 2 4 2" xfId="17368"/>
    <cellStyle name="Procent 4 7 2 4 3" xfId="28725"/>
    <cellStyle name="Procent 4 7 2 5" xfId="12383"/>
    <cellStyle name="Procent 4 7 2 6" xfId="23741"/>
    <cellStyle name="Procent 4 7 3" xfId="2403"/>
    <cellStyle name="Procent 4 7 3 2" xfId="7391"/>
    <cellStyle name="Procent 4 7 3 2 2" xfId="18198"/>
    <cellStyle name="Procent 4 7 3 2 3" xfId="29555"/>
    <cellStyle name="Procent 4 7 3 3" xfId="13213"/>
    <cellStyle name="Procent 4 7 3 4" xfId="24571"/>
    <cellStyle name="Procent 4 7 4" xfId="4067"/>
    <cellStyle name="Procent 4 7 4 2" xfId="9052"/>
    <cellStyle name="Procent 4 7 4 2 2" xfId="19859"/>
    <cellStyle name="Procent 4 7 4 2 3" xfId="31216"/>
    <cellStyle name="Procent 4 7 4 3" xfId="14874"/>
    <cellStyle name="Procent 4 7 4 4" xfId="26232"/>
    <cellStyle name="Procent 4 7 5" xfId="5729"/>
    <cellStyle name="Procent 4 7 5 2" xfId="16537"/>
    <cellStyle name="Procent 4 7 5 3" xfId="27894"/>
    <cellStyle name="Procent 4 7 6" xfId="10716"/>
    <cellStyle name="Procent 4 7 6 2" xfId="21523"/>
    <cellStyle name="Procent 4 7 6 3" xfId="32880"/>
    <cellStyle name="Procent 4 7 7" xfId="11551"/>
    <cellStyle name="Procent 4 7 8" xfId="22910"/>
    <cellStyle name="Procent 4 8" xfId="1016"/>
    <cellStyle name="Procent 4 8 2" xfId="2681"/>
    <cellStyle name="Procent 4 8 2 2" xfId="7669"/>
    <cellStyle name="Procent 4 8 2 2 2" xfId="18476"/>
    <cellStyle name="Procent 4 8 2 2 3" xfId="29833"/>
    <cellStyle name="Procent 4 8 2 3" xfId="13491"/>
    <cellStyle name="Procent 4 8 2 4" xfId="24849"/>
    <cellStyle name="Procent 4 8 3" xfId="4345"/>
    <cellStyle name="Procent 4 8 3 2" xfId="9330"/>
    <cellStyle name="Procent 4 8 3 2 2" xfId="20137"/>
    <cellStyle name="Procent 4 8 3 2 3" xfId="31494"/>
    <cellStyle name="Procent 4 8 3 3" xfId="15152"/>
    <cellStyle name="Procent 4 8 3 4" xfId="26510"/>
    <cellStyle name="Procent 4 8 4" xfId="6007"/>
    <cellStyle name="Procent 4 8 4 2" xfId="16815"/>
    <cellStyle name="Procent 4 8 4 3" xfId="28172"/>
    <cellStyle name="Procent 4 8 5" xfId="11830"/>
    <cellStyle name="Procent 4 8 6" xfId="23188"/>
    <cellStyle name="Procent 4 9" xfId="1852"/>
    <cellStyle name="Procent 4 9 2" xfId="6840"/>
    <cellStyle name="Procent 4 9 2 2" xfId="17648"/>
    <cellStyle name="Procent 4 9 2 3" xfId="29005"/>
    <cellStyle name="Procent 4 9 3" xfId="12663"/>
    <cellStyle name="Procent 4 9 4" xfId="24021"/>
    <cellStyle name="Procent 5" xfId="106"/>
    <cellStyle name="Procent 5 10" xfId="1043"/>
    <cellStyle name="Procent 5 10 2" xfId="2708"/>
    <cellStyle name="Procent 5 10 2 2" xfId="7696"/>
    <cellStyle name="Procent 5 10 2 2 2" xfId="18503"/>
    <cellStyle name="Procent 5 10 2 2 3" xfId="29860"/>
    <cellStyle name="Procent 5 10 2 3" xfId="13518"/>
    <cellStyle name="Procent 5 10 2 4" xfId="24876"/>
    <cellStyle name="Procent 5 10 3" xfId="4372"/>
    <cellStyle name="Procent 5 10 3 2" xfId="9357"/>
    <cellStyle name="Procent 5 10 3 2 2" xfId="20164"/>
    <cellStyle name="Procent 5 10 3 2 3" xfId="31521"/>
    <cellStyle name="Procent 5 10 3 3" xfId="15179"/>
    <cellStyle name="Procent 5 10 3 4" xfId="26537"/>
    <cellStyle name="Procent 5 10 4" xfId="6034"/>
    <cellStyle name="Procent 5 10 4 2" xfId="16842"/>
    <cellStyle name="Procent 5 10 4 3" xfId="28199"/>
    <cellStyle name="Procent 5 10 5" xfId="11857"/>
    <cellStyle name="Procent 5 10 6" xfId="23215"/>
    <cellStyle name="Procent 5 11" xfId="1879"/>
    <cellStyle name="Procent 5 11 2" xfId="6867"/>
    <cellStyle name="Procent 5 11 2 2" xfId="17675"/>
    <cellStyle name="Procent 5 11 2 3" xfId="29032"/>
    <cellStyle name="Procent 5 11 3" xfId="12690"/>
    <cellStyle name="Procent 5 11 4" xfId="24048"/>
    <cellStyle name="Procent 5 12" xfId="3544"/>
    <cellStyle name="Procent 5 12 2" xfId="8529"/>
    <cellStyle name="Procent 5 12 2 2" xfId="19336"/>
    <cellStyle name="Procent 5 12 2 3" xfId="30693"/>
    <cellStyle name="Procent 5 12 3" xfId="14351"/>
    <cellStyle name="Procent 5 12 4" xfId="25709"/>
    <cellStyle name="Procent 5 13" xfId="5205"/>
    <cellStyle name="Procent 5 13 2" xfId="16014"/>
    <cellStyle name="Procent 5 13 3" xfId="27371"/>
    <cellStyle name="Procent 5 14" xfId="10189"/>
    <cellStyle name="Procent 5 14 2" xfId="20996"/>
    <cellStyle name="Procent 5 14 3" xfId="32353"/>
    <cellStyle name="Procent 5 15" xfId="11023"/>
    <cellStyle name="Procent 5 16" xfId="21830"/>
    <cellStyle name="Procent 5 17" xfId="22383"/>
    <cellStyle name="Procent 5 18" xfId="33186"/>
    <cellStyle name="Procent 5 19" xfId="33460"/>
    <cellStyle name="Procent 5 2" xfId="226"/>
    <cellStyle name="Procent 5 2 10" xfId="21884"/>
    <cellStyle name="Procent 5 2 11" xfId="22437"/>
    <cellStyle name="Procent 5 2 12" xfId="33240"/>
    <cellStyle name="Procent 5 2 13" xfId="33515"/>
    <cellStyle name="Procent 5 2 14" xfId="33786"/>
    <cellStyle name="Procent 5 2 2" xfId="544"/>
    <cellStyle name="Procent 5 2 2 2" xfId="1376"/>
    <cellStyle name="Procent 5 2 2 2 2" xfId="3041"/>
    <cellStyle name="Procent 5 2 2 2 2 2" xfId="8029"/>
    <cellStyle name="Procent 5 2 2 2 2 2 2" xfId="18836"/>
    <cellStyle name="Procent 5 2 2 2 2 2 3" xfId="30193"/>
    <cellStyle name="Procent 5 2 2 2 2 3" xfId="13851"/>
    <cellStyle name="Procent 5 2 2 2 2 4" xfId="25209"/>
    <cellStyle name="Procent 5 2 2 2 3" xfId="4705"/>
    <cellStyle name="Procent 5 2 2 2 3 2" xfId="9690"/>
    <cellStyle name="Procent 5 2 2 2 3 2 2" xfId="20497"/>
    <cellStyle name="Procent 5 2 2 2 3 2 3" xfId="31854"/>
    <cellStyle name="Procent 5 2 2 2 3 3" xfId="15512"/>
    <cellStyle name="Procent 5 2 2 2 3 4" xfId="26870"/>
    <cellStyle name="Procent 5 2 2 2 4" xfId="6367"/>
    <cellStyle name="Procent 5 2 2 2 4 2" xfId="17175"/>
    <cellStyle name="Procent 5 2 2 2 4 3" xfId="28532"/>
    <cellStyle name="Procent 5 2 2 2 5" xfId="12190"/>
    <cellStyle name="Procent 5 2 2 2 6" xfId="23548"/>
    <cellStyle name="Procent 5 2 2 3" xfId="2210"/>
    <cellStyle name="Procent 5 2 2 3 2" xfId="7198"/>
    <cellStyle name="Procent 5 2 2 3 2 2" xfId="18005"/>
    <cellStyle name="Procent 5 2 2 3 2 3" xfId="29362"/>
    <cellStyle name="Procent 5 2 2 3 3" xfId="13020"/>
    <cellStyle name="Procent 5 2 2 3 4" xfId="24378"/>
    <cellStyle name="Procent 5 2 2 4" xfId="3874"/>
    <cellStyle name="Procent 5 2 2 4 2" xfId="8859"/>
    <cellStyle name="Procent 5 2 2 4 2 2" xfId="19666"/>
    <cellStyle name="Procent 5 2 2 4 2 3" xfId="31023"/>
    <cellStyle name="Procent 5 2 2 4 3" xfId="14681"/>
    <cellStyle name="Procent 5 2 2 4 4" xfId="26039"/>
    <cellStyle name="Procent 5 2 2 5" xfId="5536"/>
    <cellStyle name="Procent 5 2 2 5 2" xfId="16344"/>
    <cellStyle name="Procent 5 2 2 5 3" xfId="27701"/>
    <cellStyle name="Procent 5 2 2 6" xfId="10523"/>
    <cellStyle name="Procent 5 2 2 6 2" xfId="21330"/>
    <cellStyle name="Procent 5 2 2 6 3" xfId="32687"/>
    <cellStyle name="Procent 5 2 2 7" xfId="11357"/>
    <cellStyle name="Procent 5 2 2 8" xfId="22163"/>
    <cellStyle name="Procent 5 2 2 9" xfId="22717"/>
    <cellStyle name="Procent 5 2 3" xfId="818"/>
    <cellStyle name="Procent 5 2 3 2" xfId="1650"/>
    <cellStyle name="Procent 5 2 3 2 2" xfId="3315"/>
    <cellStyle name="Procent 5 2 3 2 2 2" xfId="8303"/>
    <cellStyle name="Procent 5 2 3 2 2 2 2" xfId="19110"/>
    <cellStyle name="Procent 5 2 3 2 2 2 3" xfId="30467"/>
    <cellStyle name="Procent 5 2 3 2 2 3" xfId="14125"/>
    <cellStyle name="Procent 5 2 3 2 2 4" xfId="25483"/>
    <cellStyle name="Procent 5 2 3 2 3" xfId="4979"/>
    <cellStyle name="Procent 5 2 3 2 3 2" xfId="9964"/>
    <cellStyle name="Procent 5 2 3 2 3 2 2" xfId="20771"/>
    <cellStyle name="Procent 5 2 3 2 3 2 3" xfId="32128"/>
    <cellStyle name="Procent 5 2 3 2 3 3" xfId="15786"/>
    <cellStyle name="Procent 5 2 3 2 3 4" xfId="27144"/>
    <cellStyle name="Procent 5 2 3 2 4" xfId="6641"/>
    <cellStyle name="Procent 5 2 3 2 4 2" xfId="17449"/>
    <cellStyle name="Procent 5 2 3 2 4 3" xfId="28806"/>
    <cellStyle name="Procent 5 2 3 2 5" xfId="12464"/>
    <cellStyle name="Procent 5 2 3 2 6" xfId="23822"/>
    <cellStyle name="Procent 5 2 3 3" xfId="2484"/>
    <cellStyle name="Procent 5 2 3 3 2" xfId="7472"/>
    <cellStyle name="Procent 5 2 3 3 2 2" xfId="18279"/>
    <cellStyle name="Procent 5 2 3 3 2 3" xfId="29636"/>
    <cellStyle name="Procent 5 2 3 3 3" xfId="13294"/>
    <cellStyle name="Procent 5 2 3 3 4" xfId="24652"/>
    <cellStyle name="Procent 5 2 3 4" xfId="4148"/>
    <cellStyle name="Procent 5 2 3 4 2" xfId="9133"/>
    <cellStyle name="Procent 5 2 3 4 2 2" xfId="19940"/>
    <cellStyle name="Procent 5 2 3 4 2 3" xfId="31297"/>
    <cellStyle name="Procent 5 2 3 4 3" xfId="14955"/>
    <cellStyle name="Procent 5 2 3 4 4" xfId="26313"/>
    <cellStyle name="Procent 5 2 3 5" xfId="5810"/>
    <cellStyle name="Procent 5 2 3 5 2" xfId="16618"/>
    <cellStyle name="Procent 5 2 3 5 3" xfId="27975"/>
    <cellStyle name="Procent 5 2 3 6" xfId="10797"/>
    <cellStyle name="Procent 5 2 3 6 2" xfId="21604"/>
    <cellStyle name="Procent 5 2 3 6 3" xfId="32961"/>
    <cellStyle name="Procent 5 2 3 7" xfId="11632"/>
    <cellStyle name="Procent 5 2 3 8" xfId="22991"/>
    <cellStyle name="Procent 5 2 4" xfId="1097"/>
    <cellStyle name="Procent 5 2 4 2" xfId="2762"/>
    <cellStyle name="Procent 5 2 4 2 2" xfId="7750"/>
    <cellStyle name="Procent 5 2 4 2 2 2" xfId="18557"/>
    <cellStyle name="Procent 5 2 4 2 2 3" xfId="29914"/>
    <cellStyle name="Procent 5 2 4 2 3" xfId="13572"/>
    <cellStyle name="Procent 5 2 4 2 4" xfId="24930"/>
    <cellStyle name="Procent 5 2 4 3" xfId="4426"/>
    <cellStyle name="Procent 5 2 4 3 2" xfId="9411"/>
    <cellStyle name="Procent 5 2 4 3 2 2" xfId="20218"/>
    <cellStyle name="Procent 5 2 4 3 2 3" xfId="31575"/>
    <cellStyle name="Procent 5 2 4 3 3" xfId="15233"/>
    <cellStyle name="Procent 5 2 4 3 4" xfId="26591"/>
    <cellStyle name="Procent 5 2 4 4" xfId="6088"/>
    <cellStyle name="Procent 5 2 4 4 2" xfId="16896"/>
    <cellStyle name="Procent 5 2 4 4 3" xfId="28253"/>
    <cellStyle name="Procent 5 2 4 5" xfId="11911"/>
    <cellStyle name="Procent 5 2 4 6" xfId="23269"/>
    <cellStyle name="Procent 5 2 5" xfId="1932"/>
    <cellStyle name="Procent 5 2 5 2" xfId="6920"/>
    <cellStyle name="Procent 5 2 5 2 2" xfId="17728"/>
    <cellStyle name="Procent 5 2 5 2 3" xfId="29085"/>
    <cellStyle name="Procent 5 2 5 3" xfId="12743"/>
    <cellStyle name="Procent 5 2 5 4" xfId="24101"/>
    <cellStyle name="Procent 5 2 6" xfId="3597"/>
    <cellStyle name="Procent 5 2 6 2" xfId="8582"/>
    <cellStyle name="Procent 5 2 6 2 2" xfId="19389"/>
    <cellStyle name="Procent 5 2 6 2 3" xfId="30746"/>
    <cellStyle name="Procent 5 2 6 3" xfId="14404"/>
    <cellStyle name="Procent 5 2 6 4" xfId="25762"/>
    <cellStyle name="Procent 5 2 7" xfId="5258"/>
    <cellStyle name="Procent 5 2 7 2" xfId="16067"/>
    <cellStyle name="Procent 5 2 7 3" xfId="27424"/>
    <cellStyle name="Procent 5 2 8" xfId="10243"/>
    <cellStyle name="Procent 5 2 8 2" xfId="21050"/>
    <cellStyle name="Procent 5 2 8 3" xfId="32407"/>
    <cellStyle name="Procent 5 2 9" xfId="11077"/>
    <cellStyle name="Procent 5 20" xfId="33731"/>
    <cellStyle name="Procent 5 3" xfId="281"/>
    <cellStyle name="Procent 5 3 10" xfId="21938"/>
    <cellStyle name="Procent 5 3 11" xfId="22491"/>
    <cellStyle name="Procent 5 3 12" xfId="33294"/>
    <cellStyle name="Procent 5 3 13" xfId="33569"/>
    <cellStyle name="Procent 5 3 14" xfId="33840"/>
    <cellStyle name="Procent 5 3 2" xfId="598"/>
    <cellStyle name="Procent 5 3 2 2" xfId="1430"/>
    <cellStyle name="Procent 5 3 2 2 2" xfId="3095"/>
    <cellStyle name="Procent 5 3 2 2 2 2" xfId="8083"/>
    <cellStyle name="Procent 5 3 2 2 2 2 2" xfId="18890"/>
    <cellStyle name="Procent 5 3 2 2 2 2 3" xfId="30247"/>
    <cellStyle name="Procent 5 3 2 2 2 3" xfId="13905"/>
    <cellStyle name="Procent 5 3 2 2 2 4" xfId="25263"/>
    <cellStyle name="Procent 5 3 2 2 3" xfId="4759"/>
    <cellStyle name="Procent 5 3 2 2 3 2" xfId="9744"/>
    <cellStyle name="Procent 5 3 2 2 3 2 2" xfId="20551"/>
    <cellStyle name="Procent 5 3 2 2 3 2 3" xfId="31908"/>
    <cellStyle name="Procent 5 3 2 2 3 3" xfId="15566"/>
    <cellStyle name="Procent 5 3 2 2 3 4" xfId="26924"/>
    <cellStyle name="Procent 5 3 2 2 4" xfId="6421"/>
    <cellStyle name="Procent 5 3 2 2 4 2" xfId="17229"/>
    <cellStyle name="Procent 5 3 2 2 4 3" xfId="28586"/>
    <cellStyle name="Procent 5 3 2 2 5" xfId="12244"/>
    <cellStyle name="Procent 5 3 2 2 6" xfId="23602"/>
    <cellStyle name="Procent 5 3 2 3" xfId="2264"/>
    <cellStyle name="Procent 5 3 2 3 2" xfId="7252"/>
    <cellStyle name="Procent 5 3 2 3 2 2" xfId="18059"/>
    <cellStyle name="Procent 5 3 2 3 2 3" xfId="29416"/>
    <cellStyle name="Procent 5 3 2 3 3" xfId="13074"/>
    <cellStyle name="Procent 5 3 2 3 4" xfId="24432"/>
    <cellStyle name="Procent 5 3 2 4" xfId="3928"/>
    <cellStyle name="Procent 5 3 2 4 2" xfId="8913"/>
    <cellStyle name="Procent 5 3 2 4 2 2" xfId="19720"/>
    <cellStyle name="Procent 5 3 2 4 2 3" xfId="31077"/>
    <cellStyle name="Procent 5 3 2 4 3" xfId="14735"/>
    <cellStyle name="Procent 5 3 2 4 4" xfId="26093"/>
    <cellStyle name="Procent 5 3 2 5" xfId="5590"/>
    <cellStyle name="Procent 5 3 2 5 2" xfId="16398"/>
    <cellStyle name="Procent 5 3 2 5 3" xfId="27755"/>
    <cellStyle name="Procent 5 3 2 6" xfId="10577"/>
    <cellStyle name="Procent 5 3 2 6 2" xfId="21384"/>
    <cellStyle name="Procent 5 3 2 6 3" xfId="32741"/>
    <cellStyle name="Procent 5 3 2 7" xfId="11411"/>
    <cellStyle name="Procent 5 3 2 8" xfId="22217"/>
    <cellStyle name="Procent 5 3 2 9" xfId="22771"/>
    <cellStyle name="Procent 5 3 3" xfId="872"/>
    <cellStyle name="Procent 5 3 3 2" xfId="1704"/>
    <cellStyle name="Procent 5 3 3 2 2" xfId="3369"/>
    <cellStyle name="Procent 5 3 3 2 2 2" xfId="8357"/>
    <cellStyle name="Procent 5 3 3 2 2 2 2" xfId="19164"/>
    <cellStyle name="Procent 5 3 3 2 2 2 3" xfId="30521"/>
    <cellStyle name="Procent 5 3 3 2 2 3" xfId="14179"/>
    <cellStyle name="Procent 5 3 3 2 2 4" xfId="25537"/>
    <cellStyle name="Procent 5 3 3 2 3" xfId="5033"/>
    <cellStyle name="Procent 5 3 3 2 3 2" xfId="10018"/>
    <cellStyle name="Procent 5 3 3 2 3 2 2" xfId="20825"/>
    <cellStyle name="Procent 5 3 3 2 3 2 3" xfId="32182"/>
    <cellStyle name="Procent 5 3 3 2 3 3" xfId="15840"/>
    <cellStyle name="Procent 5 3 3 2 3 4" xfId="27198"/>
    <cellStyle name="Procent 5 3 3 2 4" xfId="6695"/>
    <cellStyle name="Procent 5 3 3 2 4 2" xfId="17503"/>
    <cellStyle name="Procent 5 3 3 2 4 3" xfId="28860"/>
    <cellStyle name="Procent 5 3 3 2 5" xfId="12518"/>
    <cellStyle name="Procent 5 3 3 2 6" xfId="23876"/>
    <cellStyle name="Procent 5 3 3 3" xfId="2538"/>
    <cellStyle name="Procent 5 3 3 3 2" xfId="7526"/>
    <cellStyle name="Procent 5 3 3 3 2 2" xfId="18333"/>
    <cellStyle name="Procent 5 3 3 3 2 3" xfId="29690"/>
    <cellStyle name="Procent 5 3 3 3 3" xfId="13348"/>
    <cellStyle name="Procent 5 3 3 3 4" xfId="24706"/>
    <cellStyle name="Procent 5 3 3 4" xfId="4202"/>
    <cellStyle name="Procent 5 3 3 4 2" xfId="9187"/>
    <cellStyle name="Procent 5 3 3 4 2 2" xfId="19994"/>
    <cellStyle name="Procent 5 3 3 4 2 3" xfId="31351"/>
    <cellStyle name="Procent 5 3 3 4 3" xfId="15009"/>
    <cellStyle name="Procent 5 3 3 4 4" xfId="26367"/>
    <cellStyle name="Procent 5 3 3 5" xfId="5864"/>
    <cellStyle name="Procent 5 3 3 5 2" xfId="16672"/>
    <cellStyle name="Procent 5 3 3 5 3" xfId="28029"/>
    <cellStyle name="Procent 5 3 3 6" xfId="10851"/>
    <cellStyle name="Procent 5 3 3 6 2" xfId="21658"/>
    <cellStyle name="Procent 5 3 3 6 3" xfId="33015"/>
    <cellStyle name="Procent 5 3 3 7" xfId="11686"/>
    <cellStyle name="Procent 5 3 3 8" xfId="23045"/>
    <cellStyle name="Procent 5 3 4" xfId="1151"/>
    <cellStyle name="Procent 5 3 4 2" xfId="2816"/>
    <cellStyle name="Procent 5 3 4 2 2" xfId="7804"/>
    <cellStyle name="Procent 5 3 4 2 2 2" xfId="18611"/>
    <cellStyle name="Procent 5 3 4 2 2 3" xfId="29968"/>
    <cellStyle name="Procent 5 3 4 2 3" xfId="13626"/>
    <cellStyle name="Procent 5 3 4 2 4" xfId="24984"/>
    <cellStyle name="Procent 5 3 4 3" xfId="4480"/>
    <cellStyle name="Procent 5 3 4 3 2" xfId="9465"/>
    <cellStyle name="Procent 5 3 4 3 2 2" xfId="20272"/>
    <cellStyle name="Procent 5 3 4 3 2 3" xfId="31629"/>
    <cellStyle name="Procent 5 3 4 3 3" xfId="15287"/>
    <cellStyle name="Procent 5 3 4 3 4" xfId="26645"/>
    <cellStyle name="Procent 5 3 4 4" xfId="6142"/>
    <cellStyle name="Procent 5 3 4 4 2" xfId="16950"/>
    <cellStyle name="Procent 5 3 4 4 3" xfId="28307"/>
    <cellStyle name="Procent 5 3 4 5" xfId="11965"/>
    <cellStyle name="Procent 5 3 4 6" xfId="23323"/>
    <cellStyle name="Procent 5 3 5" xfId="1986"/>
    <cellStyle name="Procent 5 3 5 2" xfId="6974"/>
    <cellStyle name="Procent 5 3 5 2 2" xfId="17782"/>
    <cellStyle name="Procent 5 3 5 2 3" xfId="29139"/>
    <cellStyle name="Procent 5 3 5 3" xfId="12797"/>
    <cellStyle name="Procent 5 3 5 4" xfId="24155"/>
    <cellStyle name="Procent 5 3 6" xfId="3651"/>
    <cellStyle name="Procent 5 3 6 2" xfId="8636"/>
    <cellStyle name="Procent 5 3 6 2 2" xfId="19443"/>
    <cellStyle name="Procent 5 3 6 2 3" xfId="30800"/>
    <cellStyle name="Procent 5 3 6 3" xfId="14458"/>
    <cellStyle name="Procent 5 3 6 4" xfId="25816"/>
    <cellStyle name="Procent 5 3 7" xfId="5312"/>
    <cellStyle name="Procent 5 3 7 2" xfId="16121"/>
    <cellStyle name="Procent 5 3 7 3" xfId="27478"/>
    <cellStyle name="Procent 5 3 8" xfId="10297"/>
    <cellStyle name="Procent 5 3 8 2" xfId="21104"/>
    <cellStyle name="Procent 5 3 8 3" xfId="32461"/>
    <cellStyle name="Procent 5 3 9" xfId="11131"/>
    <cellStyle name="Procent 5 4" xfId="336"/>
    <cellStyle name="Procent 5 4 10" xfId="21993"/>
    <cellStyle name="Procent 5 4 11" xfId="22546"/>
    <cellStyle name="Procent 5 4 12" xfId="33349"/>
    <cellStyle name="Procent 5 4 13" xfId="33624"/>
    <cellStyle name="Procent 5 4 14" xfId="33895"/>
    <cellStyle name="Procent 5 4 2" xfId="653"/>
    <cellStyle name="Procent 5 4 2 2" xfId="1485"/>
    <cellStyle name="Procent 5 4 2 2 2" xfId="3150"/>
    <cellStyle name="Procent 5 4 2 2 2 2" xfId="8138"/>
    <cellStyle name="Procent 5 4 2 2 2 2 2" xfId="18945"/>
    <cellStyle name="Procent 5 4 2 2 2 2 3" xfId="30302"/>
    <cellStyle name="Procent 5 4 2 2 2 3" xfId="13960"/>
    <cellStyle name="Procent 5 4 2 2 2 4" xfId="25318"/>
    <cellStyle name="Procent 5 4 2 2 3" xfId="4814"/>
    <cellStyle name="Procent 5 4 2 2 3 2" xfId="9799"/>
    <cellStyle name="Procent 5 4 2 2 3 2 2" xfId="20606"/>
    <cellStyle name="Procent 5 4 2 2 3 2 3" xfId="31963"/>
    <cellStyle name="Procent 5 4 2 2 3 3" xfId="15621"/>
    <cellStyle name="Procent 5 4 2 2 3 4" xfId="26979"/>
    <cellStyle name="Procent 5 4 2 2 4" xfId="6476"/>
    <cellStyle name="Procent 5 4 2 2 4 2" xfId="17284"/>
    <cellStyle name="Procent 5 4 2 2 4 3" xfId="28641"/>
    <cellStyle name="Procent 5 4 2 2 5" xfId="12299"/>
    <cellStyle name="Procent 5 4 2 2 6" xfId="23657"/>
    <cellStyle name="Procent 5 4 2 3" xfId="2319"/>
    <cellStyle name="Procent 5 4 2 3 2" xfId="7307"/>
    <cellStyle name="Procent 5 4 2 3 2 2" xfId="18114"/>
    <cellStyle name="Procent 5 4 2 3 2 3" xfId="29471"/>
    <cellStyle name="Procent 5 4 2 3 3" xfId="13129"/>
    <cellStyle name="Procent 5 4 2 3 4" xfId="24487"/>
    <cellStyle name="Procent 5 4 2 4" xfId="3983"/>
    <cellStyle name="Procent 5 4 2 4 2" xfId="8968"/>
    <cellStyle name="Procent 5 4 2 4 2 2" xfId="19775"/>
    <cellStyle name="Procent 5 4 2 4 2 3" xfId="31132"/>
    <cellStyle name="Procent 5 4 2 4 3" xfId="14790"/>
    <cellStyle name="Procent 5 4 2 4 4" xfId="26148"/>
    <cellStyle name="Procent 5 4 2 5" xfId="5645"/>
    <cellStyle name="Procent 5 4 2 5 2" xfId="16453"/>
    <cellStyle name="Procent 5 4 2 5 3" xfId="27810"/>
    <cellStyle name="Procent 5 4 2 6" xfId="10632"/>
    <cellStyle name="Procent 5 4 2 6 2" xfId="21439"/>
    <cellStyle name="Procent 5 4 2 6 3" xfId="32796"/>
    <cellStyle name="Procent 5 4 2 7" xfId="11466"/>
    <cellStyle name="Procent 5 4 2 8" xfId="22272"/>
    <cellStyle name="Procent 5 4 2 9" xfId="22826"/>
    <cellStyle name="Procent 5 4 3" xfId="927"/>
    <cellStyle name="Procent 5 4 3 2" xfId="1759"/>
    <cellStyle name="Procent 5 4 3 2 2" xfId="3424"/>
    <cellStyle name="Procent 5 4 3 2 2 2" xfId="8412"/>
    <cellStyle name="Procent 5 4 3 2 2 2 2" xfId="19219"/>
    <cellStyle name="Procent 5 4 3 2 2 2 3" xfId="30576"/>
    <cellStyle name="Procent 5 4 3 2 2 3" xfId="14234"/>
    <cellStyle name="Procent 5 4 3 2 2 4" xfId="25592"/>
    <cellStyle name="Procent 5 4 3 2 3" xfId="5088"/>
    <cellStyle name="Procent 5 4 3 2 3 2" xfId="10073"/>
    <cellStyle name="Procent 5 4 3 2 3 2 2" xfId="20880"/>
    <cellStyle name="Procent 5 4 3 2 3 2 3" xfId="32237"/>
    <cellStyle name="Procent 5 4 3 2 3 3" xfId="15895"/>
    <cellStyle name="Procent 5 4 3 2 3 4" xfId="27253"/>
    <cellStyle name="Procent 5 4 3 2 4" xfId="6750"/>
    <cellStyle name="Procent 5 4 3 2 4 2" xfId="17558"/>
    <cellStyle name="Procent 5 4 3 2 4 3" xfId="28915"/>
    <cellStyle name="Procent 5 4 3 2 5" xfId="12573"/>
    <cellStyle name="Procent 5 4 3 2 6" xfId="23931"/>
    <cellStyle name="Procent 5 4 3 3" xfId="2593"/>
    <cellStyle name="Procent 5 4 3 3 2" xfId="7581"/>
    <cellStyle name="Procent 5 4 3 3 2 2" xfId="18388"/>
    <cellStyle name="Procent 5 4 3 3 2 3" xfId="29745"/>
    <cellStyle name="Procent 5 4 3 3 3" xfId="13403"/>
    <cellStyle name="Procent 5 4 3 3 4" xfId="24761"/>
    <cellStyle name="Procent 5 4 3 4" xfId="4257"/>
    <cellStyle name="Procent 5 4 3 4 2" xfId="9242"/>
    <cellStyle name="Procent 5 4 3 4 2 2" xfId="20049"/>
    <cellStyle name="Procent 5 4 3 4 2 3" xfId="31406"/>
    <cellStyle name="Procent 5 4 3 4 3" xfId="15064"/>
    <cellStyle name="Procent 5 4 3 4 4" xfId="26422"/>
    <cellStyle name="Procent 5 4 3 5" xfId="5919"/>
    <cellStyle name="Procent 5 4 3 5 2" xfId="16727"/>
    <cellStyle name="Procent 5 4 3 5 3" xfId="28084"/>
    <cellStyle name="Procent 5 4 3 6" xfId="10906"/>
    <cellStyle name="Procent 5 4 3 6 2" xfId="21713"/>
    <cellStyle name="Procent 5 4 3 6 3" xfId="33070"/>
    <cellStyle name="Procent 5 4 3 7" xfId="11741"/>
    <cellStyle name="Procent 5 4 3 8" xfId="23100"/>
    <cellStyle name="Procent 5 4 4" xfId="1206"/>
    <cellStyle name="Procent 5 4 4 2" xfId="2871"/>
    <cellStyle name="Procent 5 4 4 2 2" xfId="7859"/>
    <cellStyle name="Procent 5 4 4 2 2 2" xfId="18666"/>
    <cellStyle name="Procent 5 4 4 2 2 3" xfId="30023"/>
    <cellStyle name="Procent 5 4 4 2 3" xfId="13681"/>
    <cellStyle name="Procent 5 4 4 2 4" xfId="25039"/>
    <cellStyle name="Procent 5 4 4 3" xfId="4535"/>
    <cellStyle name="Procent 5 4 4 3 2" xfId="9520"/>
    <cellStyle name="Procent 5 4 4 3 2 2" xfId="20327"/>
    <cellStyle name="Procent 5 4 4 3 2 3" xfId="31684"/>
    <cellStyle name="Procent 5 4 4 3 3" xfId="15342"/>
    <cellStyle name="Procent 5 4 4 3 4" xfId="26700"/>
    <cellStyle name="Procent 5 4 4 4" xfId="6197"/>
    <cellStyle name="Procent 5 4 4 4 2" xfId="17005"/>
    <cellStyle name="Procent 5 4 4 4 3" xfId="28362"/>
    <cellStyle name="Procent 5 4 4 5" xfId="12020"/>
    <cellStyle name="Procent 5 4 4 6" xfId="23378"/>
    <cellStyle name="Procent 5 4 5" xfId="2041"/>
    <cellStyle name="Procent 5 4 5 2" xfId="7029"/>
    <cellStyle name="Procent 5 4 5 2 2" xfId="17837"/>
    <cellStyle name="Procent 5 4 5 2 3" xfId="29194"/>
    <cellStyle name="Procent 5 4 5 3" xfId="12852"/>
    <cellStyle name="Procent 5 4 5 4" xfId="24210"/>
    <cellStyle name="Procent 5 4 6" xfId="3706"/>
    <cellStyle name="Procent 5 4 6 2" xfId="8691"/>
    <cellStyle name="Procent 5 4 6 2 2" xfId="19498"/>
    <cellStyle name="Procent 5 4 6 2 3" xfId="30855"/>
    <cellStyle name="Procent 5 4 6 3" xfId="14513"/>
    <cellStyle name="Procent 5 4 6 4" xfId="25871"/>
    <cellStyle name="Procent 5 4 7" xfId="5367"/>
    <cellStyle name="Procent 5 4 7 2" xfId="16176"/>
    <cellStyle name="Procent 5 4 7 3" xfId="27533"/>
    <cellStyle name="Procent 5 4 8" xfId="10352"/>
    <cellStyle name="Procent 5 4 8 2" xfId="21159"/>
    <cellStyle name="Procent 5 4 8 3" xfId="32516"/>
    <cellStyle name="Procent 5 4 9" xfId="11186"/>
    <cellStyle name="Procent 5 5" xfId="392"/>
    <cellStyle name="Procent 5 5 10" xfId="22049"/>
    <cellStyle name="Procent 5 5 11" xfId="22602"/>
    <cellStyle name="Procent 5 5 12" xfId="33405"/>
    <cellStyle name="Procent 5 5 13" xfId="33680"/>
    <cellStyle name="Procent 5 5 14" xfId="33951"/>
    <cellStyle name="Procent 5 5 2" xfId="709"/>
    <cellStyle name="Procent 5 5 2 2" xfId="1541"/>
    <cellStyle name="Procent 5 5 2 2 2" xfId="3206"/>
    <cellStyle name="Procent 5 5 2 2 2 2" xfId="8194"/>
    <cellStyle name="Procent 5 5 2 2 2 2 2" xfId="19001"/>
    <cellStyle name="Procent 5 5 2 2 2 2 3" xfId="30358"/>
    <cellStyle name="Procent 5 5 2 2 2 3" xfId="14016"/>
    <cellStyle name="Procent 5 5 2 2 2 4" xfId="25374"/>
    <cellStyle name="Procent 5 5 2 2 3" xfId="4870"/>
    <cellStyle name="Procent 5 5 2 2 3 2" xfId="9855"/>
    <cellStyle name="Procent 5 5 2 2 3 2 2" xfId="20662"/>
    <cellStyle name="Procent 5 5 2 2 3 2 3" xfId="32019"/>
    <cellStyle name="Procent 5 5 2 2 3 3" xfId="15677"/>
    <cellStyle name="Procent 5 5 2 2 3 4" xfId="27035"/>
    <cellStyle name="Procent 5 5 2 2 4" xfId="6532"/>
    <cellStyle name="Procent 5 5 2 2 4 2" xfId="17340"/>
    <cellStyle name="Procent 5 5 2 2 4 3" xfId="28697"/>
    <cellStyle name="Procent 5 5 2 2 5" xfId="12355"/>
    <cellStyle name="Procent 5 5 2 2 6" xfId="23713"/>
    <cellStyle name="Procent 5 5 2 3" xfId="2375"/>
    <cellStyle name="Procent 5 5 2 3 2" xfId="7363"/>
    <cellStyle name="Procent 5 5 2 3 2 2" xfId="18170"/>
    <cellStyle name="Procent 5 5 2 3 2 3" xfId="29527"/>
    <cellStyle name="Procent 5 5 2 3 3" xfId="13185"/>
    <cellStyle name="Procent 5 5 2 3 4" xfId="24543"/>
    <cellStyle name="Procent 5 5 2 4" xfId="4039"/>
    <cellStyle name="Procent 5 5 2 4 2" xfId="9024"/>
    <cellStyle name="Procent 5 5 2 4 2 2" xfId="19831"/>
    <cellStyle name="Procent 5 5 2 4 2 3" xfId="31188"/>
    <cellStyle name="Procent 5 5 2 4 3" xfId="14846"/>
    <cellStyle name="Procent 5 5 2 4 4" xfId="26204"/>
    <cellStyle name="Procent 5 5 2 5" xfId="5701"/>
    <cellStyle name="Procent 5 5 2 5 2" xfId="16509"/>
    <cellStyle name="Procent 5 5 2 5 3" xfId="27866"/>
    <cellStyle name="Procent 5 5 2 6" xfId="10688"/>
    <cellStyle name="Procent 5 5 2 6 2" xfId="21495"/>
    <cellStyle name="Procent 5 5 2 6 3" xfId="32852"/>
    <cellStyle name="Procent 5 5 2 7" xfId="11522"/>
    <cellStyle name="Procent 5 5 2 8" xfId="22328"/>
    <cellStyle name="Procent 5 5 2 9" xfId="22882"/>
    <cellStyle name="Procent 5 5 3" xfId="983"/>
    <cellStyle name="Procent 5 5 3 2" xfId="1815"/>
    <cellStyle name="Procent 5 5 3 2 2" xfId="3480"/>
    <cellStyle name="Procent 5 5 3 2 2 2" xfId="8468"/>
    <cellStyle name="Procent 5 5 3 2 2 2 2" xfId="19275"/>
    <cellStyle name="Procent 5 5 3 2 2 2 3" xfId="30632"/>
    <cellStyle name="Procent 5 5 3 2 2 3" xfId="14290"/>
    <cellStyle name="Procent 5 5 3 2 2 4" xfId="25648"/>
    <cellStyle name="Procent 5 5 3 2 3" xfId="5144"/>
    <cellStyle name="Procent 5 5 3 2 3 2" xfId="10129"/>
    <cellStyle name="Procent 5 5 3 2 3 2 2" xfId="20936"/>
    <cellStyle name="Procent 5 5 3 2 3 2 3" xfId="32293"/>
    <cellStyle name="Procent 5 5 3 2 3 3" xfId="15951"/>
    <cellStyle name="Procent 5 5 3 2 3 4" xfId="27309"/>
    <cellStyle name="Procent 5 5 3 2 4" xfId="6806"/>
    <cellStyle name="Procent 5 5 3 2 4 2" xfId="17614"/>
    <cellStyle name="Procent 5 5 3 2 4 3" xfId="28971"/>
    <cellStyle name="Procent 5 5 3 2 5" xfId="12629"/>
    <cellStyle name="Procent 5 5 3 2 6" xfId="23987"/>
    <cellStyle name="Procent 5 5 3 3" xfId="2649"/>
    <cellStyle name="Procent 5 5 3 3 2" xfId="7637"/>
    <cellStyle name="Procent 5 5 3 3 2 2" xfId="18444"/>
    <cellStyle name="Procent 5 5 3 3 2 3" xfId="29801"/>
    <cellStyle name="Procent 5 5 3 3 3" xfId="13459"/>
    <cellStyle name="Procent 5 5 3 3 4" xfId="24817"/>
    <cellStyle name="Procent 5 5 3 4" xfId="4313"/>
    <cellStyle name="Procent 5 5 3 4 2" xfId="9298"/>
    <cellStyle name="Procent 5 5 3 4 2 2" xfId="20105"/>
    <cellStyle name="Procent 5 5 3 4 2 3" xfId="31462"/>
    <cellStyle name="Procent 5 5 3 4 3" xfId="15120"/>
    <cellStyle name="Procent 5 5 3 4 4" xfId="26478"/>
    <cellStyle name="Procent 5 5 3 5" xfId="5975"/>
    <cellStyle name="Procent 5 5 3 5 2" xfId="16783"/>
    <cellStyle name="Procent 5 5 3 5 3" xfId="28140"/>
    <cellStyle name="Procent 5 5 3 6" xfId="10962"/>
    <cellStyle name="Procent 5 5 3 6 2" xfId="21769"/>
    <cellStyle name="Procent 5 5 3 6 3" xfId="33126"/>
    <cellStyle name="Procent 5 5 3 7" xfId="11797"/>
    <cellStyle name="Procent 5 5 3 8" xfId="23156"/>
    <cellStyle name="Procent 5 5 4" xfId="1262"/>
    <cellStyle name="Procent 5 5 4 2" xfId="2927"/>
    <cellStyle name="Procent 5 5 4 2 2" xfId="7915"/>
    <cellStyle name="Procent 5 5 4 2 2 2" xfId="18722"/>
    <cellStyle name="Procent 5 5 4 2 2 3" xfId="30079"/>
    <cellStyle name="Procent 5 5 4 2 3" xfId="13737"/>
    <cellStyle name="Procent 5 5 4 2 4" xfId="25095"/>
    <cellStyle name="Procent 5 5 4 3" xfId="4591"/>
    <cellStyle name="Procent 5 5 4 3 2" xfId="9576"/>
    <cellStyle name="Procent 5 5 4 3 2 2" xfId="20383"/>
    <cellStyle name="Procent 5 5 4 3 2 3" xfId="31740"/>
    <cellStyle name="Procent 5 5 4 3 3" xfId="15398"/>
    <cellStyle name="Procent 5 5 4 3 4" xfId="26756"/>
    <cellStyle name="Procent 5 5 4 4" xfId="6253"/>
    <cellStyle name="Procent 5 5 4 4 2" xfId="17061"/>
    <cellStyle name="Procent 5 5 4 4 3" xfId="28418"/>
    <cellStyle name="Procent 5 5 4 5" xfId="12076"/>
    <cellStyle name="Procent 5 5 4 6" xfId="23434"/>
    <cellStyle name="Procent 5 5 5" xfId="2097"/>
    <cellStyle name="Procent 5 5 5 2" xfId="7085"/>
    <cellStyle name="Procent 5 5 5 2 2" xfId="17893"/>
    <cellStyle name="Procent 5 5 5 2 3" xfId="29250"/>
    <cellStyle name="Procent 5 5 5 3" xfId="12908"/>
    <cellStyle name="Procent 5 5 5 4" xfId="24266"/>
    <cellStyle name="Procent 5 5 6" xfId="3762"/>
    <cellStyle name="Procent 5 5 6 2" xfId="8747"/>
    <cellStyle name="Procent 5 5 6 2 2" xfId="19554"/>
    <cellStyle name="Procent 5 5 6 2 3" xfId="30911"/>
    <cellStyle name="Procent 5 5 6 3" xfId="14569"/>
    <cellStyle name="Procent 5 5 6 4" xfId="25927"/>
    <cellStyle name="Procent 5 5 7" xfId="5423"/>
    <cellStyle name="Procent 5 5 7 2" xfId="16232"/>
    <cellStyle name="Procent 5 5 7 3" xfId="27589"/>
    <cellStyle name="Procent 5 5 8" xfId="10408"/>
    <cellStyle name="Procent 5 5 8 2" xfId="21215"/>
    <cellStyle name="Procent 5 5 8 3" xfId="32572"/>
    <cellStyle name="Procent 5 5 9" xfId="11242"/>
    <cellStyle name="Procent 5 6" xfId="428"/>
    <cellStyle name="Procent 5 6 10" xfId="22606"/>
    <cellStyle name="Procent 5 6 11" xfId="33409"/>
    <cellStyle name="Procent 5 6 2" xfId="987"/>
    <cellStyle name="Procent 5 6 2 2" xfId="1819"/>
    <cellStyle name="Procent 5 6 2 2 2" xfId="3484"/>
    <cellStyle name="Procent 5 6 2 2 2 2" xfId="8472"/>
    <cellStyle name="Procent 5 6 2 2 2 2 2" xfId="19279"/>
    <cellStyle name="Procent 5 6 2 2 2 2 3" xfId="30636"/>
    <cellStyle name="Procent 5 6 2 2 2 3" xfId="14294"/>
    <cellStyle name="Procent 5 6 2 2 2 4" xfId="25652"/>
    <cellStyle name="Procent 5 6 2 2 3" xfId="5148"/>
    <cellStyle name="Procent 5 6 2 2 3 2" xfId="10133"/>
    <cellStyle name="Procent 5 6 2 2 3 2 2" xfId="20940"/>
    <cellStyle name="Procent 5 6 2 2 3 2 3" xfId="32297"/>
    <cellStyle name="Procent 5 6 2 2 3 3" xfId="15955"/>
    <cellStyle name="Procent 5 6 2 2 3 4" xfId="27313"/>
    <cellStyle name="Procent 5 6 2 2 4" xfId="6810"/>
    <cellStyle name="Procent 5 6 2 2 4 2" xfId="17618"/>
    <cellStyle name="Procent 5 6 2 2 4 3" xfId="28975"/>
    <cellStyle name="Procent 5 6 2 2 5" xfId="12633"/>
    <cellStyle name="Procent 5 6 2 2 6" xfId="23991"/>
    <cellStyle name="Procent 5 6 2 3" xfId="2653"/>
    <cellStyle name="Procent 5 6 2 3 2" xfId="7641"/>
    <cellStyle name="Procent 5 6 2 3 2 2" xfId="18448"/>
    <cellStyle name="Procent 5 6 2 3 2 3" xfId="29805"/>
    <cellStyle name="Procent 5 6 2 3 3" xfId="13463"/>
    <cellStyle name="Procent 5 6 2 3 4" xfId="24821"/>
    <cellStyle name="Procent 5 6 2 4" xfId="4317"/>
    <cellStyle name="Procent 5 6 2 4 2" xfId="9302"/>
    <cellStyle name="Procent 5 6 2 4 2 2" xfId="20109"/>
    <cellStyle name="Procent 5 6 2 4 2 3" xfId="31466"/>
    <cellStyle name="Procent 5 6 2 4 3" xfId="15124"/>
    <cellStyle name="Procent 5 6 2 4 4" xfId="26482"/>
    <cellStyle name="Procent 5 6 2 5" xfId="5979"/>
    <cellStyle name="Procent 5 6 2 5 2" xfId="16787"/>
    <cellStyle name="Procent 5 6 2 5 3" xfId="28144"/>
    <cellStyle name="Procent 5 6 2 6" xfId="10966"/>
    <cellStyle name="Procent 5 6 2 6 2" xfId="21773"/>
    <cellStyle name="Procent 5 6 2 6 3" xfId="33130"/>
    <cellStyle name="Procent 5 6 2 7" xfId="11801"/>
    <cellStyle name="Procent 5 6 2 8" xfId="23160"/>
    <cellStyle name="Procent 5 6 3" xfId="1265"/>
    <cellStyle name="Procent 5 6 3 2" xfId="2930"/>
    <cellStyle name="Procent 5 6 3 2 2" xfId="7918"/>
    <cellStyle name="Procent 5 6 3 2 2 2" xfId="18725"/>
    <cellStyle name="Procent 5 6 3 2 2 3" xfId="30082"/>
    <cellStyle name="Procent 5 6 3 2 3" xfId="13740"/>
    <cellStyle name="Procent 5 6 3 2 4" xfId="25098"/>
    <cellStyle name="Procent 5 6 3 3" xfId="4594"/>
    <cellStyle name="Procent 5 6 3 3 2" xfId="9579"/>
    <cellStyle name="Procent 5 6 3 3 2 2" xfId="20386"/>
    <cellStyle name="Procent 5 6 3 3 2 3" xfId="31743"/>
    <cellStyle name="Procent 5 6 3 3 3" xfId="15401"/>
    <cellStyle name="Procent 5 6 3 3 4" xfId="26759"/>
    <cellStyle name="Procent 5 6 3 4" xfId="6256"/>
    <cellStyle name="Procent 5 6 3 4 2" xfId="17064"/>
    <cellStyle name="Procent 5 6 3 4 3" xfId="28421"/>
    <cellStyle name="Procent 5 6 3 5" xfId="12079"/>
    <cellStyle name="Procent 5 6 3 6" xfId="23437"/>
    <cellStyle name="Procent 5 6 4" xfId="2100"/>
    <cellStyle name="Procent 5 6 4 2" xfId="7088"/>
    <cellStyle name="Procent 5 6 4 2 2" xfId="17896"/>
    <cellStyle name="Procent 5 6 4 2 3" xfId="29253"/>
    <cellStyle name="Procent 5 6 4 3" xfId="12911"/>
    <cellStyle name="Procent 5 6 4 4" xfId="24269"/>
    <cellStyle name="Procent 5 6 5" xfId="3765"/>
    <cellStyle name="Procent 5 6 5 2" xfId="8750"/>
    <cellStyle name="Procent 5 6 5 2 2" xfId="19557"/>
    <cellStyle name="Procent 5 6 5 2 3" xfId="30914"/>
    <cellStyle name="Procent 5 6 5 3" xfId="14572"/>
    <cellStyle name="Procent 5 6 5 4" xfId="25930"/>
    <cellStyle name="Procent 5 6 6" xfId="5426"/>
    <cellStyle name="Procent 5 6 6 2" xfId="16235"/>
    <cellStyle name="Procent 5 6 6 3" xfId="27592"/>
    <cellStyle name="Procent 5 6 7" xfId="10412"/>
    <cellStyle name="Procent 5 6 7 2" xfId="21219"/>
    <cellStyle name="Procent 5 6 7 3" xfId="32576"/>
    <cellStyle name="Procent 5 6 8" xfId="11246"/>
    <cellStyle name="Procent 5 6 9" xfId="22053"/>
    <cellStyle name="Procent 5 7" xfId="422"/>
    <cellStyle name="Procent 5 8" xfId="492"/>
    <cellStyle name="Procent 5 8 2" xfId="1322"/>
    <cellStyle name="Procent 5 8 2 2" xfId="2987"/>
    <cellStyle name="Procent 5 8 2 2 2" xfId="7975"/>
    <cellStyle name="Procent 5 8 2 2 2 2" xfId="18782"/>
    <cellStyle name="Procent 5 8 2 2 2 3" xfId="30139"/>
    <cellStyle name="Procent 5 8 2 2 3" xfId="13797"/>
    <cellStyle name="Procent 5 8 2 2 4" xfId="25155"/>
    <cellStyle name="Procent 5 8 2 3" xfId="4651"/>
    <cellStyle name="Procent 5 8 2 3 2" xfId="9636"/>
    <cellStyle name="Procent 5 8 2 3 2 2" xfId="20443"/>
    <cellStyle name="Procent 5 8 2 3 2 3" xfId="31800"/>
    <cellStyle name="Procent 5 8 2 3 3" xfId="15458"/>
    <cellStyle name="Procent 5 8 2 3 4" xfId="26816"/>
    <cellStyle name="Procent 5 8 2 4" xfId="6313"/>
    <cellStyle name="Procent 5 8 2 4 2" xfId="17121"/>
    <cellStyle name="Procent 5 8 2 4 3" xfId="28478"/>
    <cellStyle name="Procent 5 8 2 5" xfId="12136"/>
    <cellStyle name="Procent 5 8 2 6" xfId="23494"/>
    <cellStyle name="Procent 5 8 3" xfId="2158"/>
    <cellStyle name="Procent 5 8 3 2" xfId="7146"/>
    <cellStyle name="Procent 5 8 3 2 2" xfId="17953"/>
    <cellStyle name="Procent 5 8 3 2 3" xfId="29310"/>
    <cellStyle name="Procent 5 8 3 3" xfId="12968"/>
    <cellStyle name="Procent 5 8 3 4" xfId="24326"/>
    <cellStyle name="Procent 5 8 4" xfId="3822"/>
    <cellStyle name="Procent 5 8 4 2" xfId="8807"/>
    <cellStyle name="Procent 5 8 4 2 2" xfId="19614"/>
    <cellStyle name="Procent 5 8 4 2 3" xfId="30971"/>
    <cellStyle name="Procent 5 8 4 3" xfId="14629"/>
    <cellStyle name="Procent 5 8 4 4" xfId="25987"/>
    <cellStyle name="Procent 5 8 5" xfId="5484"/>
    <cellStyle name="Procent 5 8 5 2" xfId="16292"/>
    <cellStyle name="Procent 5 8 5 3" xfId="27649"/>
    <cellStyle name="Procent 5 8 6" xfId="10469"/>
    <cellStyle name="Procent 5 8 6 2" xfId="21276"/>
    <cellStyle name="Procent 5 8 6 3" xfId="32633"/>
    <cellStyle name="Procent 5 8 7" xfId="11303"/>
    <cellStyle name="Procent 5 8 8" xfId="22109"/>
    <cellStyle name="Procent 5 8 9" xfId="22663"/>
    <cellStyle name="Procent 5 9" xfId="764"/>
    <cellStyle name="Procent 5 9 2" xfId="1596"/>
    <cellStyle name="Procent 5 9 2 2" xfId="3261"/>
    <cellStyle name="Procent 5 9 2 2 2" xfId="8249"/>
    <cellStyle name="Procent 5 9 2 2 2 2" xfId="19056"/>
    <cellStyle name="Procent 5 9 2 2 2 3" xfId="30413"/>
    <cellStyle name="Procent 5 9 2 2 3" xfId="14071"/>
    <cellStyle name="Procent 5 9 2 2 4" xfId="25429"/>
    <cellStyle name="Procent 5 9 2 3" xfId="4925"/>
    <cellStyle name="Procent 5 9 2 3 2" xfId="9910"/>
    <cellStyle name="Procent 5 9 2 3 2 2" xfId="20717"/>
    <cellStyle name="Procent 5 9 2 3 2 3" xfId="32074"/>
    <cellStyle name="Procent 5 9 2 3 3" xfId="15732"/>
    <cellStyle name="Procent 5 9 2 3 4" xfId="27090"/>
    <cellStyle name="Procent 5 9 2 4" xfId="6587"/>
    <cellStyle name="Procent 5 9 2 4 2" xfId="17395"/>
    <cellStyle name="Procent 5 9 2 4 3" xfId="28752"/>
    <cellStyle name="Procent 5 9 2 5" xfId="12410"/>
    <cellStyle name="Procent 5 9 2 6" xfId="23768"/>
    <cellStyle name="Procent 5 9 3" xfId="2430"/>
    <cellStyle name="Procent 5 9 3 2" xfId="7418"/>
    <cellStyle name="Procent 5 9 3 2 2" xfId="18225"/>
    <cellStyle name="Procent 5 9 3 2 3" xfId="29582"/>
    <cellStyle name="Procent 5 9 3 3" xfId="13240"/>
    <cellStyle name="Procent 5 9 3 4" xfId="24598"/>
    <cellStyle name="Procent 5 9 4" xfId="4094"/>
    <cellStyle name="Procent 5 9 4 2" xfId="9079"/>
    <cellStyle name="Procent 5 9 4 2 2" xfId="19886"/>
    <cellStyle name="Procent 5 9 4 2 3" xfId="31243"/>
    <cellStyle name="Procent 5 9 4 3" xfId="14901"/>
    <cellStyle name="Procent 5 9 4 4" xfId="26259"/>
    <cellStyle name="Procent 5 9 5" xfId="5756"/>
    <cellStyle name="Procent 5 9 5 2" xfId="16564"/>
    <cellStyle name="Procent 5 9 5 3" xfId="27921"/>
    <cellStyle name="Procent 5 9 6" xfId="10743"/>
    <cellStyle name="Procent 5 9 6 2" xfId="21550"/>
    <cellStyle name="Procent 5 9 6 3" xfId="32907"/>
    <cellStyle name="Procent 5 9 7" xfId="11578"/>
    <cellStyle name="Procent 5 9 8" xfId="22937"/>
    <cellStyle name="Procent 6" xfId="64"/>
    <cellStyle name="Procent 6 2" xfId="406"/>
    <cellStyle name="Procent 7" xfId="189"/>
    <cellStyle name="Procent 7 10" xfId="21847"/>
    <cellStyle name="Procent 7 11" xfId="22400"/>
    <cellStyle name="Procent 7 12" xfId="33203"/>
    <cellStyle name="Procent 7 13" xfId="33476"/>
    <cellStyle name="Procent 7 14" xfId="33747"/>
    <cellStyle name="Procent 7 2" xfId="509"/>
    <cellStyle name="Procent 7 2 2" xfId="1339"/>
    <cellStyle name="Procent 7 2 2 2" xfId="3004"/>
    <cellStyle name="Procent 7 2 2 2 2" xfId="7992"/>
    <cellStyle name="Procent 7 2 2 2 2 2" xfId="18799"/>
    <cellStyle name="Procent 7 2 2 2 2 3" xfId="30156"/>
    <cellStyle name="Procent 7 2 2 2 3" xfId="13814"/>
    <cellStyle name="Procent 7 2 2 2 4" xfId="25172"/>
    <cellStyle name="Procent 7 2 2 3" xfId="4668"/>
    <cellStyle name="Procent 7 2 2 3 2" xfId="9653"/>
    <cellStyle name="Procent 7 2 2 3 2 2" xfId="20460"/>
    <cellStyle name="Procent 7 2 2 3 2 3" xfId="31817"/>
    <cellStyle name="Procent 7 2 2 3 3" xfId="15475"/>
    <cellStyle name="Procent 7 2 2 3 4" xfId="26833"/>
    <cellStyle name="Procent 7 2 2 4" xfId="6330"/>
    <cellStyle name="Procent 7 2 2 4 2" xfId="17138"/>
    <cellStyle name="Procent 7 2 2 4 3" xfId="28495"/>
    <cellStyle name="Procent 7 2 2 5" xfId="12153"/>
    <cellStyle name="Procent 7 2 2 6" xfId="23511"/>
    <cellStyle name="Procent 7 2 3" xfId="2175"/>
    <cellStyle name="Procent 7 2 3 2" xfId="7163"/>
    <cellStyle name="Procent 7 2 3 2 2" xfId="17970"/>
    <cellStyle name="Procent 7 2 3 2 3" xfId="29327"/>
    <cellStyle name="Procent 7 2 3 3" xfId="12985"/>
    <cellStyle name="Procent 7 2 3 4" xfId="24343"/>
    <cellStyle name="Procent 7 2 4" xfId="3839"/>
    <cellStyle name="Procent 7 2 4 2" xfId="8824"/>
    <cellStyle name="Procent 7 2 4 2 2" xfId="19631"/>
    <cellStyle name="Procent 7 2 4 2 3" xfId="30988"/>
    <cellStyle name="Procent 7 2 4 3" xfId="14646"/>
    <cellStyle name="Procent 7 2 4 4" xfId="26004"/>
    <cellStyle name="Procent 7 2 5" xfId="5501"/>
    <cellStyle name="Procent 7 2 5 2" xfId="16309"/>
    <cellStyle name="Procent 7 2 5 3" xfId="27666"/>
    <cellStyle name="Procent 7 2 6" xfId="10486"/>
    <cellStyle name="Procent 7 2 6 2" xfId="21293"/>
    <cellStyle name="Procent 7 2 6 3" xfId="32650"/>
    <cellStyle name="Procent 7 2 7" xfId="11320"/>
    <cellStyle name="Procent 7 2 8" xfId="22126"/>
    <cellStyle name="Procent 7 2 9" xfId="22680"/>
    <cellStyle name="Procent 7 3" xfId="781"/>
    <cellStyle name="Procent 7 3 2" xfId="1613"/>
    <cellStyle name="Procent 7 3 2 2" xfId="3278"/>
    <cellStyle name="Procent 7 3 2 2 2" xfId="8266"/>
    <cellStyle name="Procent 7 3 2 2 2 2" xfId="19073"/>
    <cellStyle name="Procent 7 3 2 2 2 3" xfId="30430"/>
    <cellStyle name="Procent 7 3 2 2 3" xfId="14088"/>
    <cellStyle name="Procent 7 3 2 2 4" xfId="25446"/>
    <cellStyle name="Procent 7 3 2 3" xfId="4942"/>
    <cellStyle name="Procent 7 3 2 3 2" xfId="9927"/>
    <cellStyle name="Procent 7 3 2 3 2 2" xfId="20734"/>
    <cellStyle name="Procent 7 3 2 3 2 3" xfId="32091"/>
    <cellStyle name="Procent 7 3 2 3 3" xfId="15749"/>
    <cellStyle name="Procent 7 3 2 3 4" xfId="27107"/>
    <cellStyle name="Procent 7 3 2 4" xfId="6604"/>
    <cellStyle name="Procent 7 3 2 4 2" xfId="17412"/>
    <cellStyle name="Procent 7 3 2 4 3" xfId="28769"/>
    <cellStyle name="Procent 7 3 2 5" xfId="12427"/>
    <cellStyle name="Procent 7 3 2 6" xfId="23785"/>
    <cellStyle name="Procent 7 3 3" xfId="2447"/>
    <cellStyle name="Procent 7 3 3 2" xfId="7435"/>
    <cellStyle name="Procent 7 3 3 2 2" xfId="18242"/>
    <cellStyle name="Procent 7 3 3 2 3" xfId="29599"/>
    <cellStyle name="Procent 7 3 3 3" xfId="13257"/>
    <cellStyle name="Procent 7 3 3 4" xfId="24615"/>
    <cellStyle name="Procent 7 3 4" xfId="4111"/>
    <cellStyle name="Procent 7 3 4 2" xfId="9096"/>
    <cellStyle name="Procent 7 3 4 2 2" xfId="19903"/>
    <cellStyle name="Procent 7 3 4 2 3" xfId="31260"/>
    <cellStyle name="Procent 7 3 4 3" xfId="14918"/>
    <cellStyle name="Procent 7 3 4 4" xfId="26276"/>
    <cellStyle name="Procent 7 3 5" xfId="5773"/>
    <cellStyle name="Procent 7 3 5 2" xfId="16581"/>
    <cellStyle name="Procent 7 3 5 3" xfId="27938"/>
    <cellStyle name="Procent 7 3 6" xfId="10760"/>
    <cellStyle name="Procent 7 3 6 2" xfId="21567"/>
    <cellStyle name="Procent 7 3 6 3" xfId="32924"/>
    <cellStyle name="Procent 7 3 7" xfId="11595"/>
    <cellStyle name="Procent 7 3 8" xfId="22954"/>
    <cellStyle name="Procent 7 4" xfId="1060"/>
    <cellStyle name="Procent 7 4 2" xfId="2725"/>
    <cellStyle name="Procent 7 4 2 2" xfId="7713"/>
    <cellStyle name="Procent 7 4 2 2 2" xfId="18520"/>
    <cellStyle name="Procent 7 4 2 2 3" xfId="29877"/>
    <cellStyle name="Procent 7 4 2 3" xfId="13535"/>
    <cellStyle name="Procent 7 4 2 4" xfId="24893"/>
    <cellStyle name="Procent 7 4 3" xfId="4389"/>
    <cellStyle name="Procent 7 4 3 2" xfId="9374"/>
    <cellStyle name="Procent 7 4 3 2 2" xfId="20181"/>
    <cellStyle name="Procent 7 4 3 2 3" xfId="31538"/>
    <cellStyle name="Procent 7 4 3 3" xfId="15196"/>
    <cellStyle name="Procent 7 4 3 4" xfId="26554"/>
    <cellStyle name="Procent 7 4 4" xfId="6051"/>
    <cellStyle name="Procent 7 4 4 2" xfId="16859"/>
    <cellStyle name="Procent 7 4 4 3" xfId="28216"/>
    <cellStyle name="Procent 7 4 5" xfId="11874"/>
    <cellStyle name="Procent 7 4 6" xfId="23232"/>
    <cellStyle name="Procent 7 5" xfId="1895"/>
    <cellStyle name="Procent 7 5 2" xfId="6883"/>
    <cellStyle name="Procent 7 5 2 2" xfId="17691"/>
    <cellStyle name="Procent 7 5 2 3" xfId="29048"/>
    <cellStyle name="Procent 7 5 3" xfId="12706"/>
    <cellStyle name="Procent 7 5 4" xfId="24064"/>
    <cellStyle name="Procent 7 6" xfId="3560"/>
    <cellStyle name="Procent 7 6 2" xfId="8545"/>
    <cellStyle name="Procent 7 6 2 2" xfId="19352"/>
    <cellStyle name="Procent 7 6 2 3" xfId="30709"/>
    <cellStyle name="Procent 7 6 3" xfId="14367"/>
    <cellStyle name="Procent 7 6 4" xfId="25725"/>
    <cellStyle name="Procent 7 7" xfId="5221"/>
    <cellStyle name="Procent 7 7 2" xfId="16030"/>
    <cellStyle name="Procent 7 7 3" xfId="27387"/>
    <cellStyle name="Procent 7 8" xfId="10206"/>
    <cellStyle name="Procent 7 8 2" xfId="21013"/>
    <cellStyle name="Procent 7 8 3" xfId="32370"/>
    <cellStyle name="Procent 7 9" xfId="11040"/>
    <cellStyle name="Procent 8" xfId="242"/>
    <cellStyle name="Procent 8 10" xfId="21900"/>
    <cellStyle name="Procent 8 11" xfId="22453"/>
    <cellStyle name="Procent 8 12" xfId="33256"/>
    <cellStyle name="Procent 8 13" xfId="33531"/>
    <cellStyle name="Procent 8 14" xfId="33802"/>
    <cellStyle name="Procent 8 2" xfId="560"/>
    <cellStyle name="Procent 8 2 2" xfId="1392"/>
    <cellStyle name="Procent 8 2 2 2" xfId="3057"/>
    <cellStyle name="Procent 8 2 2 2 2" xfId="8045"/>
    <cellStyle name="Procent 8 2 2 2 2 2" xfId="18852"/>
    <cellStyle name="Procent 8 2 2 2 2 3" xfId="30209"/>
    <cellStyle name="Procent 8 2 2 2 3" xfId="13867"/>
    <cellStyle name="Procent 8 2 2 2 4" xfId="25225"/>
    <cellStyle name="Procent 8 2 2 3" xfId="4721"/>
    <cellStyle name="Procent 8 2 2 3 2" xfId="9706"/>
    <cellStyle name="Procent 8 2 2 3 2 2" xfId="20513"/>
    <cellStyle name="Procent 8 2 2 3 2 3" xfId="31870"/>
    <cellStyle name="Procent 8 2 2 3 3" xfId="15528"/>
    <cellStyle name="Procent 8 2 2 3 4" xfId="26886"/>
    <cellStyle name="Procent 8 2 2 4" xfId="6383"/>
    <cellStyle name="Procent 8 2 2 4 2" xfId="17191"/>
    <cellStyle name="Procent 8 2 2 4 3" xfId="28548"/>
    <cellStyle name="Procent 8 2 2 5" xfId="12206"/>
    <cellStyle name="Procent 8 2 2 6" xfId="23564"/>
    <cellStyle name="Procent 8 2 3" xfId="2226"/>
    <cellStyle name="Procent 8 2 3 2" xfId="7214"/>
    <cellStyle name="Procent 8 2 3 2 2" xfId="18021"/>
    <cellStyle name="Procent 8 2 3 2 3" xfId="29378"/>
    <cellStyle name="Procent 8 2 3 3" xfId="13036"/>
    <cellStyle name="Procent 8 2 3 4" xfId="24394"/>
    <cellStyle name="Procent 8 2 4" xfId="3890"/>
    <cellStyle name="Procent 8 2 4 2" xfId="8875"/>
    <cellStyle name="Procent 8 2 4 2 2" xfId="19682"/>
    <cellStyle name="Procent 8 2 4 2 3" xfId="31039"/>
    <cellStyle name="Procent 8 2 4 3" xfId="14697"/>
    <cellStyle name="Procent 8 2 4 4" xfId="26055"/>
    <cellStyle name="Procent 8 2 5" xfId="5552"/>
    <cellStyle name="Procent 8 2 5 2" xfId="16360"/>
    <cellStyle name="Procent 8 2 5 3" xfId="27717"/>
    <cellStyle name="Procent 8 2 6" xfId="10539"/>
    <cellStyle name="Procent 8 2 6 2" xfId="21346"/>
    <cellStyle name="Procent 8 2 6 3" xfId="32703"/>
    <cellStyle name="Procent 8 2 7" xfId="11373"/>
    <cellStyle name="Procent 8 2 8" xfId="22179"/>
    <cellStyle name="Procent 8 2 9" xfId="22733"/>
    <cellStyle name="Procent 8 3" xfId="834"/>
    <cellStyle name="Procent 8 3 2" xfId="1666"/>
    <cellStyle name="Procent 8 3 2 2" xfId="3331"/>
    <cellStyle name="Procent 8 3 2 2 2" xfId="8319"/>
    <cellStyle name="Procent 8 3 2 2 2 2" xfId="19126"/>
    <cellStyle name="Procent 8 3 2 2 2 3" xfId="30483"/>
    <cellStyle name="Procent 8 3 2 2 3" xfId="14141"/>
    <cellStyle name="Procent 8 3 2 2 4" xfId="25499"/>
    <cellStyle name="Procent 8 3 2 3" xfId="4995"/>
    <cellStyle name="Procent 8 3 2 3 2" xfId="9980"/>
    <cellStyle name="Procent 8 3 2 3 2 2" xfId="20787"/>
    <cellStyle name="Procent 8 3 2 3 2 3" xfId="32144"/>
    <cellStyle name="Procent 8 3 2 3 3" xfId="15802"/>
    <cellStyle name="Procent 8 3 2 3 4" xfId="27160"/>
    <cellStyle name="Procent 8 3 2 4" xfId="6657"/>
    <cellStyle name="Procent 8 3 2 4 2" xfId="17465"/>
    <cellStyle name="Procent 8 3 2 4 3" xfId="28822"/>
    <cellStyle name="Procent 8 3 2 5" xfId="12480"/>
    <cellStyle name="Procent 8 3 2 6" xfId="23838"/>
    <cellStyle name="Procent 8 3 3" xfId="2500"/>
    <cellStyle name="Procent 8 3 3 2" xfId="7488"/>
    <cellStyle name="Procent 8 3 3 2 2" xfId="18295"/>
    <cellStyle name="Procent 8 3 3 2 3" xfId="29652"/>
    <cellStyle name="Procent 8 3 3 3" xfId="13310"/>
    <cellStyle name="Procent 8 3 3 4" xfId="24668"/>
    <cellStyle name="Procent 8 3 4" xfId="4164"/>
    <cellStyle name="Procent 8 3 4 2" xfId="9149"/>
    <cellStyle name="Procent 8 3 4 2 2" xfId="19956"/>
    <cellStyle name="Procent 8 3 4 2 3" xfId="31313"/>
    <cellStyle name="Procent 8 3 4 3" xfId="14971"/>
    <cellStyle name="Procent 8 3 4 4" xfId="26329"/>
    <cellStyle name="Procent 8 3 5" xfId="5826"/>
    <cellStyle name="Procent 8 3 5 2" xfId="16634"/>
    <cellStyle name="Procent 8 3 5 3" xfId="27991"/>
    <cellStyle name="Procent 8 3 6" xfId="10813"/>
    <cellStyle name="Procent 8 3 6 2" xfId="21620"/>
    <cellStyle name="Procent 8 3 6 3" xfId="32977"/>
    <cellStyle name="Procent 8 3 7" xfId="11648"/>
    <cellStyle name="Procent 8 3 8" xfId="23007"/>
    <cellStyle name="Procent 8 4" xfId="1113"/>
    <cellStyle name="Procent 8 4 2" xfId="2778"/>
    <cellStyle name="Procent 8 4 2 2" xfId="7766"/>
    <cellStyle name="Procent 8 4 2 2 2" xfId="18573"/>
    <cellStyle name="Procent 8 4 2 2 3" xfId="29930"/>
    <cellStyle name="Procent 8 4 2 3" xfId="13588"/>
    <cellStyle name="Procent 8 4 2 4" xfId="24946"/>
    <cellStyle name="Procent 8 4 3" xfId="4442"/>
    <cellStyle name="Procent 8 4 3 2" xfId="9427"/>
    <cellStyle name="Procent 8 4 3 2 2" xfId="20234"/>
    <cellStyle name="Procent 8 4 3 2 3" xfId="31591"/>
    <cellStyle name="Procent 8 4 3 3" xfId="15249"/>
    <cellStyle name="Procent 8 4 3 4" xfId="26607"/>
    <cellStyle name="Procent 8 4 4" xfId="6104"/>
    <cellStyle name="Procent 8 4 4 2" xfId="16912"/>
    <cellStyle name="Procent 8 4 4 3" xfId="28269"/>
    <cellStyle name="Procent 8 4 5" xfId="11927"/>
    <cellStyle name="Procent 8 4 6" xfId="23285"/>
    <cellStyle name="Procent 8 5" xfId="1948"/>
    <cellStyle name="Procent 8 5 2" xfId="6936"/>
    <cellStyle name="Procent 8 5 2 2" xfId="17744"/>
    <cellStyle name="Procent 8 5 2 3" xfId="29101"/>
    <cellStyle name="Procent 8 5 3" xfId="12759"/>
    <cellStyle name="Procent 8 5 4" xfId="24117"/>
    <cellStyle name="Procent 8 6" xfId="3613"/>
    <cellStyle name="Procent 8 6 2" xfId="8598"/>
    <cellStyle name="Procent 8 6 2 2" xfId="19405"/>
    <cellStyle name="Procent 8 6 2 3" xfId="30762"/>
    <cellStyle name="Procent 8 6 3" xfId="14420"/>
    <cellStyle name="Procent 8 6 4" xfId="25778"/>
    <cellStyle name="Procent 8 7" xfId="5274"/>
    <cellStyle name="Procent 8 7 2" xfId="16083"/>
    <cellStyle name="Procent 8 7 3" xfId="27440"/>
    <cellStyle name="Procent 8 8" xfId="10259"/>
    <cellStyle name="Procent 8 8 2" xfId="21066"/>
    <cellStyle name="Procent 8 8 3" xfId="32423"/>
    <cellStyle name="Procent 8 9" xfId="11093"/>
    <cellStyle name="Procent 9" xfId="284"/>
    <cellStyle name="Procent 9 10" xfId="21941"/>
    <cellStyle name="Procent 9 11" xfId="22494"/>
    <cellStyle name="Procent 9 12" xfId="33297"/>
    <cellStyle name="Procent 9 13" xfId="33572"/>
    <cellStyle name="Procent 9 14" xfId="33843"/>
    <cellStyle name="Procent 9 2" xfId="601"/>
    <cellStyle name="Procent 9 2 2" xfId="1433"/>
    <cellStyle name="Procent 9 2 2 2" xfId="3098"/>
    <cellStyle name="Procent 9 2 2 2 2" xfId="8086"/>
    <cellStyle name="Procent 9 2 2 2 2 2" xfId="18893"/>
    <cellStyle name="Procent 9 2 2 2 2 3" xfId="30250"/>
    <cellStyle name="Procent 9 2 2 2 3" xfId="13908"/>
    <cellStyle name="Procent 9 2 2 2 4" xfId="25266"/>
    <cellStyle name="Procent 9 2 2 3" xfId="4762"/>
    <cellStyle name="Procent 9 2 2 3 2" xfId="9747"/>
    <cellStyle name="Procent 9 2 2 3 2 2" xfId="20554"/>
    <cellStyle name="Procent 9 2 2 3 2 3" xfId="31911"/>
    <cellStyle name="Procent 9 2 2 3 3" xfId="15569"/>
    <cellStyle name="Procent 9 2 2 3 4" xfId="26927"/>
    <cellStyle name="Procent 9 2 2 4" xfId="6424"/>
    <cellStyle name="Procent 9 2 2 4 2" xfId="17232"/>
    <cellStyle name="Procent 9 2 2 4 3" xfId="28589"/>
    <cellStyle name="Procent 9 2 2 5" xfId="12247"/>
    <cellStyle name="Procent 9 2 2 6" xfId="23605"/>
    <cellStyle name="Procent 9 2 3" xfId="2267"/>
    <cellStyle name="Procent 9 2 3 2" xfId="7255"/>
    <cellStyle name="Procent 9 2 3 2 2" xfId="18062"/>
    <cellStyle name="Procent 9 2 3 2 3" xfId="29419"/>
    <cellStyle name="Procent 9 2 3 3" xfId="13077"/>
    <cellStyle name="Procent 9 2 3 4" xfId="24435"/>
    <cellStyle name="Procent 9 2 4" xfId="3931"/>
    <cellStyle name="Procent 9 2 4 2" xfId="8916"/>
    <cellStyle name="Procent 9 2 4 2 2" xfId="19723"/>
    <cellStyle name="Procent 9 2 4 2 3" xfId="31080"/>
    <cellStyle name="Procent 9 2 4 3" xfId="14738"/>
    <cellStyle name="Procent 9 2 4 4" xfId="26096"/>
    <cellStyle name="Procent 9 2 5" xfId="5593"/>
    <cellStyle name="Procent 9 2 5 2" xfId="16401"/>
    <cellStyle name="Procent 9 2 5 3" xfId="27758"/>
    <cellStyle name="Procent 9 2 6" xfId="10580"/>
    <cellStyle name="Procent 9 2 6 2" xfId="21387"/>
    <cellStyle name="Procent 9 2 6 3" xfId="32744"/>
    <cellStyle name="Procent 9 2 7" xfId="11414"/>
    <cellStyle name="Procent 9 2 8" xfId="22220"/>
    <cellStyle name="Procent 9 2 9" xfId="22774"/>
    <cellStyle name="Procent 9 3" xfId="875"/>
    <cellStyle name="Procent 9 3 2" xfId="1707"/>
    <cellStyle name="Procent 9 3 2 2" xfId="3372"/>
    <cellStyle name="Procent 9 3 2 2 2" xfId="8360"/>
    <cellStyle name="Procent 9 3 2 2 2 2" xfId="19167"/>
    <cellStyle name="Procent 9 3 2 2 2 3" xfId="30524"/>
    <cellStyle name="Procent 9 3 2 2 3" xfId="14182"/>
    <cellStyle name="Procent 9 3 2 2 4" xfId="25540"/>
    <cellStyle name="Procent 9 3 2 3" xfId="5036"/>
    <cellStyle name="Procent 9 3 2 3 2" xfId="10021"/>
    <cellStyle name="Procent 9 3 2 3 2 2" xfId="20828"/>
    <cellStyle name="Procent 9 3 2 3 2 3" xfId="32185"/>
    <cellStyle name="Procent 9 3 2 3 3" xfId="15843"/>
    <cellStyle name="Procent 9 3 2 3 4" xfId="27201"/>
    <cellStyle name="Procent 9 3 2 4" xfId="6698"/>
    <cellStyle name="Procent 9 3 2 4 2" xfId="17506"/>
    <cellStyle name="Procent 9 3 2 4 3" xfId="28863"/>
    <cellStyle name="Procent 9 3 2 5" xfId="12521"/>
    <cellStyle name="Procent 9 3 2 6" xfId="23879"/>
    <cellStyle name="Procent 9 3 3" xfId="2541"/>
    <cellStyle name="Procent 9 3 3 2" xfId="7529"/>
    <cellStyle name="Procent 9 3 3 2 2" xfId="18336"/>
    <cellStyle name="Procent 9 3 3 2 3" xfId="29693"/>
    <cellStyle name="Procent 9 3 3 3" xfId="13351"/>
    <cellStyle name="Procent 9 3 3 4" xfId="24709"/>
    <cellStyle name="Procent 9 3 4" xfId="4205"/>
    <cellStyle name="Procent 9 3 4 2" xfId="9190"/>
    <cellStyle name="Procent 9 3 4 2 2" xfId="19997"/>
    <cellStyle name="Procent 9 3 4 2 3" xfId="31354"/>
    <cellStyle name="Procent 9 3 4 3" xfId="15012"/>
    <cellStyle name="Procent 9 3 4 4" xfId="26370"/>
    <cellStyle name="Procent 9 3 5" xfId="5867"/>
    <cellStyle name="Procent 9 3 5 2" xfId="16675"/>
    <cellStyle name="Procent 9 3 5 3" xfId="28032"/>
    <cellStyle name="Procent 9 3 6" xfId="10854"/>
    <cellStyle name="Procent 9 3 6 2" xfId="21661"/>
    <cellStyle name="Procent 9 3 6 3" xfId="33018"/>
    <cellStyle name="Procent 9 3 7" xfId="11689"/>
    <cellStyle name="Procent 9 3 8" xfId="23048"/>
    <cellStyle name="Procent 9 4" xfId="1154"/>
    <cellStyle name="Procent 9 4 2" xfId="2819"/>
    <cellStyle name="Procent 9 4 2 2" xfId="7807"/>
    <cellStyle name="Procent 9 4 2 2 2" xfId="18614"/>
    <cellStyle name="Procent 9 4 2 2 3" xfId="29971"/>
    <cellStyle name="Procent 9 4 2 3" xfId="13629"/>
    <cellStyle name="Procent 9 4 2 4" xfId="24987"/>
    <cellStyle name="Procent 9 4 3" xfId="4483"/>
    <cellStyle name="Procent 9 4 3 2" xfId="9468"/>
    <cellStyle name="Procent 9 4 3 2 2" xfId="20275"/>
    <cellStyle name="Procent 9 4 3 2 3" xfId="31632"/>
    <cellStyle name="Procent 9 4 3 3" xfId="15290"/>
    <cellStyle name="Procent 9 4 3 4" xfId="26648"/>
    <cellStyle name="Procent 9 4 4" xfId="6145"/>
    <cellStyle name="Procent 9 4 4 2" xfId="16953"/>
    <cellStyle name="Procent 9 4 4 3" xfId="28310"/>
    <cellStyle name="Procent 9 4 5" xfId="11968"/>
    <cellStyle name="Procent 9 4 6" xfId="23326"/>
    <cellStyle name="Procent 9 5" xfId="1989"/>
    <cellStyle name="Procent 9 5 2" xfId="6977"/>
    <cellStyle name="Procent 9 5 2 2" xfId="17785"/>
    <cellStyle name="Procent 9 5 2 3" xfId="29142"/>
    <cellStyle name="Procent 9 5 3" xfId="12800"/>
    <cellStyle name="Procent 9 5 4" xfId="24158"/>
    <cellStyle name="Procent 9 6" xfId="3654"/>
    <cellStyle name="Procent 9 6 2" xfId="8639"/>
    <cellStyle name="Procent 9 6 2 2" xfId="19446"/>
    <cellStyle name="Procent 9 6 2 3" xfId="30803"/>
    <cellStyle name="Procent 9 6 3" xfId="14461"/>
    <cellStyle name="Procent 9 6 4" xfId="25819"/>
    <cellStyle name="Procent 9 7" xfId="5315"/>
    <cellStyle name="Procent 9 7 2" xfId="16124"/>
    <cellStyle name="Procent 9 7 3" xfId="27481"/>
    <cellStyle name="Procent 9 8" xfId="10300"/>
    <cellStyle name="Procent 9 8 2" xfId="21107"/>
    <cellStyle name="Procent 9 8 3" xfId="32464"/>
    <cellStyle name="Procent 9 9" xfId="11134"/>
    <cellStyle name="Sammenkædet celle" xfId="14" builtinId="24" customBuiltin="1"/>
    <cellStyle name="Titel" xfId="3" builtinId="15" customBuiltin="1"/>
    <cellStyle name="Title" xfId="163"/>
    <cellStyle name="Total" xfId="19" builtinId="25" customBuiltin="1"/>
    <cellStyle name="Total (negative)" xfId="117"/>
    <cellStyle name="Total 1000" xfId="118"/>
    <cellStyle name="Total 1000 (negative)" xfId="119"/>
    <cellStyle name="Total 2" xfId="164"/>
    <cellStyle name="Total 3" xfId="116"/>
    <cellStyle name="Ugyldig" xfId="9" builtinId="27" customBuiltin="1"/>
    <cellStyle name="Warning Text" xfId="165"/>
  </cellStyles>
  <dxfs count="2">
    <dxf>
      <font>
        <color rgb="FFFD2711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A5004"/>
      <color rgb="FFFF9999"/>
      <color rgb="FFFD2711"/>
      <color rgb="FFE45A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RowHeight="15" x14ac:dyDescent="0.25"/>
  <cols>
    <col min="1" max="1" width="44.140625" style="5" customWidth="1"/>
    <col min="2" max="2" width="8.42578125" style="6" customWidth="1"/>
    <col min="3" max="3" width="15.7109375" style="9" bestFit="1" customWidth="1"/>
    <col min="4" max="5" width="10.28515625" style="6" bestFit="1" customWidth="1"/>
    <col min="6" max="6" width="14.140625" style="6" bestFit="1" customWidth="1"/>
    <col min="7" max="7" width="12.28515625" style="6" bestFit="1" customWidth="1"/>
    <col min="8" max="8" width="11.28515625" style="6" bestFit="1" customWidth="1"/>
    <col min="9" max="9" width="17.28515625" style="6" bestFit="1" customWidth="1"/>
    <col min="10" max="10" width="11.28515625" style="6" customWidth="1"/>
    <col min="11" max="12" width="19.28515625" style="6" customWidth="1"/>
    <col min="13" max="13" width="14.140625" style="6" bestFit="1" customWidth="1"/>
    <col min="14" max="14" width="15" style="6" bestFit="1" customWidth="1"/>
    <col min="15" max="15" width="19.140625" style="6" customWidth="1"/>
    <col min="16" max="16" width="14.140625" style="6" bestFit="1" customWidth="1"/>
    <col min="17" max="17" width="13.140625" style="6" customWidth="1"/>
    <col min="18" max="18" width="9.5703125" style="6" bestFit="1" customWidth="1"/>
    <col min="19" max="19" width="14.140625" style="6" bestFit="1" customWidth="1"/>
    <col min="20" max="16384" width="9.140625" style="6"/>
  </cols>
  <sheetData>
    <row r="1" spans="1:44" ht="60.75" thickBot="1" x14ac:dyDescent="0.3">
      <c r="A1" s="95" t="s">
        <v>0</v>
      </c>
      <c r="B1" s="59" t="s">
        <v>123</v>
      </c>
      <c r="C1" s="165" t="s">
        <v>492</v>
      </c>
      <c r="D1" s="179" t="s">
        <v>104</v>
      </c>
      <c r="E1" s="79" t="s">
        <v>105</v>
      </c>
      <c r="F1" s="59" t="s">
        <v>124</v>
      </c>
      <c r="G1" s="179" t="s">
        <v>102</v>
      </c>
      <c r="H1" s="79" t="s">
        <v>103</v>
      </c>
      <c r="I1" s="208" t="s">
        <v>128</v>
      </c>
      <c r="J1" s="79" t="s">
        <v>129</v>
      </c>
      <c r="K1" s="179" t="s">
        <v>106</v>
      </c>
      <c r="L1" s="79" t="s">
        <v>107</v>
      </c>
      <c r="M1" s="21" t="s">
        <v>125</v>
      </c>
      <c r="N1" s="13" t="s">
        <v>126</v>
      </c>
      <c r="O1" s="25" t="s">
        <v>127</v>
      </c>
      <c r="P1" s="110" t="s">
        <v>131</v>
      </c>
      <c r="Q1" s="21" t="s">
        <v>100</v>
      </c>
      <c r="R1" s="184" t="s">
        <v>99</v>
      </c>
      <c r="S1" s="79" t="s">
        <v>130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 customHeight="1" x14ac:dyDescent="0.25">
      <c r="A2" s="36" t="s">
        <v>132</v>
      </c>
      <c r="B2" s="136" t="s">
        <v>133</v>
      </c>
      <c r="C2" s="66">
        <v>1101024</v>
      </c>
      <c r="D2" s="209">
        <v>9.1600000000000001E-2</v>
      </c>
      <c r="E2" s="45">
        <f>C2*D2</f>
        <v>100853.7984</v>
      </c>
      <c r="F2" s="173"/>
      <c r="G2" s="209">
        <v>9.1600000000000001E-2</v>
      </c>
      <c r="H2" s="45">
        <f>G2*C2</f>
        <v>100853.7984</v>
      </c>
      <c r="I2" s="44">
        <f>IF(G2&gt;0,C2-H2,"Over fronten")</f>
        <v>1000170.2016</v>
      </c>
      <c r="J2" s="104">
        <f t="shared" ref="J2:J36" si="0">IF(I2&gt;C2*1.0008,I2-C2*1.0008,0)</f>
        <v>0</v>
      </c>
      <c r="K2" s="209">
        <v>0</v>
      </c>
      <c r="L2" s="104">
        <f t="shared" ref="L2:L31" si="1">K2*C2</f>
        <v>0</v>
      </c>
      <c r="M2" s="210">
        <f>IF(VLOOKUP($B$2:$B$209,Netvolumenmål!$B$3:$AN$210,38,FALSE)&lt;Netvolumenmål!$AD$215,VLOOKUP($B$2:$B$209,Netvolumenmål!$B$3:$AN$210,38,FALSE)-Netvolumenmål!$AD$215,0)</f>
        <v>0</v>
      </c>
      <c r="N2" s="211">
        <f>VLOOKUP($B$2:$B$209,Netvolumenmål!$B$3:$AN$210,39,FALSE)*0.75</f>
        <v>0</v>
      </c>
      <c r="O2" s="212">
        <f>IF(K2=0,0,IF(K2&lt;-N2,0,K2+N2))</f>
        <v>0</v>
      </c>
      <c r="P2" s="14">
        <f>O2*C2</f>
        <v>0</v>
      </c>
      <c r="Q2" s="70">
        <f>O2/4</f>
        <v>0</v>
      </c>
      <c r="R2" s="73">
        <f>IF(Q2&gt;0.01,IF(Q2&gt;0.05,0.05,Q2),0)</f>
        <v>0</v>
      </c>
      <c r="S2" s="103">
        <f t="shared" ref="S2:S31" si="2">R2*C2</f>
        <v>0</v>
      </c>
    </row>
    <row r="3" spans="1:44" x14ac:dyDescent="0.25">
      <c r="A3" s="17" t="s">
        <v>134</v>
      </c>
      <c r="B3" s="137" t="s">
        <v>135</v>
      </c>
      <c r="C3" s="84">
        <v>924126</v>
      </c>
      <c r="D3" s="213">
        <v>0.1069</v>
      </c>
      <c r="E3" s="103">
        <f t="shared" ref="E3:E62" si="3">C3*D3</f>
        <v>98789.069399999993</v>
      </c>
      <c r="F3" s="84"/>
      <c r="G3" s="213">
        <v>0.1069</v>
      </c>
      <c r="H3" s="103">
        <f>G3*C3</f>
        <v>98789.069399999993</v>
      </c>
      <c r="I3" s="44">
        <f t="shared" ref="I3:I62" si="4">IF(G3&gt;0,C3-H3,"Over fronten")</f>
        <v>825336.93059999996</v>
      </c>
      <c r="J3" s="104">
        <f t="shared" si="0"/>
        <v>0</v>
      </c>
      <c r="K3" s="213">
        <v>0</v>
      </c>
      <c r="L3" s="104">
        <f t="shared" si="1"/>
        <v>0</v>
      </c>
      <c r="M3" s="214">
        <f>IF(VLOOKUP($B$2:$B$209,Netvolumenmål!$B$3:$AN$210,38,FALSE)&lt;Netvolumenmål!$AD$215,VLOOKUP($B$2:$B$209,Netvolumenmål!$B$3:$AN$210,38,FALSE)-Netvolumenmål!$AD$215,0)</f>
        <v>0</v>
      </c>
      <c r="N3" s="215">
        <f>VLOOKUP($B$2:$B$209,Netvolumenmål!$B$3:$AN$210,39,FALSE)*0.75</f>
        <v>0</v>
      </c>
      <c r="O3" s="216">
        <f t="shared" ref="O3:O62" si="5">IF(K3=0,0,IF(K3&lt;-N3,0,K3+N3))</f>
        <v>0</v>
      </c>
      <c r="P3" s="12">
        <f t="shared" ref="P3:P62" si="6">O3*C3</f>
        <v>0</v>
      </c>
      <c r="Q3" s="70">
        <f t="shared" ref="Q3:Q31" si="7">O3/4</f>
        <v>0</v>
      </c>
      <c r="R3" s="73">
        <f t="shared" ref="R3:R62" si="8">IF(Q3&gt;0.01,IF(Q3&gt;0.05,0.05,Q3),0)</f>
        <v>0</v>
      </c>
      <c r="S3" s="103">
        <f t="shared" si="2"/>
        <v>0</v>
      </c>
    </row>
    <row r="4" spans="1:44" x14ac:dyDescent="0.25">
      <c r="A4" s="17" t="s">
        <v>136</v>
      </c>
      <c r="B4" s="137" t="s">
        <v>137</v>
      </c>
      <c r="C4" s="84">
        <v>2585186</v>
      </c>
      <c r="D4" s="213">
        <v>8.8300000000000003E-2</v>
      </c>
      <c r="E4" s="103">
        <f t="shared" si="3"/>
        <v>228271.92380000002</v>
      </c>
      <c r="F4" s="84"/>
      <c r="G4" s="213">
        <v>8.8300000000000003E-2</v>
      </c>
      <c r="H4" s="103">
        <f t="shared" ref="H4:H31" si="9">G4*C4</f>
        <v>228271.92380000002</v>
      </c>
      <c r="I4" s="44">
        <f t="shared" si="4"/>
        <v>2356914.0762</v>
      </c>
      <c r="J4" s="104">
        <f t="shared" si="0"/>
        <v>0</v>
      </c>
      <c r="K4" s="213">
        <v>0</v>
      </c>
      <c r="L4" s="104">
        <f t="shared" si="1"/>
        <v>0</v>
      </c>
      <c r="M4" s="214">
        <f>IF(VLOOKUP($B$2:$B$209,Netvolumenmål!$B$3:$AN$210,38,FALSE)&lt;Netvolumenmål!$AD$215,VLOOKUP($B$2:$B$209,Netvolumenmål!$B$3:$AN$210,38,FALSE)-Netvolumenmål!$AD$215,0)</f>
        <v>0</v>
      </c>
      <c r="N4" s="215">
        <f>VLOOKUP($B$2:$B$209,Netvolumenmål!$B$3:$AN$210,39,FALSE)*0.75</f>
        <v>0</v>
      </c>
      <c r="O4" s="216">
        <f t="shared" si="5"/>
        <v>0</v>
      </c>
      <c r="P4" s="12">
        <f t="shared" si="6"/>
        <v>0</v>
      </c>
      <c r="Q4" s="70">
        <f t="shared" si="7"/>
        <v>0</v>
      </c>
      <c r="R4" s="73">
        <f t="shared" si="8"/>
        <v>0</v>
      </c>
      <c r="S4" s="103">
        <f t="shared" si="2"/>
        <v>0</v>
      </c>
    </row>
    <row r="5" spans="1:44" x14ac:dyDescent="0.25">
      <c r="A5" s="17" t="s">
        <v>138</v>
      </c>
      <c r="B5" s="137" t="s">
        <v>139</v>
      </c>
      <c r="C5" s="84">
        <v>1311175</v>
      </c>
      <c r="D5" s="213">
        <v>0.25879999999999997</v>
      </c>
      <c r="E5" s="103">
        <f t="shared" si="3"/>
        <v>339332.08999999997</v>
      </c>
      <c r="F5" s="84"/>
      <c r="G5" s="213">
        <v>0.25879999999999997</v>
      </c>
      <c r="H5" s="103">
        <f t="shared" si="9"/>
        <v>339332.08999999997</v>
      </c>
      <c r="I5" s="44">
        <f t="shared" si="4"/>
        <v>971842.91</v>
      </c>
      <c r="J5" s="104">
        <f t="shared" si="0"/>
        <v>0</v>
      </c>
      <c r="K5" s="213">
        <v>9.6100000000000005E-2</v>
      </c>
      <c r="L5" s="104">
        <f t="shared" si="1"/>
        <v>126003.91750000001</v>
      </c>
      <c r="M5" s="214">
        <f>IF(VLOOKUP($B$2:$B$209,Netvolumenmål!$B$3:$AN$210,38,FALSE)&lt;Netvolumenmål!$AD$215,VLOOKUP($B$2:$B$209,Netvolumenmål!$B$3:$AN$210,38,FALSE)-Netvolumenmål!$AD$215,0)</f>
        <v>0</v>
      </c>
      <c r="N5" s="215">
        <f>VLOOKUP($B$2:$B$209,Netvolumenmål!$B$3:$AN$210,39,FALSE)*0.75</f>
        <v>0</v>
      </c>
      <c r="O5" s="216">
        <f>IF(K5=0,0,IF(K5&lt;-N5,0,K5+N5))</f>
        <v>9.6100000000000005E-2</v>
      </c>
      <c r="P5" s="12">
        <f t="shared" si="6"/>
        <v>126003.91750000001</v>
      </c>
      <c r="Q5" s="70">
        <f t="shared" si="7"/>
        <v>2.4025000000000001E-2</v>
      </c>
      <c r="R5" s="73">
        <f t="shared" si="8"/>
        <v>2.4025000000000001E-2</v>
      </c>
      <c r="S5" s="103">
        <f t="shared" si="2"/>
        <v>31500.979375000003</v>
      </c>
    </row>
    <row r="6" spans="1:44" x14ac:dyDescent="0.25">
      <c r="A6" s="17" t="s">
        <v>140</v>
      </c>
      <c r="B6" s="137" t="s">
        <v>141</v>
      </c>
      <c r="C6" s="84">
        <v>1437567</v>
      </c>
      <c r="D6" s="213">
        <v>0.3765</v>
      </c>
      <c r="E6" s="103">
        <f t="shared" si="3"/>
        <v>541243.97550000006</v>
      </c>
      <c r="F6" s="84"/>
      <c r="G6" s="213">
        <v>0.3765</v>
      </c>
      <c r="H6" s="103">
        <f t="shared" si="9"/>
        <v>541243.97550000006</v>
      </c>
      <c r="I6" s="44">
        <f t="shared" si="4"/>
        <v>896323.02449999994</v>
      </c>
      <c r="J6" s="104">
        <f t="shared" si="0"/>
        <v>0</v>
      </c>
      <c r="K6" s="213">
        <v>0.21390000000000001</v>
      </c>
      <c r="L6" s="104">
        <f t="shared" si="1"/>
        <v>307495.58130000002</v>
      </c>
      <c r="M6" s="214">
        <f>IF(VLOOKUP($B$2:$B$209,Netvolumenmål!$B$3:$AN$210,38,FALSE)&lt;Netvolumenmål!$AD$215,VLOOKUP($B$2:$B$209,Netvolumenmål!$B$3:$AN$210,38,FALSE)-Netvolumenmål!$AD$215,0)</f>
        <v>0</v>
      </c>
      <c r="N6" s="215">
        <f>VLOOKUP($B$2:$B$209,Netvolumenmål!$B$3:$AN$210,39,FALSE)*0.75</f>
        <v>0</v>
      </c>
      <c r="O6" s="216">
        <f t="shared" si="5"/>
        <v>0.21390000000000001</v>
      </c>
      <c r="P6" s="12">
        <f t="shared" si="6"/>
        <v>307495.58130000002</v>
      </c>
      <c r="Q6" s="70">
        <f t="shared" si="7"/>
        <v>5.3475000000000002E-2</v>
      </c>
      <c r="R6" s="73">
        <f t="shared" si="8"/>
        <v>0.05</v>
      </c>
      <c r="S6" s="103">
        <f t="shared" si="2"/>
        <v>71878.350000000006</v>
      </c>
    </row>
    <row r="7" spans="1:44" x14ac:dyDescent="0.25">
      <c r="A7" s="17" t="s">
        <v>142</v>
      </c>
      <c r="B7" s="137" t="s">
        <v>143</v>
      </c>
      <c r="C7" s="84">
        <v>2461208</v>
      </c>
      <c r="D7" s="213">
        <v>6.1999999999999998E-3</v>
      </c>
      <c r="E7" s="103">
        <f t="shared" si="3"/>
        <v>15259.489599999999</v>
      </c>
      <c r="F7" s="84"/>
      <c r="G7" s="213">
        <v>6.1999999999999998E-3</v>
      </c>
      <c r="H7" s="103">
        <f t="shared" si="9"/>
        <v>15259.489599999999</v>
      </c>
      <c r="I7" s="44">
        <f t="shared" si="4"/>
        <v>2445948.5104</v>
      </c>
      <c r="J7" s="104">
        <f t="shared" si="0"/>
        <v>0</v>
      </c>
      <c r="K7" s="213">
        <v>0</v>
      </c>
      <c r="L7" s="104">
        <f t="shared" si="1"/>
        <v>0</v>
      </c>
      <c r="M7" s="214">
        <f>IF(VLOOKUP($B$2:$B$209,Netvolumenmål!$B$3:$AN$210,38,FALSE)&lt;Netvolumenmål!$AD$215,VLOOKUP($B$2:$B$209,Netvolumenmål!$B$3:$AN$210,38,FALSE)-Netvolumenmål!$AD$215,0)</f>
        <v>0</v>
      </c>
      <c r="N7" s="215">
        <f>VLOOKUP($B$2:$B$209,Netvolumenmål!$B$3:$AN$210,39,FALSE)*0.75</f>
        <v>0</v>
      </c>
      <c r="O7" s="216">
        <f t="shared" si="5"/>
        <v>0</v>
      </c>
      <c r="P7" s="12">
        <f t="shared" si="6"/>
        <v>0</v>
      </c>
      <c r="Q7" s="70">
        <f t="shared" si="7"/>
        <v>0</v>
      </c>
      <c r="R7" s="73">
        <f t="shared" si="8"/>
        <v>0</v>
      </c>
      <c r="S7" s="103">
        <f t="shared" si="2"/>
        <v>0</v>
      </c>
    </row>
    <row r="8" spans="1:44" x14ac:dyDescent="0.25">
      <c r="A8" s="17" t="s">
        <v>114</v>
      </c>
      <c r="B8" s="137" t="s">
        <v>144</v>
      </c>
      <c r="C8" s="84">
        <v>3243930</v>
      </c>
      <c r="D8" s="213">
        <v>0.39119999999999999</v>
      </c>
      <c r="E8" s="103">
        <f t="shared" si="3"/>
        <v>1269025.416</v>
      </c>
      <c r="F8" s="84">
        <v>374499</v>
      </c>
      <c r="G8" s="213">
        <v>0.30740000000000001</v>
      </c>
      <c r="H8" s="103">
        <f t="shared" si="9"/>
        <v>997184.08200000005</v>
      </c>
      <c r="I8" s="44">
        <f t="shared" si="4"/>
        <v>2246745.9180000001</v>
      </c>
      <c r="J8" s="104">
        <f t="shared" si="0"/>
        <v>0</v>
      </c>
      <c r="K8" s="213">
        <v>0.15110000000000001</v>
      </c>
      <c r="L8" s="104">
        <f>K8*C8</f>
        <v>490157.82300000003</v>
      </c>
      <c r="M8" s="214">
        <f>IF(VLOOKUP($B$2:$B$209,Netvolumenmål!$B$3:$AN$210,38,FALSE)&lt;Netvolumenmål!$AD$215,VLOOKUP($B$2:$B$209,Netvolumenmål!$B$3:$AN$210,38,FALSE)-Netvolumenmål!$AD$215,0)</f>
        <v>-0.17047299842207936</v>
      </c>
      <c r="N8" s="215">
        <f>VLOOKUP($B$2:$B$209,Netvolumenmål!$B$3:$AN$210,39,FALSE)*0.75</f>
        <v>-7.2659853752450779E-2</v>
      </c>
      <c r="O8" s="216">
        <f t="shared" si="5"/>
        <v>7.8440146247549233E-2</v>
      </c>
      <c r="P8" s="12">
        <f t="shared" si="6"/>
        <v>254454.34361681237</v>
      </c>
      <c r="Q8" s="70">
        <f t="shared" si="7"/>
        <v>1.9610036561887308E-2</v>
      </c>
      <c r="R8" s="73">
        <f t="shared" si="8"/>
        <v>1.9610036561887308E-2</v>
      </c>
      <c r="S8" s="103">
        <f t="shared" si="2"/>
        <v>63613.585904203093</v>
      </c>
    </row>
    <row r="9" spans="1:44" x14ac:dyDescent="0.25">
      <c r="A9" s="17" t="s">
        <v>145</v>
      </c>
      <c r="B9" s="137" t="s">
        <v>146</v>
      </c>
      <c r="C9" s="84">
        <v>1411517</v>
      </c>
      <c r="D9" s="213">
        <v>0.50190000000000001</v>
      </c>
      <c r="E9" s="103">
        <f t="shared" si="3"/>
        <v>708440.38230000006</v>
      </c>
      <c r="F9" s="84"/>
      <c r="G9" s="213">
        <v>0.50190000000000001</v>
      </c>
      <c r="H9" s="103">
        <f t="shared" si="9"/>
        <v>708440.38230000006</v>
      </c>
      <c r="I9" s="44">
        <f t="shared" si="4"/>
        <v>703076.61769999994</v>
      </c>
      <c r="J9" s="104">
        <f t="shared" si="0"/>
        <v>0</v>
      </c>
      <c r="K9" s="213">
        <v>0.34789999999999999</v>
      </c>
      <c r="L9" s="104">
        <f t="shared" si="1"/>
        <v>491066.76429999998</v>
      </c>
      <c r="M9" s="214">
        <f>IF(VLOOKUP($B$2:$B$209,Netvolumenmål!$B$3:$AN$210,38,FALSE)&lt;Netvolumenmål!$AD$215,VLOOKUP($B$2:$B$209,Netvolumenmål!$B$3:$AN$210,38,FALSE)-Netvolumenmål!$AD$215,0)</f>
        <v>-0.3186190511737082</v>
      </c>
      <c r="N9" s="215">
        <f>VLOOKUP($B$2:$B$209,Netvolumenmål!$B$3:$AN$210,39,FALSE)*0.75</f>
        <v>-0.13580340508651378</v>
      </c>
      <c r="O9" s="216">
        <f t="shared" si="5"/>
        <v>0.2120965949134862</v>
      </c>
      <c r="P9" s="12">
        <f t="shared" si="6"/>
        <v>299377.94936249929</v>
      </c>
      <c r="Q9" s="70">
        <f t="shared" si="7"/>
        <v>5.3024148728371551E-2</v>
      </c>
      <c r="R9" s="73">
        <f t="shared" si="8"/>
        <v>0.05</v>
      </c>
      <c r="S9" s="103">
        <f t="shared" si="2"/>
        <v>70575.850000000006</v>
      </c>
    </row>
    <row r="10" spans="1:44" x14ac:dyDescent="0.25">
      <c r="A10" s="17" t="s">
        <v>115</v>
      </c>
      <c r="B10" s="137" t="s">
        <v>147</v>
      </c>
      <c r="C10" s="84">
        <v>3051381</v>
      </c>
      <c r="D10" s="213">
        <v>7.2900000000000006E-2</v>
      </c>
      <c r="E10" s="103">
        <f t="shared" si="3"/>
        <v>222445.67490000001</v>
      </c>
      <c r="F10" s="84"/>
      <c r="G10" s="213">
        <v>7.2900000000000006E-2</v>
      </c>
      <c r="H10" s="103">
        <f t="shared" si="9"/>
        <v>222445.67490000001</v>
      </c>
      <c r="I10" s="44">
        <f t="shared" si="4"/>
        <v>2828935.3251</v>
      </c>
      <c r="J10" s="104">
        <f t="shared" si="0"/>
        <v>0</v>
      </c>
      <c r="K10" s="213">
        <v>0</v>
      </c>
      <c r="L10" s="104">
        <f t="shared" si="1"/>
        <v>0</v>
      </c>
      <c r="M10" s="214">
        <f>IF(VLOOKUP($B$2:$B$209,Netvolumenmål!$B$3:$AN$210,38,FALSE)&lt;Netvolumenmål!$AD$215,VLOOKUP($B$2:$B$209,Netvolumenmål!$B$3:$AN$210,38,FALSE)-Netvolumenmål!$AD$215,0)</f>
        <v>0</v>
      </c>
      <c r="N10" s="215">
        <f>VLOOKUP($B$2:$B$209,Netvolumenmål!$B$3:$AN$210,39,FALSE)*0.75</f>
        <v>0</v>
      </c>
      <c r="O10" s="216">
        <f t="shared" si="5"/>
        <v>0</v>
      </c>
      <c r="P10" s="12">
        <f t="shared" si="6"/>
        <v>0</v>
      </c>
      <c r="Q10" s="70">
        <f t="shared" si="7"/>
        <v>0</v>
      </c>
      <c r="R10" s="73">
        <f t="shared" si="8"/>
        <v>0</v>
      </c>
      <c r="S10" s="103">
        <f t="shared" si="2"/>
        <v>0</v>
      </c>
    </row>
    <row r="11" spans="1:44" x14ac:dyDescent="0.25">
      <c r="A11" s="17" t="s">
        <v>148</v>
      </c>
      <c r="B11" s="137" t="s">
        <v>149</v>
      </c>
      <c r="C11" s="84">
        <v>1250582</v>
      </c>
      <c r="D11" s="213">
        <v>0.2656</v>
      </c>
      <c r="E11" s="103">
        <f t="shared" si="3"/>
        <v>332154.57919999998</v>
      </c>
      <c r="F11" s="84"/>
      <c r="G11" s="213">
        <v>0.2656</v>
      </c>
      <c r="H11" s="103">
        <f t="shared" si="9"/>
        <v>332154.57919999998</v>
      </c>
      <c r="I11" s="44">
        <f t="shared" si="4"/>
        <v>918427.42079999996</v>
      </c>
      <c r="J11" s="104">
        <f t="shared" si="0"/>
        <v>0</v>
      </c>
      <c r="K11" s="213">
        <v>0.10929999999999999</v>
      </c>
      <c r="L11" s="104">
        <f t="shared" si="1"/>
        <v>136688.61259999999</v>
      </c>
      <c r="M11" s="214">
        <f>IF(VLOOKUP($B$2:$B$209,Netvolumenmål!$B$3:$AN$210,38,FALSE)&lt;Netvolumenmål!$AD$215,VLOOKUP($B$2:$B$209,Netvolumenmål!$B$3:$AN$210,38,FALSE)-Netvolumenmål!$AD$215,0)</f>
        <v>0</v>
      </c>
      <c r="N11" s="215">
        <f>VLOOKUP($B$2:$B$209,Netvolumenmål!$B$3:$AN$210,39,FALSE)*0.75</f>
        <v>0</v>
      </c>
      <c r="O11" s="216">
        <f t="shared" si="5"/>
        <v>0.10929999999999999</v>
      </c>
      <c r="P11" s="12">
        <f t="shared" si="6"/>
        <v>136688.61259999999</v>
      </c>
      <c r="Q11" s="70">
        <f t="shared" si="7"/>
        <v>2.7324999999999999E-2</v>
      </c>
      <c r="R11" s="73">
        <f t="shared" si="8"/>
        <v>2.7324999999999999E-2</v>
      </c>
      <c r="S11" s="103">
        <f t="shared" si="2"/>
        <v>34172.153149999998</v>
      </c>
    </row>
    <row r="12" spans="1:44" x14ac:dyDescent="0.25">
      <c r="A12" s="17" t="s">
        <v>116</v>
      </c>
      <c r="B12" s="137" t="s">
        <v>150</v>
      </c>
      <c r="C12" s="84">
        <v>1075933</v>
      </c>
      <c r="D12" s="213">
        <v>0.39029999999999998</v>
      </c>
      <c r="E12" s="103">
        <f t="shared" si="3"/>
        <v>419936.64989999996</v>
      </c>
      <c r="F12" s="84"/>
      <c r="G12" s="213">
        <v>0.39029999999999998</v>
      </c>
      <c r="H12" s="103">
        <f t="shared" si="9"/>
        <v>419936.64989999996</v>
      </c>
      <c r="I12" s="44">
        <f t="shared" si="4"/>
        <v>655996.35010000004</v>
      </c>
      <c r="J12" s="104">
        <f t="shared" si="0"/>
        <v>0</v>
      </c>
      <c r="K12" s="213">
        <v>0.22770000000000001</v>
      </c>
      <c r="L12" s="104">
        <f t="shared" si="1"/>
        <v>244989.94410000002</v>
      </c>
      <c r="M12" s="214">
        <f>IF(VLOOKUP($B$2:$B$209,Netvolumenmål!$B$3:$AN$210,38,FALSE)&lt;Netvolumenmål!$AD$215,VLOOKUP($B$2:$B$209,Netvolumenmål!$B$3:$AN$210,38,FALSE)-Netvolumenmål!$AD$215,0)</f>
        <v>0</v>
      </c>
      <c r="N12" s="215">
        <f>VLOOKUP($B$2:$B$209,Netvolumenmål!$B$3:$AN$210,39,FALSE)*0.75</f>
        <v>0</v>
      </c>
      <c r="O12" s="216">
        <f t="shared" ref="O12:O15" si="10">IF(K12=0,0,IF(K12&lt;-N12,0,K12+N12))</f>
        <v>0.22770000000000001</v>
      </c>
      <c r="P12" s="12">
        <f t="shared" si="6"/>
        <v>244989.94410000002</v>
      </c>
      <c r="Q12" s="70">
        <f t="shared" si="7"/>
        <v>5.6925000000000003E-2</v>
      </c>
      <c r="R12" s="73">
        <f t="shared" si="8"/>
        <v>0.05</v>
      </c>
      <c r="S12" s="103">
        <f t="shared" si="2"/>
        <v>53796.65</v>
      </c>
    </row>
    <row r="13" spans="1:44" x14ac:dyDescent="0.25">
      <c r="A13" s="17" t="s">
        <v>151</v>
      </c>
      <c r="B13" s="137" t="s">
        <v>152</v>
      </c>
      <c r="C13" s="84">
        <v>1449822</v>
      </c>
      <c r="D13" s="213">
        <v>0</v>
      </c>
      <c r="E13" s="103">
        <f t="shared" si="3"/>
        <v>0</v>
      </c>
      <c r="F13" s="84"/>
      <c r="G13" s="213">
        <v>0</v>
      </c>
      <c r="H13" s="103">
        <f t="shared" si="9"/>
        <v>0</v>
      </c>
      <c r="I13" s="44">
        <f>1.0092*C13</f>
        <v>1463160.3624000002</v>
      </c>
      <c r="J13" s="104">
        <f t="shared" si="0"/>
        <v>12178.504800000228</v>
      </c>
      <c r="K13" s="213">
        <v>0</v>
      </c>
      <c r="L13" s="104">
        <f t="shared" si="1"/>
        <v>0</v>
      </c>
      <c r="M13" s="214">
        <f>IF(VLOOKUP($B$2:$B$209,Netvolumenmål!$B$3:$AN$210,38,FALSE)&lt;Netvolumenmål!$AD$215,VLOOKUP($B$2:$B$209,Netvolumenmål!$B$3:$AN$210,38,FALSE)-Netvolumenmål!$AD$215,0)</f>
        <v>0</v>
      </c>
      <c r="N13" s="215">
        <f>VLOOKUP($B$2:$B$209,Netvolumenmål!$B$3:$AN$210,39,FALSE)*0.75</f>
        <v>0</v>
      </c>
      <c r="O13" s="216">
        <f t="shared" si="10"/>
        <v>0</v>
      </c>
      <c r="P13" s="12">
        <f t="shared" si="6"/>
        <v>0</v>
      </c>
      <c r="Q13" s="70">
        <f t="shared" si="7"/>
        <v>0</v>
      </c>
      <c r="R13" s="73">
        <f t="shared" si="8"/>
        <v>0</v>
      </c>
      <c r="S13" s="103">
        <f t="shared" si="2"/>
        <v>0</v>
      </c>
    </row>
    <row r="14" spans="1:44" x14ac:dyDescent="0.25">
      <c r="A14" s="17" t="s">
        <v>153</v>
      </c>
      <c r="B14" s="137" t="s">
        <v>154</v>
      </c>
      <c r="C14" s="84">
        <v>1276534</v>
      </c>
      <c r="D14" s="213">
        <v>0.27929999999999999</v>
      </c>
      <c r="E14" s="103">
        <f t="shared" si="3"/>
        <v>356535.94620000001</v>
      </c>
      <c r="F14" s="84">
        <v>4574</v>
      </c>
      <c r="G14" s="213">
        <v>0.27700000000000002</v>
      </c>
      <c r="H14" s="103">
        <f t="shared" si="9"/>
        <v>353599.91800000001</v>
      </c>
      <c r="I14" s="44">
        <f t="shared" si="4"/>
        <v>922934.08199999994</v>
      </c>
      <c r="J14" s="104">
        <f t="shared" si="0"/>
        <v>0</v>
      </c>
      <c r="K14" s="213">
        <v>0.125</v>
      </c>
      <c r="L14" s="104">
        <f t="shared" si="1"/>
        <v>159566.75</v>
      </c>
      <c r="M14" s="214">
        <f>IF(VLOOKUP($B$2:$B$209,Netvolumenmål!$B$3:$AN$210,38,FALSE)&lt;Netvolumenmål!$AD$215,VLOOKUP($B$2:$B$209,Netvolumenmål!$B$3:$AN$210,38,FALSE)-Netvolumenmål!$AD$215,0)</f>
        <v>0</v>
      </c>
      <c r="N14" s="215">
        <f>VLOOKUP($B$2:$B$209,Netvolumenmål!$B$3:$AN$210,39,FALSE)*0.75</f>
        <v>0</v>
      </c>
      <c r="O14" s="216">
        <f t="shared" si="10"/>
        <v>0.125</v>
      </c>
      <c r="P14" s="12">
        <f t="shared" si="6"/>
        <v>159566.75</v>
      </c>
      <c r="Q14" s="70">
        <f t="shared" si="7"/>
        <v>3.125E-2</v>
      </c>
      <c r="R14" s="73">
        <f t="shared" si="8"/>
        <v>3.125E-2</v>
      </c>
      <c r="S14" s="103">
        <f t="shared" si="2"/>
        <v>39891.6875</v>
      </c>
    </row>
    <row r="15" spans="1:44" x14ac:dyDescent="0.25">
      <c r="A15" s="17" t="s">
        <v>155</v>
      </c>
      <c r="B15" s="137" t="s">
        <v>156</v>
      </c>
      <c r="C15" s="84">
        <v>7811080</v>
      </c>
      <c r="D15" s="213">
        <v>0.39450000000000002</v>
      </c>
      <c r="E15" s="103">
        <f t="shared" si="3"/>
        <v>3081471.06</v>
      </c>
      <c r="F15" s="84"/>
      <c r="G15" s="213">
        <v>0.39450000000000002</v>
      </c>
      <c r="H15" s="103">
        <f t="shared" si="9"/>
        <v>3081471.06</v>
      </c>
      <c r="I15" s="44">
        <f t="shared" si="4"/>
        <v>4729608.9399999995</v>
      </c>
      <c r="J15" s="104">
        <f t="shared" si="0"/>
        <v>0</v>
      </c>
      <c r="K15" s="213">
        <v>0.23330000000000001</v>
      </c>
      <c r="L15" s="104">
        <f t="shared" si="1"/>
        <v>1822324.9640000002</v>
      </c>
      <c r="M15" s="214">
        <f>IF(VLOOKUP($B$2:$B$209,Netvolumenmål!$B$3:$AN$210,38,FALSE)&lt;Netvolumenmål!$AD$215,VLOOKUP($B$2:$B$209,Netvolumenmål!$B$3:$AN$210,38,FALSE)-Netvolumenmål!$AD$215,0)</f>
        <v>0</v>
      </c>
      <c r="N15" s="215">
        <f>VLOOKUP($B$2:$B$209,Netvolumenmål!$B$3:$AN$210,39,FALSE)*0.75</f>
        <v>0</v>
      </c>
      <c r="O15" s="216">
        <f t="shared" si="10"/>
        <v>0.23330000000000001</v>
      </c>
      <c r="P15" s="12">
        <f t="shared" si="6"/>
        <v>1822324.9640000002</v>
      </c>
      <c r="Q15" s="70">
        <f t="shared" si="7"/>
        <v>5.8325000000000002E-2</v>
      </c>
      <c r="R15" s="73">
        <f t="shared" si="8"/>
        <v>0.05</v>
      </c>
      <c r="S15" s="103">
        <f t="shared" si="2"/>
        <v>390554</v>
      </c>
    </row>
    <row r="16" spans="1:44" x14ac:dyDescent="0.25">
      <c r="A16" s="17" t="s">
        <v>157</v>
      </c>
      <c r="B16" s="137" t="s">
        <v>158</v>
      </c>
      <c r="C16" s="84">
        <v>1700602</v>
      </c>
      <c r="D16" s="213">
        <v>0.253</v>
      </c>
      <c r="E16" s="103">
        <f t="shared" si="3"/>
        <v>430252.30599999998</v>
      </c>
      <c r="F16" s="84"/>
      <c r="G16" s="213">
        <v>0.253</v>
      </c>
      <c r="H16" s="103">
        <f t="shared" si="9"/>
        <v>430252.30599999998</v>
      </c>
      <c r="I16" s="44">
        <f t="shared" si="4"/>
        <v>1270349.6940000001</v>
      </c>
      <c r="J16" s="104">
        <f t="shared" si="0"/>
        <v>0</v>
      </c>
      <c r="K16" s="213">
        <v>9.1800000000000007E-2</v>
      </c>
      <c r="L16" s="104">
        <f t="shared" si="1"/>
        <v>156115.26360000001</v>
      </c>
      <c r="M16" s="214">
        <f>IF(VLOOKUP($B$2:$B$209,Netvolumenmål!$B$3:$AN$210,38,FALSE)&lt;Netvolumenmål!$AD$215,VLOOKUP($B$2:$B$209,Netvolumenmål!$B$3:$AN$210,38,FALSE)-Netvolumenmål!$AD$215,0)</f>
        <v>0</v>
      </c>
      <c r="N16" s="215">
        <f>VLOOKUP($B$2:$B$209,Netvolumenmål!$B$3:$AN$210,39,FALSE)*0.75</f>
        <v>0</v>
      </c>
      <c r="O16" s="216">
        <f t="shared" si="5"/>
        <v>9.1800000000000007E-2</v>
      </c>
      <c r="P16" s="12">
        <f t="shared" si="6"/>
        <v>156115.26360000001</v>
      </c>
      <c r="Q16" s="70">
        <f t="shared" si="7"/>
        <v>2.2950000000000002E-2</v>
      </c>
      <c r="R16" s="73">
        <f t="shared" si="8"/>
        <v>2.2950000000000002E-2</v>
      </c>
      <c r="S16" s="103">
        <f t="shared" si="2"/>
        <v>39028.815900000001</v>
      </c>
    </row>
    <row r="17" spans="1:19" x14ac:dyDescent="0.25">
      <c r="A17" s="17" t="s">
        <v>159</v>
      </c>
      <c r="B17" s="137" t="s">
        <v>160</v>
      </c>
      <c r="C17" s="84">
        <v>3440647</v>
      </c>
      <c r="D17" s="213">
        <v>0.31630000000000003</v>
      </c>
      <c r="E17" s="103">
        <f t="shared" si="3"/>
        <v>1088276.6461</v>
      </c>
      <c r="F17" s="84"/>
      <c r="G17" s="213">
        <v>0.31630000000000003</v>
      </c>
      <c r="H17" s="103">
        <f t="shared" si="9"/>
        <v>1088276.6461</v>
      </c>
      <c r="I17" s="44">
        <f t="shared" si="4"/>
        <v>2352370.3539</v>
      </c>
      <c r="J17" s="104">
        <f t="shared" si="0"/>
        <v>0</v>
      </c>
      <c r="K17" s="213">
        <v>0.15509999999999999</v>
      </c>
      <c r="L17" s="104">
        <f t="shared" si="1"/>
        <v>533644.3496999999</v>
      </c>
      <c r="M17" s="214">
        <f>IF(VLOOKUP($B$2:$B$209,Netvolumenmål!$B$3:$AN$210,38,FALSE)&lt;Netvolumenmål!$AD$215,VLOOKUP($B$2:$B$209,Netvolumenmål!$B$3:$AN$210,38,FALSE)-Netvolumenmål!$AD$215,0)</f>
        <v>0</v>
      </c>
      <c r="N17" s="215">
        <f>VLOOKUP($B$2:$B$209,Netvolumenmål!$B$3:$AN$210,39,FALSE)*0.75</f>
        <v>0</v>
      </c>
      <c r="O17" s="216">
        <f t="shared" si="5"/>
        <v>0.15509999999999999</v>
      </c>
      <c r="P17" s="12">
        <f t="shared" si="6"/>
        <v>533644.3496999999</v>
      </c>
      <c r="Q17" s="70">
        <f t="shared" si="7"/>
        <v>3.8774999999999997E-2</v>
      </c>
      <c r="R17" s="73">
        <f t="shared" si="8"/>
        <v>3.8774999999999997E-2</v>
      </c>
      <c r="S17" s="103">
        <f t="shared" si="2"/>
        <v>133411.08742499998</v>
      </c>
    </row>
    <row r="18" spans="1:19" x14ac:dyDescent="0.25">
      <c r="A18" s="17" t="s">
        <v>161</v>
      </c>
      <c r="B18" s="137" t="s">
        <v>162</v>
      </c>
      <c r="C18" s="84">
        <v>1539389</v>
      </c>
      <c r="D18" s="213">
        <v>0.24729999999999999</v>
      </c>
      <c r="E18" s="103">
        <f t="shared" si="3"/>
        <v>380690.89970000001</v>
      </c>
      <c r="F18" s="84"/>
      <c r="G18" s="213">
        <v>0.24729999999999999</v>
      </c>
      <c r="H18" s="103">
        <f t="shared" si="9"/>
        <v>380690.89970000001</v>
      </c>
      <c r="I18" s="44">
        <f t="shared" si="4"/>
        <v>1158698.1003</v>
      </c>
      <c r="J18" s="104">
        <f t="shared" si="0"/>
        <v>0</v>
      </c>
      <c r="K18" s="213">
        <v>8.4699999999999998E-2</v>
      </c>
      <c r="L18" s="104">
        <f t="shared" si="1"/>
        <v>130386.24829999999</v>
      </c>
      <c r="M18" s="214">
        <f>IF(VLOOKUP($B$2:$B$209,Netvolumenmål!$B$3:$AN$210,38,FALSE)&lt;Netvolumenmål!$AD$215,VLOOKUP($B$2:$B$209,Netvolumenmål!$B$3:$AN$210,38,FALSE)-Netvolumenmål!$AD$215,0)</f>
        <v>0</v>
      </c>
      <c r="N18" s="215">
        <f>VLOOKUP($B$2:$B$209,Netvolumenmål!$B$3:$AN$210,39,FALSE)*0.75</f>
        <v>0</v>
      </c>
      <c r="O18" s="216">
        <f t="shared" si="5"/>
        <v>8.4699999999999998E-2</v>
      </c>
      <c r="P18" s="12">
        <f t="shared" si="6"/>
        <v>130386.24829999999</v>
      </c>
      <c r="Q18" s="70">
        <f t="shared" si="7"/>
        <v>2.1174999999999999E-2</v>
      </c>
      <c r="R18" s="73">
        <f t="shared" si="8"/>
        <v>2.1174999999999999E-2</v>
      </c>
      <c r="S18" s="103">
        <f t="shared" si="2"/>
        <v>32596.562074999998</v>
      </c>
    </row>
    <row r="19" spans="1:19" x14ac:dyDescent="0.25">
      <c r="A19" s="17" t="s">
        <v>163</v>
      </c>
      <c r="B19" s="137" t="s">
        <v>164</v>
      </c>
      <c r="C19" s="84">
        <v>3664653</v>
      </c>
      <c r="D19" s="213">
        <v>0.60440000000000005</v>
      </c>
      <c r="E19" s="103">
        <f t="shared" si="3"/>
        <v>2214916.2732000002</v>
      </c>
      <c r="F19" s="174"/>
      <c r="G19" s="213">
        <v>0.60440000000000005</v>
      </c>
      <c r="H19" s="103">
        <f t="shared" si="9"/>
        <v>2214916.2732000002</v>
      </c>
      <c r="I19" s="44">
        <f t="shared" si="4"/>
        <v>1449736.7267999998</v>
      </c>
      <c r="J19" s="104">
        <f t="shared" si="0"/>
        <v>0</v>
      </c>
      <c r="K19" s="213">
        <v>0.45240000000000002</v>
      </c>
      <c r="L19" s="104">
        <f t="shared" si="1"/>
        <v>1657889.0172000001</v>
      </c>
      <c r="M19" s="214">
        <f>IF(VLOOKUP($B$2:$B$209,Netvolumenmål!$B$3:$AN$210,38,FALSE)&lt;Netvolumenmål!$AD$215,VLOOKUP($B$2:$B$209,Netvolumenmål!$B$3:$AN$210,38,FALSE)-Netvolumenmål!$AD$215,0)</f>
        <v>0</v>
      </c>
      <c r="N19" s="215">
        <f>VLOOKUP($B$2:$B$209,Netvolumenmål!$B$3:$AN$210,39,FALSE)*0.75</f>
        <v>0</v>
      </c>
      <c r="O19" s="216">
        <f t="shared" si="5"/>
        <v>0.45240000000000002</v>
      </c>
      <c r="P19" s="12">
        <f t="shared" si="6"/>
        <v>1657889.0172000001</v>
      </c>
      <c r="Q19" s="70">
        <f t="shared" si="7"/>
        <v>0.11310000000000001</v>
      </c>
      <c r="R19" s="73">
        <f t="shared" si="8"/>
        <v>0.05</v>
      </c>
      <c r="S19" s="103">
        <f t="shared" si="2"/>
        <v>183232.65000000002</v>
      </c>
    </row>
    <row r="20" spans="1:19" x14ac:dyDescent="0.25">
      <c r="A20" s="17" t="s">
        <v>165</v>
      </c>
      <c r="B20" s="137" t="s">
        <v>166</v>
      </c>
      <c r="C20" s="84">
        <v>3285606</v>
      </c>
      <c r="D20" s="213">
        <v>0.23960000000000001</v>
      </c>
      <c r="E20" s="103">
        <f t="shared" si="3"/>
        <v>787231.19760000007</v>
      </c>
      <c r="F20" s="84"/>
      <c r="G20" s="213">
        <v>0.23960000000000001</v>
      </c>
      <c r="H20" s="103">
        <f t="shared" si="9"/>
        <v>787231.19760000007</v>
      </c>
      <c r="I20" s="44">
        <f t="shared" si="4"/>
        <v>2498374.8023999999</v>
      </c>
      <c r="J20" s="104">
        <f t="shared" si="0"/>
        <v>0</v>
      </c>
      <c r="K20" s="213">
        <v>7.6999999999999999E-2</v>
      </c>
      <c r="L20" s="104">
        <f t="shared" si="1"/>
        <v>252991.66200000001</v>
      </c>
      <c r="M20" s="214">
        <f>IF(VLOOKUP($B$2:$B$209,Netvolumenmål!$B$3:$AN$210,38,FALSE)&lt;Netvolumenmål!$AD$215,VLOOKUP($B$2:$B$209,Netvolumenmål!$B$3:$AN$210,38,FALSE)-Netvolumenmål!$AD$215,0)</f>
        <v>0</v>
      </c>
      <c r="N20" s="215">
        <f>VLOOKUP($B$2:$B$209,Netvolumenmål!$B$3:$AN$210,39,FALSE)*0.75</f>
        <v>0</v>
      </c>
      <c r="O20" s="216">
        <f t="shared" si="5"/>
        <v>7.6999999999999999E-2</v>
      </c>
      <c r="P20" s="12">
        <f t="shared" si="6"/>
        <v>252991.66200000001</v>
      </c>
      <c r="Q20" s="70">
        <f t="shared" si="7"/>
        <v>1.925E-2</v>
      </c>
      <c r="R20" s="73">
        <f t="shared" si="8"/>
        <v>1.925E-2</v>
      </c>
      <c r="S20" s="103">
        <f t="shared" si="2"/>
        <v>63247.915500000003</v>
      </c>
    </row>
    <row r="21" spans="1:19" x14ac:dyDescent="0.25">
      <c r="A21" s="17" t="s">
        <v>167</v>
      </c>
      <c r="B21" s="137" t="s">
        <v>168</v>
      </c>
      <c r="C21" s="84">
        <v>6452401</v>
      </c>
      <c r="D21" s="213">
        <v>0.34889999999999999</v>
      </c>
      <c r="E21" s="103">
        <f t="shared" si="3"/>
        <v>2251242.7089</v>
      </c>
      <c r="F21" s="84"/>
      <c r="G21" s="213">
        <v>0.34889999999999999</v>
      </c>
      <c r="H21" s="103">
        <f t="shared" si="9"/>
        <v>2251242.7089</v>
      </c>
      <c r="I21" s="44">
        <f t="shared" si="4"/>
        <v>4201158.2911</v>
      </c>
      <c r="J21" s="104">
        <f t="shared" si="0"/>
        <v>0</v>
      </c>
      <c r="K21" s="213">
        <v>0.19259999999999999</v>
      </c>
      <c r="L21" s="104">
        <f t="shared" si="1"/>
        <v>1242732.4325999999</v>
      </c>
      <c r="M21" s="214">
        <f>IF(VLOOKUP($B$2:$B$209,Netvolumenmål!$B$3:$AN$210,38,FALSE)&lt;Netvolumenmål!$AD$215,VLOOKUP($B$2:$B$209,Netvolumenmål!$B$3:$AN$210,38,FALSE)-Netvolumenmål!$AD$215,0)</f>
        <v>0</v>
      </c>
      <c r="N21" s="215">
        <f>VLOOKUP($B$2:$B$209,Netvolumenmål!$B$3:$AN$210,39,FALSE)*0.75</f>
        <v>0</v>
      </c>
      <c r="O21" s="216">
        <f t="shared" si="5"/>
        <v>0.19259999999999999</v>
      </c>
      <c r="P21" s="12">
        <f t="shared" si="6"/>
        <v>1242732.4325999999</v>
      </c>
      <c r="Q21" s="70">
        <f t="shared" si="7"/>
        <v>4.8149999999999998E-2</v>
      </c>
      <c r="R21" s="73">
        <f t="shared" si="8"/>
        <v>4.8149999999999998E-2</v>
      </c>
      <c r="S21" s="103">
        <f t="shared" si="2"/>
        <v>310683.10814999999</v>
      </c>
    </row>
    <row r="22" spans="1:19" x14ac:dyDescent="0.25">
      <c r="A22" s="17" t="s">
        <v>169</v>
      </c>
      <c r="B22" s="137" t="s">
        <v>170</v>
      </c>
      <c r="C22" s="84">
        <v>2332840</v>
      </c>
      <c r="D22" s="213">
        <v>0.13980000000000001</v>
      </c>
      <c r="E22" s="103">
        <f t="shared" si="3"/>
        <v>326131.03200000001</v>
      </c>
      <c r="F22" s="84"/>
      <c r="G22" s="213">
        <v>0.13980000000000001</v>
      </c>
      <c r="H22" s="103">
        <f t="shared" si="9"/>
        <v>326131.03200000001</v>
      </c>
      <c r="I22" s="44">
        <f t="shared" si="4"/>
        <v>2006708.9679999999</v>
      </c>
      <c r="J22" s="104">
        <f t="shared" si="0"/>
        <v>0</v>
      </c>
      <c r="K22" s="213">
        <v>0</v>
      </c>
      <c r="L22" s="104">
        <f t="shared" si="1"/>
        <v>0</v>
      </c>
      <c r="M22" s="214">
        <f>IF(VLOOKUP($B$2:$B$209,Netvolumenmål!$B$3:$AN$210,38,FALSE)&lt;Netvolumenmål!$AD$215,VLOOKUP($B$2:$B$209,Netvolumenmål!$B$3:$AN$210,38,FALSE)-Netvolumenmål!$AD$215,0)</f>
        <v>0</v>
      </c>
      <c r="N22" s="215">
        <f>VLOOKUP($B$2:$B$209,Netvolumenmål!$B$3:$AN$210,39,FALSE)*0.75</f>
        <v>0</v>
      </c>
      <c r="O22" s="216">
        <f t="shared" si="5"/>
        <v>0</v>
      </c>
      <c r="P22" s="12">
        <f t="shared" si="6"/>
        <v>0</v>
      </c>
      <c r="Q22" s="70">
        <f t="shared" si="7"/>
        <v>0</v>
      </c>
      <c r="R22" s="73">
        <f t="shared" si="8"/>
        <v>0</v>
      </c>
      <c r="S22" s="103">
        <f t="shared" si="2"/>
        <v>0</v>
      </c>
    </row>
    <row r="23" spans="1:19" x14ac:dyDescent="0.25">
      <c r="A23" s="17" t="s">
        <v>171</v>
      </c>
      <c r="B23" s="137" t="s">
        <v>172</v>
      </c>
      <c r="C23" s="84">
        <v>864116</v>
      </c>
      <c r="D23" s="213">
        <v>0.1115</v>
      </c>
      <c r="E23" s="103">
        <f t="shared" si="3"/>
        <v>96348.934000000008</v>
      </c>
      <c r="F23" s="84"/>
      <c r="G23" s="213">
        <v>0.1115</v>
      </c>
      <c r="H23" s="103">
        <f t="shared" si="9"/>
        <v>96348.934000000008</v>
      </c>
      <c r="I23" s="44">
        <f t="shared" si="4"/>
        <v>767767.06599999999</v>
      </c>
      <c r="J23" s="104">
        <f t="shared" si="0"/>
        <v>0</v>
      </c>
      <c r="K23" s="213">
        <v>0</v>
      </c>
      <c r="L23" s="104">
        <f t="shared" si="1"/>
        <v>0</v>
      </c>
      <c r="M23" s="214">
        <f>IF(VLOOKUP($B$2:$B$209,Netvolumenmål!$B$3:$AN$210,38,FALSE)&lt;Netvolumenmål!$AD$215,VLOOKUP($B$2:$B$209,Netvolumenmål!$B$3:$AN$210,38,FALSE)-Netvolumenmål!$AD$215,0)</f>
        <v>0</v>
      </c>
      <c r="N23" s="215">
        <f>VLOOKUP($B$2:$B$209,Netvolumenmål!$B$3:$AN$210,39,FALSE)*0.75</f>
        <v>0</v>
      </c>
      <c r="O23" s="216">
        <f t="shared" si="5"/>
        <v>0</v>
      </c>
      <c r="P23" s="12">
        <f t="shared" si="6"/>
        <v>0</v>
      </c>
      <c r="Q23" s="70">
        <f t="shared" si="7"/>
        <v>0</v>
      </c>
      <c r="R23" s="73">
        <f t="shared" si="8"/>
        <v>0</v>
      </c>
      <c r="S23" s="103">
        <f t="shared" si="2"/>
        <v>0</v>
      </c>
    </row>
    <row r="24" spans="1:19" x14ac:dyDescent="0.25">
      <c r="A24" s="17" t="s">
        <v>173</v>
      </c>
      <c r="B24" s="137" t="s">
        <v>174</v>
      </c>
      <c r="C24" s="84">
        <v>1926317</v>
      </c>
      <c r="D24" s="213">
        <v>0.50090000000000001</v>
      </c>
      <c r="E24" s="103">
        <f t="shared" si="3"/>
        <v>964892.18530000001</v>
      </c>
      <c r="F24" s="84"/>
      <c r="G24" s="213">
        <v>0.50090000000000001</v>
      </c>
      <c r="H24" s="103">
        <f t="shared" si="9"/>
        <v>964892.18530000001</v>
      </c>
      <c r="I24" s="44">
        <f t="shared" si="4"/>
        <v>961424.81469999999</v>
      </c>
      <c r="J24" s="104">
        <f t="shared" si="0"/>
        <v>0</v>
      </c>
      <c r="K24" s="213">
        <v>0.34460000000000002</v>
      </c>
      <c r="L24" s="104">
        <f t="shared" si="1"/>
        <v>663808.8382</v>
      </c>
      <c r="M24" s="214">
        <f>IF(VLOOKUP($B$2:$B$209,Netvolumenmål!$B$3:$AN$210,38,FALSE)&lt;Netvolumenmål!$AD$215,VLOOKUP($B$2:$B$209,Netvolumenmål!$B$3:$AN$210,38,FALSE)-Netvolumenmål!$AD$215,0)</f>
        <v>0</v>
      </c>
      <c r="N24" s="215">
        <f>VLOOKUP($B$2:$B$209,Netvolumenmål!$B$3:$AN$210,39,FALSE)*0.75</f>
        <v>0</v>
      </c>
      <c r="O24" s="216">
        <f t="shared" si="5"/>
        <v>0.34460000000000002</v>
      </c>
      <c r="P24" s="12">
        <f t="shared" si="6"/>
        <v>663808.8382</v>
      </c>
      <c r="Q24" s="70">
        <f t="shared" si="7"/>
        <v>8.6150000000000004E-2</v>
      </c>
      <c r="R24" s="73">
        <f t="shared" si="8"/>
        <v>0.05</v>
      </c>
      <c r="S24" s="103">
        <f t="shared" si="2"/>
        <v>96315.85</v>
      </c>
    </row>
    <row r="25" spans="1:19" x14ac:dyDescent="0.25">
      <c r="A25" s="17" t="s">
        <v>175</v>
      </c>
      <c r="B25" s="137" t="s">
        <v>176</v>
      </c>
      <c r="C25" s="84">
        <v>715195</v>
      </c>
      <c r="D25" s="213">
        <v>5.1999999999999998E-2</v>
      </c>
      <c r="E25" s="103">
        <f t="shared" si="3"/>
        <v>37190.14</v>
      </c>
      <c r="F25" s="84"/>
      <c r="G25" s="213">
        <v>5.1999999999999998E-2</v>
      </c>
      <c r="H25" s="103">
        <f t="shared" si="9"/>
        <v>37190.14</v>
      </c>
      <c r="I25" s="44">
        <f t="shared" si="4"/>
        <v>678004.86</v>
      </c>
      <c r="J25" s="104">
        <f t="shared" si="0"/>
        <v>0</v>
      </c>
      <c r="K25" s="213">
        <v>0</v>
      </c>
      <c r="L25" s="104">
        <f t="shared" si="1"/>
        <v>0</v>
      </c>
      <c r="M25" s="214">
        <f>IF(VLOOKUP($B$2:$B$209,Netvolumenmål!$B$3:$AN$210,38,FALSE)&lt;Netvolumenmål!$AD$215,VLOOKUP($B$2:$B$209,Netvolumenmål!$B$3:$AN$210,38,FALSE)-Netvolumenmål!$AD$215,0)</f>
        <v>0</v>
      </c>
      <c r="N25" s="215">
        <f>VLOOKUP($B$2:$B$209,Netvolumenmål!$B$3:$AN$210,39,FALSE)*0.75</f>
        <v>0</v>
      </c>
      <c r="O25" s="216">
        <f t="shared" si="5"/>
        <v>0</v>
      </c>
      <c r="P25" s="12">
        <f t="shared" si="6"/>
        <v>0</v>
      </c>
      <c r="Q25" s="70">
        <f t="shared" si="7"/>
        <v>0</v>
      </c>
      <c r="R25" s="73">
        <f t="shared" si="8"/>
        <v>0</v>
      </c>
      <c r="S25" s="103">
        <f t="shared" si="2"/>
        <v>0</v>
      </c>
    </row>
    <row r="26" spans="1:19" x14ac:dyDescent="0.25">
      <c r="A26" s="17" t="s">
        <v>177</v>
      </c>
      <c r="B26" s="137" t="s">
        <v>178</v>
      </c>
      <c r="C26" s="84">
        <v>1236200</v>
      </c>
      <c r="D26" s="213">
        <v>8.9099999999999999E-2</v>
      </c>
      <c r="E26" s="103">
        <f t="shared" si="3"/>
        <v>110145.42</v>
      </c>
      <c r="F26" s="84"/>
      <c r="G26" s="213">
        <v>8.9099999999999999E-2</v>
      </c>
      <c r="H26" s="103">
        <f t="shared" si="9"/>
        <v>110145.42</v>
      </c>
      <c r="I26" s="44">
        <f t="shared" si="4"/>
        <v>1126054.58</v>
      </c>
      <c r="J26" s="104">
        <f t="shared" si="0"/>
        <v>0</v>
      </c>
      <c r="K26" s="213">
        <v>0</v>
      </c>
      <c r="L26" s="104">
        <f t="shared" si="1"/>
        <v>0</v>
      </c>
      <c r="M26" s="214">
        <f>IF(VLOOKUP($B$2:$B$209,Netvolumenmål!$B$3:$AN$210,38,FALSE)&lt;Netvolumenmål!$AD$215,VLOOKUP($B$2:$B$209,Netvolumenmål!$B$3:$AN$210,38,FALSE)-Netvolumenmål!$AD$215,0)</f>
        <v>0</v>
      </c>
      <c r="N26" s="215">
        <f>VLOOKUP($B$2:$B$209,Netvolumenmål!$B$3:$AN$210,39,FALSE)*0.75</f>
        <v>0</v>
      </c>
      <c r="O26" s="216">
        <f t="shared" si="5"/>
        <v>0</v>
      </c>
      <c r="P26" s="12">
        <f t="shared" si="6"/>
        <v>0</v>
      </c>
      <c r="Q26" s="70">
        <f t="shared" si="7"/>
        <v>0</v>
      </c>
      <c r="R26" s="73">
        <f t="shared" si="8"/>
        <v>0</v>
      </c>
      <c r="S26" s="103">
        <f t="shared" si="2"/>
        <v>0</v>
      </c>
    </row>
    <row r="27" spans="1:19" x14ac:dyDescent="0.25">
      <c r="A27" s="17" t="s">
        <v>21</v>
      </c>
      <c r="B27" s="137" t="s">
        <v>179</v>
      </c>
      <c r="C27" s="84">
        <v>9223833</v>
      </c>
      <c r="D27" s="213">
        <v>0.3488</v>
      </c>
      <c r="E27" s="103">
        <f t="shared" si="3"/>
        <v>3217272.9504</v>
      </c>
      <c r="F27" s="84"/>
      <c r="G27" s="213">
        <v>0.3488</v>
      </c>
      <c r="H27" s="103">
        <f t="shared" si="9"/>
        <v>3217272.9504</v>
      </c>
      <c r="I27" s="44">
        <f t="shared" si="4"/>
        <v>6006560.0495999996</v>
      </c>
      <c r="J27" s="104">
        <f t="shared" si="0"/>
        <v>0</v>
      </c>
      <c r="K27" s="213">
        <v>0.18970000000000001</v>
      </c>
      <c r="L27" s="104">
        <f t="shared" si="1"/>
        <v>1749761.1201000002</v>
      </c>
      <c r="M27" s="214">
        <f>IF(VLOOKUP($B$2:$B$209,Netvolumenmål!$B$3:$AN$210,38,FALSE)&lt;Netvolumenmål!$AD$215,VLOOKUP($B$2:$B$209,Netvolumenmål!$B$3:$AN$210,38,FALSE)-Netvolumenmål!$AD$215,0)</f>
        <v>0</v>
      </c>
      <c r="N27" s="215">
        <f>VLOOKUP($B$2:$B$209,Netvolumenmål!$B$3:$AN$210,39,FALSE)*0.75</f>
        <v>0</v>
      </c>
      <c r="O27" s="216">
        <f t="shared" si="5"/>
        <v>0.18970000000000001</v>
      </c>
      <c r="P27" s="12">
        <f t="shared" si="6"/>
        <v>1749761.1201000002</v>
      </c>
      <c r="Q27" s="70">
        <f t="shared" si="7"/>
        <v>4.7425000000000002E-2</v>
      </c>
      <c r="R27" s="73">
        <f t="shared" si="8"/>
        <v>4.7425000000000002E-2</v>
      </c>
      <c r="S27" s="103">
        <f t="shared" si="2"/>
        <v>437440.28002500004</v>
      </c>
    </row>
    <row r="28" spans="1:19" x14ac:dyDescent="0.25">
      <c r="A28" s="17" t="s">
        <v>180</v>
      </c>
      <c r="B28" s="137" t="s">
        <v>181</v>
      </c>
      <c r="C28" s="84">
        <v>1224657</v>
      </c>
      <c r="D28" s="213">
        <v>0.21440000000000001</v>
      </c>
      <c r="E28" s="103">
        <f t="shared" si="3"/>
        <v>262566.4608</v>
      </c>
      <c r="F28" s="84"/>
      <c r="G28" s="213">
        <v>0.21440000000000001</v>
      </c>
      <c r="H28" s="103">
        <f t="shared" si="9"/>
        <v>262566.4608</v>
      </c>
      <c r="I28" s="44">
        <f t="shared" si="4"/>
        <v>962090.5392</v>
      </c>
      <c r="J28" s="104">
        <f t="shared" si="0"/>
        <v>0</v>
      </c>
      <c r="K28" s="213">
        <v>5.1799999999999999E-2</v>
      </c>
      <c r="L28" s="104">
        <f t="shared" si="1"/>
        <v>63437.232599999996</v>
      </c>
      <c r="M28" s="214">
        <f>IF(VLOOKUP($B$2:$B$209,Netvolumenmål!$B$3:$AN$210,38,FALSE)&lt;Netvolumenmål!$AD$215,VLOOKUP($B$2:$B$209,Netvolumenmål!$B$3:$AN$210,38,FALSE)-Netvolumenmål!$AD$215,0)</f>
        <v>0</v>
      </c>
      <c r="N28" s="215">
        <f>VLOOKUP($B$2:$B$209,Netvolumenmål!$B$3:$AN$210,39,FALSE)*0.75</f>
        <v>0</v>
      </c>
      <c r="O28" s="216">
        <f t="shared" si="5"/>
        <v>5.1799999999999999E-2</v>
      </c>
      <c r="P28" s="12">
        <f t="shared" si="6"/>
        <v>63437.232599999996</v>
      </c>
      <c r="Q28" s="70">
        <f t="shared" si="7"/>
        <v>1.295E-2</v>
      </c>
      <c r="R28" s="73">
        <f t="shared" si="8"/>
        <v>1.295E-2</v>
      </c>
      <c r="S28" s="103">
        <f t="shared" si="2"/>
        <v>15859.308149999999</v>
      </c>
    </row>
    <row r="29" spans="1:19" x14ac:dyDescent="0.25">
      <c r="A29" s="17" t="s">
        <v>22</v>
      </c>
      <c r="B29" s="137" t="s">
        <v>182</v>
      </c>
      <c r="C29" s="84">
        <v>3156211</v>
      </c>
      <c r="D29" s="213">
        <v>0.27479999999999999</v>
      </c>
      <c r="E29" s="103">
        <f t="shared" si="3"/>
        <v>867326.78279999993</v>
      </c>
      <c r="F29" s="84"/>
      <c r="G29" s="213">
        <v>0.27479999999999999</v>
      </c>
      <c r="H29" s="103">
        <f t="shared" si="9"/>
        <v>867326.78279999993</v>
      </c>
      <c r="I29" s="44">
        <f t="shared" si="4"/>
        <v>2288884.2171999998</v>
      </c>
      <c r="J29" s="104">
        <f t="shared" si="0"/>
        <v>0</v>
      </c>
      <c r="K29" s="213">
        <v>0.12280000000000001</v>
      </c>
      <c r="L29" s="104">
        <f t="shared" si="1"/>
        <v>387582.7108</v>
      </c>
      <c r="M29" s="214">
        <f>IF(VLOOKUP($B$2:$B$209,Netvolumenmål!$B$3:$AN$210,38,FALSE)&lt;Netvolumenmål!$AD$215,VLOOKUP($B$2:$B$209,Netvolumenmål!$B$3:$AN$210,38,FALSE)-Netvolumenmål!$AD$215,0)</f>
        <v>0</v>
      </c>
      <c r="N29" s="215">
        <f>VLOOKUP($B$2:$B$209,Netvolumenmål!$B$3:$AN$210,39,FALSE)*0.75</f>
        <v>0</v>
      </c>
      <c r="O29" s="216">
        <f t="shared" si="5"/>
        <v>0.12280000000000001</v>
      </c>
      <c r="P29" s="12">
        <f t="shared" si="6"/>
        <v>387582.7108</v>
      </c>
      <c r="Q29" s="70">
        <f t="shared" si="7"/>
        <v>3.0700000000000002E-2</v>
      </c>
      <c r="R29" s="73">
        <f t="shared" si="8"/>
        <v>3.0700000000000002E-2</v>
      </c>
      <c r="S29" s="103">
        <f t="shared" si="2"/>
        <v>96895.6777</v>
      </c>
    </row>
    <row r="30" spans="1:19" x14ac:dyDescent="0.25">
      <c r="A30" s="17" t="s">
        <v>183</v>
      </c>
      <c r="B30" s="137" t="s">
        <v>184</v>
      </c>
      <c r="C30" s="84">
        <v>320364</v>
      </c>
      <c r="D30" s="213">
        <v>0</v>
      </c>
      <c r="E30" s="103">
        <f t="shared" si="3"/>
        <v>0</v>
      </c>
      <c r="F30" s="84"/>
      <c r="G30" s="213">
        <v>0</v>
      </c>
      <c r="H30" s="103">
        <f t="shared" si="9"/>
        <v>0</v>
      </c>
      <c r="I30" s="44">
        <f>2.0189*C30</f>
        <v>646782.87959999999</v>
      </c>
      <c r="J30" s="104">
        <f>IF(I30&gt;C30*1.0008,I30-C30*1.0008,0)</f>
        <v>326162.58840000001</v>
      </c>
      <c r="K30" s="213">
        <v>0</v>
      </c>
      <c r="L30" s="104">
        <f t="shared" si="1"/>
        <v>0</v>
      </c>
      <c r="M30" s="214">
        <f>IF(VLOOKUP($B$2:$B$209,Netvolumenmål!$B$3:$AN$210,38,FALSE)&lt;Netvolumenmål!$AD$215,VLOOKUP($B$2:$B$209,Netvolumenmål!$B$3:$AN$210,38,FALSE)-Netvolumenmål!$AD$215,0)</f>
        <v>0</v>
      </c>
      <c r="N30" s="215">
        <f>VLOOKUP($B$2:$B$209,Netvolumenmål!$B$3:$AN$210,39,FALSE)*0.75</f>
        <v>0</v>
      </c>
      <c r="O30" s="216">
        <f>IF(K30=0,0,IF(K30&lt;-N30,0,K30+N30))</f>
        <v>0</v>
      </c>
      <c r="P30" s="12">
        <f t="shared" si="6"/>
        <v>0</v>
      </c>
      <c r="Q30" s="70">
        <f t="shared" si="7"/>
        <v>0</v>
      </c>
      <c r="R30" s="73">
        <f t="shared" si="8"/>
        <v>0</v>
      </c>
      <c r="S30" s="103">
        <f t="shared" si="2"/>
        <v>0</v>
      </c>
    </row>
    <row r="31" spans="1:19" x14ac:dyDescent="0.25">
      <c r="A31" s="17" t="s">
        <v>185</v>
      </c>
      <c r="B31" s="137" t="s">
        <v>186</v>
      </c>
      <c r="C31" s="84">
        <v>526979</v>
      </c>
      <c r="D31" s="213">
        <v>0</v>
      </c>
      <c r="E31" s="103">
        <f t="shared" si="3"/>
        <v>0</v>
      </c>
      <c r="F31" s="84"/>
      <c r="G31" s="213">
        <v>0</v>
      </c>
      <c r="H31" s="103">
        <f t="shared" si="9"/>
        <v>0</v>
      </c>
      <c r="I31" s="44">
        <f>1.17996*C31</f>
        <v>621814.14083999989</v>
      </c>
      <c r="J31" s="104">
        <f t="shared" si="0"/>
        <v>94413.557639999897</v>
      </c>
      <c r="K31" s="213">
        <v>0</v>
      </c>
      <c r="L31" s="104">
        <f t="shared" si="1"/>
        <v>0</v>
      </c>
      <c r="M31" s="214">
        <f>IF(VLOOKUP($B$2:$B$209,Netvolumenmål!$B$3:$AN$210,38,FALSE)&lt;Netvolumenmål!$AD$215,VLOOKUP($B$2:$B$209,Netvolumenmål!$B$3:$AN$210,38,FALSE)-Netvolumenmål!$AD$215,0)</f>
        <v>0</v>
      </c>
      <c r="N31" s="215">
        <f>VLOOKUP($B$2:$B$209,Netvolumenmål!$B$3:$AN$210,39,FALSE)*0.75</f>
        <v>0</v>
      </c>
      <c r="O31" s="216">
        <f t="shared" si="5"/>
        <v>0</v>
      </c>
      <c r="P31" s="12">
        <f t="shared" si="6"/>
        <v>0</v>
      </c>
      <c r="Q31" s="70">
        <f t="shared" si="7"/>
        <v>0</v>
      </c>
      <c r="R31" s="73">
        <f t="shared" si="8"/>
        <v>0</v>
      </c>
      <c r="S31" s="103">
        <f t="shared" si="2"/>
        <v>0</v>
      </c>
    </row>
    <row r="32" spans="1:19" x14ac:dyDescent="0.25">
      <c r="A32" s="17" t="s">
        <v>187</v>
      </c>
      <c r="B32" s="137" t="s">
        <v>188</v>
      </c>
      <c r="C32" s="84">
        <v>1425873</v>
      </c>
      <c r="D32" s="213">
        <v>0.25459999999999999</v>
      </c>
      <c r="E32" s="103">
        <f t="shared" si="3"/>
        <v>363027.26579999999</v>
      </c>
      <c r="F32" s="84"/>
      <c r="G32" s="213">
        <v>0.25459999999999999</v>
      </c>
      <c r="H32" s="103">
        <f t="shared" ref="H32:H61" si="11">G32*C32</f>
        <v>363027.26579999999</v>
      </c>
      <c r="I32" s="44">
        <f t="shared" si="4"/>
        <v>1062845.7342000001</v>
      </c>
      <c r="J32" s="104">
        <f t="shared" si="0"/>
        <v>0</v>
      </c>
      <c r="K32" s="213">
        <v>9.8299999999999998E-2</v>
      </c>
      <c r="L32" s="104">
        <f t="shared" ref="L32:L61" si="12">K32*C32</f>
        <v>140163.31589999999</v>
      </c>
      <c r="M32" s="214">
        <f>IF(VLOOKUP($B$2:$B$209,Netvolumenmål!$B$3:$AN$210,38,FALSE)&lt;Netvolumenmål!$AD$215,VLOOKUP($B$2:$B$209,Netvolumenmål!$B$3:$AN$210,38,FALSE)-Netvolumenmål!$AD$215,0)</f>
        <v>0</v>
      </c>
      <c r="N32" s="215">
        <f>VLOOKUP($B$2:$B$209,Netvolumenmål!$B$3:$AN$210,39,FALSE)*0.75</f>
        <v>0</v>
      </c>
      <c r="O32" s="216">
        <f t="shared" si="5"/>
        <v>9.8299999999999998E-2</v>
      </c>
      <c r="P32" s="12">
        <f t="shared" si="6"/>
        <v>140163.31589999999</v>
      </c>
      <c r="Q32" s="70">
        <f t="shared" ref="Q32:Q61" si="13">O32/4</f>
        <v>2.4575E-2</v>
      </c>
      <c r="R32" s="73">
        <f t="shared" si="8"/>
        <v>2.4575E-2</v>
      </c>
      <c r="S32" s="103">
        <f t="shared" ref="S32:S61" si="14">R32*C32</f>
        <v>35040.828974999997</v>
      </c>
    </row>
    <row r="33" spans="1:19" x14ac:dyDescent="0.25">
      <c r="A33" s="17" t="s">
        <v>189</v>
      </c>
      <c r="B33" s="137" t="s">
        <v>190</v>
      </c>
      <c r="C33" s="84">
        <v>6052046</v>
      </c>
      <c r="D33" s="213">
        <v>0.46550000000000002</v>
      </c>
      <c r="E33" s="103">
        <f t="shared" si="3"/>
        <v>2817227.4130000002</v>
      </c>
      <c r="F33" s="84"/>
      <c r="G33" s="213">
        <v>0.46550000000000002</v>
      </c>
      <c r="H33" s="103">
        <f t="shared" si="11"/>
        <v>2817227.4130000002</v>
      </c>
      <c r="I33" s="44">
        <f t="shared" si="4"/>
        <v>3234818.5869999998</v>
      </c>
      <c r="J33" s="104">
        <f t="shared" si="0"/>
        <v>0</v>
      </c>
      <c r="K33" s="213">
        <v>0.30280000000000001</v>
      </c>
      <c r="L33" s="104">
        <f t="shared" si="12"/>
        <v>1832559.5288</v>
      </c>
      <c r="M33" s="214">
        <f>IF(VLOOKUP($B$2:$B$209,Netvolumenmål!$B$3:$AN$210,38,FALSE)&lt;Netvolumenmål!$AD$215,VLOOKUP($B$2:$B$209,Netvolumenmål!$B$3:$AN$210,38,FALSE)-Netvolumenmål!$AD$215,0)</f>
        <v>0</v>
      </c>
      <c r="N33" s="215">
        <f>VLOOKUP($B$2:$B$209,Netvolumenmål!$B$3:$AN$210,39,FALSE)*0.75</f>
        <v>0</v>
      </c>
      <c r="O33" s="216">
        <f t="shared" si="5"/>
        <v>0.30280000000000001</v>
      </c>
      <c r="P33" s="12">
        <f t="shared" si="6"/>
        <v>1832559.5288</v>
      </c>
      <c r="Q33" s="70">
        <f t="shared" si="13"/>
        <v>7.5700000000000003E-2</v>
      </c>
      <c r="R33" s="73">
        <f t="shared" si="8"/>
        <v>0.05</v>
      </c>
      <c r="S33" s="103">
        <f t="shared" si="14"/>
        <v>302602.3</v>
      </c>
    </row>
    <row r="34" spans="1:19" x14ac:dyDescent="0.25">
      <c r="A34" s="17" t="s">
        <v>191</v>
      </c>
      <c r="B34" s="137" t="s">
        <v>192</v>
      </c>
      <c r="C34" s="84">
        <v>1494340</v>
      </c>
      <c r="D34" s="213">
        <v>3.8800000000000001E-2</v>
      </c>
      <c r="E34" s="103">
        <f t="shared" si="3"/>
        <v>57980.392</v>
      </c>
      <c r="F34" s="84"/>
      <c r="G34" s="213">
        <v>3.8800000000000001E-2</v>
      </c>
      <c r="H34" s="103">
        <f t="shared" si="11"/>
        <v>57980.392</v>
      </c>
      <c r="I34" s="44">
        <f t="shared" si="4"/>
        <v>1436359.608</v>
      </c>
      <c r="J34" s="104">
        <f t="shared" si="0"/>
        <v>0</v>
      </c>
      <c r="K34" s="213">
        <v>0</v>
      </c>
      <c r="L34" s="104">
        <f t="shared" si="12"/>
        <v>0</v>
      </c>
      <c r="M34" s="214">
        <f>IF(VLOOKUP($B$2:$B$209,Netvolumenmål!$B$3:$AN$210,38,FALSE)&lt;Netvolumenmål!$AD$215,VLOOKUP($B$2:$B$209,Netvolumenmål!$B$3:$AN$210,38,FALSE)-Netvolumenmål!$AD$215,0)</f>
        <v>0</v>
      </c>
      <c r="N34" s="215">
        <f>VLOOKUP($B$2:$B$209,Netvolumenmål!$B$3:$AN$210,39,FALSE)*0.75</f>
        <v>0</v>
      </c>
      <c r="O34" s="216">
        <f t="shared" si="5"/>
        <v>0</v>
      </c>
      <c r="P34" s="12">
        <f t="shared" si="6"/>
        <v>0</v>
      </c>
      <c r="Q34" s="70">
        <f t="shared" si="13"/>
        <v>0</v>
      </c>
      <c r="R34" s="73">
        <f t="shared" si="8"/>
        <v>0</v>
      </c>
      <c r="S34" s="103">
        <f t="shared" si="14"/>
        <v>0</v>
      </c>
    </row>
    <row r="35" spans="1:19" x14ac:dyDescent="0.25">
      <c r="A35" s="17" t="s">
        <v>193</v>
      </c>
      <c r="B35" s="137" t="s">
        <v>194</v>
      </c>
      <c r="C35" s="84">
        <v>2379711</v>
      </c>
      <c r="D35" s="213">
        <v>0.60029999999999994</v>
      </c>
      <c r="E35" s="103">
        <f t="shared" si="3"/>
        <v>1428540.5132999998</v>
      </c>
      <c r="F35" s="84"/>
      <c r="G35" s="213">
        <v>0.60029999999999994</v>
      </c>
      <c r="H35" s="103">
        <f t="shared" si="11"/>
        <v>1428540.5132999998</v>
      </c>
      <c r="I35" s="44">
        <f t="shared" si="4"/>
        <v>951170.48670000024</v>
      </c>
      <c r="J35" s="104">
        <f t="shared" si="0"/>
        <v>0</v>
      </c>
      <c r="K35" s="213">
        <v>0.44850000000000001</v>
      </c>
      <c r="L35" s="104">
        <f t="shared" si="12"/>
        <v>1067300.3835</v>
      </c>
      <c r="M35" s="214">
        <f>IF(VLOOKUP($B$2:$B$209,Netvolumenmål!$B$3:$AN$210,38,FALSE)&lt;Netvolumenmål!$AD$215,VLOOKUP($B$2:$B$209,Netvolumenmål!$B$3:$AN$210,38,FALSE)-Netvolumenmål!$AD$215,0)</f>
        <v>0</v>
      </c>
      <c r="N35" s="215">
        <f>VLOOKUP($B$2:$B$209,Netvolumenmål!$B$3:$AN$210,39,FALSE)*0.75</f>
        <v>0</v>
      </c>
      <c r="O35" s="216">
        <f t="shared" si="5"/>
        <v>0.44850000000000001</v>
      </c>
      <c r="P35" s="12">
        <f t="shared" si="6"/>
        <v>1067300.3835</v>
      </c>
      <c r="Q35" s="70">
        <f t="shared" si="13"/>
        <v>0.112125</v>
      </c>
      <c r="R35" s="73">
        <f t="shared" si="8"/>
        <v>0.05</v>
      </c>
      <c r="S35" s="103">
        <f t="shared" si="14"/>
        <v>118985.55</v>
      </c>
    </row>
    <row r="36" spans="1:19" x14ac:dyDescent="0.25">
      <c r="A36" s="17" t="s">
        <v>23</v>
      </c>
      <c r="B36" s="137" t="s">
        <v>195</v>
      </c>
      <c r="C36" s="84">
        <v>1273617</v>
      </c>
      <c r="D36" s="213">
        <v>0.36720000000000003</v>
      </c>
      <c r="E36" s="103">
        <f t="shared" si="3"/>
        <v>467672.16240000003</v>
      </c>
      <c r="F36" s="84"/>
      <c r="G36" s="213">
        <v>0.36720000000000003</v>
      </c>
      <c r="H36" s="103">
        <f t="shared" si="11"/>
        <v>467672.16240000003</v>
      </c>
      <c r="I36" s="44">
        <f t="shared" si="4"/>
        <v>805944.83759999997</v>
      </c>
      <c r="J36" s="104">
        <f t="shared" si="0"/>
        <v>0</v>
      </c>
      <c r="K36" s="213">
        <v>0.20599999999999999</v>
      </c>
      <c r="L36" s="104">
        <f t="shared" si="12"/>
        <v>262365.10200000001</v>
      </c>
      <c r="M36" s="214">
        <f>IF(VLOOKUP($B$2:$B$209,Netvolumenmål!$B$3:$AN$210,38,FALSE)&lt;Netvolumenmål!$AD$215,VLOOKUP($B$2:$B$209,Netvolumenmål!$B$3:$AN$210,38,FALSE)-Netvolumenmål!$AD$215,0)</f>
        <v>0</v>
      </c>
      <c r="N36" s="215">
        <f>VLOOKUP($B$2:$B$209,Netvolumenmål!$B$3:$AN$210,39,FALSE)*0.75</f>
        <v>0</v>
      </c>
      <c r="O36" s="216">
        <f t="shared" si="5"/>
        <v>0.20599999999999999</v>
      </c>
      <c r="P36" s="12">
        <f t="shared" si="6"/>
        <v>262365.10200000001</v>
      </c>
      <c r="Q36" s="70">
        <f t="shared" si="13"/>
        <v>5.1499999999999997E-2</v>
      </c>
      <c r="R36" s="73">
        <f t="shared" si="8"/>
        <v>0.05</v>
      </c>
      <c r="S36" s="103">
        <f t="shared" si="14"/>
        <v>63680.850000000006</v>
      </c>
    </row>
    <row r="37" spans="1:19" x14ac:dyDescent="0.25">
      <c r="A37" s="17" t="s">
        <v>196</v>
      </c>
      <c r="B37" s="137" t="s">
        <v>197</v>
      </c>
      <c r="C37" s="84">
        <v>1271255</v>
      </c>
      <c r="D37" s="213">
        <v>0</v>
      </c>
      <c r="E37" s="103">
        <f t="shared" si="3"/>
        <v>0</v>
      </c>
      <c r="F37" s="84">
        <v>0</v>
      </c>
      <c r="G37" s="213">
        <v>0</v>
      </c>
      <c r="H37" s="103">
        <f t="shared" si="11"/>
        <v>0</v>
      </c>
      <c r="I37" s="44">
        <f>1.0279*C37</f>
        <v>1306723.0145</v>
      </c>
      <c r="J37" s="104">
        <f>IF(I37&gt;C37*1.0008,I37-C37*1.0008,0)</f>
        <v>34451.010500000091</v>
      </c>
      <c r="K37" s="213">
        <v>0</v>
      </c>
      <c r="L37" s="104">
        <f t="shared" si="12"/>
        <v>0</v>
      </c>
      <c r="M37" s="214">
        <f>IF(VLOOKUP($B$2:$B$209,Netvolumenmål!$B$3:$AN$210,38,FALSE)&lt;Netvolumenmål!$AD$215,VLOOKUP($B$2:$B$209,Netvolumenmål!$B$3:$AN$210,38,FALSE)-Netvolumenmål!$AD$215,0)</f>
        <v>0</v>
      </c>
      <c r="N37" s="215">
        <f>VLOOKUP($B$2:$B$209,Netvolumenmål!$B$3:$AN$210,39,FALSE)*0.75</f>
        <v>0</v>
      </c>
      <c r="O37" s="216">
        <f t="shared" si="5"/>
        <v>0</v>
      </c>
      <c r="P37" s="12">
        <f t="shared" si="6"/>
        <v>0</v>
      </c>
      <c r="Q37" s="70">
        <f t="shared" si="13"/>
        <v>0</v>
      </c>
      <c r="R37" s="73">
        <f t="shared" si="8"/>
        <v>0</v>
      </c>
      <c r="S37" s="103">
        <f t="shared" si="14"/>
        <v>0</v>
      </c>
    </row>
    <row r="38" spans="1:19" x14ac:dyDescent="0.25">
      <c r="A38" s="17" t="s">
        <v>198</v>
      </c>
      <c r="B38" s="137" t="s">
        <v>199</v>
      </c>
      <c r="C38" s="84">
        <v>1518655</v>
      </c>
      <c r="D38" s="213">
        <v>0.1469</v>
      </c>
      <c r="E38" s="103">
        <f t="shared" si="3"/>
        <v>223090.41950000002</v>
      </c>
      <c r="F38" s="84"/>
      <c r="G38" s="213">
        <v>0.1469</v>
      </c>
      <c r="H38" s="103">
        <f t="shared" si="11"/>
        <v>223090.41950000002</v>
      </c>
      <c r="I38" s="44">
        <f t="shared" si="4"/>
        <v>1295564.5804999999</v>
      </c>
      <c r="J38" s="104">
        <f t="shared" ref="J38:J98" si="15">IF(I38&gt;C38*1.0008,I38-C38*1.0008,0)</f>
        <v>0</v>
      </c>
      <c r="K38" s="213">
        <v>0</v>
      </c>
      <c r="L38" s="104">
        <f t="shared" si="12"/>
        <v>0</v>
      </c>
      <c r="M38" s="214">
        <f>IF(VLOOKUP($B$2:$B$209,Netvolumenmål!$B$3:$AN$210,38,FALSE)&lt;Netvolumenmål!$AD$215,VLOOKUP($B$2:$B$209,Netvolumenmål!$B$3:$AN$210,38,FALSE)-Netvolumenmål!$AD$215,0)</f>
        <v>0</v>
      </c>
      <c r="N38" s="215">
        <f>VLOOKUP($B$2:$B$209,Netvolumenmål!$B$3:$AN$210,39,FALSE)*0.75</f>
        <v>0</v>
      </c>
      <c r="O38" s="216">
        <f t="shared" si="5"/>
        <v>0</v>
      </c>
      <c r="P38" s="12">
        <f t="shared" si="6"/>
        <v>0</v>
      </c>
      <c r="Q38" s="70">
        <f t="shared" si="13"/>
        <v>0</v>
      </c>
      <c r="R38" s="73">
        <f t="shared" si="8"/>
        <v>0</v>
      </c>
      <c r="S38" s="103">
        <f t="shared" si="14"/>
        <v>0</v>
      </c>
    </row>
    <row r="39" spans="1:19" x14ac:dyDescent="0.25">
      <c r="A39" s="17" t="s">
        <v>200</v>
      </c>
      <c r="B39" s="137" t="s">
        <v>201</v>
      </c>
      <c r="C39" s="84">
        <v>4011516</v>
      </c>
      <c r="D39" s="213">
        <v>0.1106</v>
      </c>
      <c r="E39" s="103">
        <f t="shared" si="3"/>
        <v>443673.66960000002</v>
      </c>
      <c r="F39" s="84">
        <v>25341</v>
      </c>
      <c r="G39" s="213">
        <v>0.10589999999999999</v>
      </c>
      <c r="H39" s="103">
        <f t="shared" si="11"/>
        <v>424819.54439999996</v>
      </c>
      <c r="I39" s="44">
        <f t="shared" si="4"/>
        <v>3586696.4556</v>
      </c>
      <c r="J39" s="104">
        <f t="shared" si="15"/>
        <v>0</v>
      </c>
      <c r="K39" s="213">
        <v>0</v>
      </c>
      <c r="L39" s="104">
        <f t="shared" si="12"/>
        <v>0</v>
      </c>
      <c r="M39" s="214">
        <f>IF(VLOOKUP($B$2:$B$209,Netvolumenmål!$B$3:$AN$210,38,FALSE)&lt;Netvolumenmål!$AD$215,VLOOKUP($B$2:$B$209,Netvolumenmål!$B$3:$AN$210,38,FALSE)-Netvolumenmål!$AD$215,0)</f>
        <v>0</v>
      </c>
      <c r="N39" s="215">
        <f>VLOOKUP($B$2:$B$209,Netvolumenmål!$B$3:$AN$210,39,FALSE)*0.75</f>
        <v>0</v>
      </c>
      <c r="O39" s="216">
        <f t="shared" ref="O39:O41" si="16">IF(K39=0,0,IF(K39&lt;-N39,0,K39+N39))</f>
        <v>0</v>
      </c>
      <c r="P39" s="12">
        <f t="shared" si="6"/>
        <v>0</v>
      </c>
      <c r="Q39" s="70">
        <f t="shared" si="13"/>
        <v>0</v>
      </c>
      <c r="R39" s="73">
        <f t="shared" si="8"/>
        <v>0</v>
      </c>
      <c r="S39" s="103">
        <f t="shared" si="14"/>
        <v>0</v>
      </c>
    </row>
    <row r="40" spans="1:19" x14ac:dyDescent="0.25">
      <c r="A40" s="17" t="s">
        <v>202</v>
      </c>
      <c r="B40" s="137" t="s">
        <v>203</v>
      </c>
      <c r="C40" s="84">
        <v>1685378</v>
      </c>
      <c r="D40" s="213">
        <v>0.43280000000000002</v>
      </c>
      <c r="E40" s="103">
        <f t="shared" si="3"/>
        <v>729431.59840000002</v>
      </c>
      <c r="F40" s="84">
        <v>14640</v>
      </c>
      <c r="G40" s="213">
        <v>0.42620000000000002</v>
      </c>
      <c r="H40" s="103">
        <f t="shared" si="11"/>
        <v>718308.10360000003</v>
      </c>
      <c r="I40" s="44">
        <f t="shared" si="4"/>
        <v>967069.89639999997</v>
      </c>
      <c r="J40" s="104">
        <f t="shared" si="15"/>
        <v>0</v>
      </c>
      <c r="K40" s="213">
        <v>0.2722</v>
      </c>
      <c r="L40" s="104">
        <f t="shared" si="12"/>
        <v>458759.89159999997</v>
      </c>
      <c r="M40" s="214">
        <f>IF(VLOOKUP($B$2:$B$209,Netvolumenmål!$B$3:$AN$210,38,FALSE)&lt;Netvolumenmål!$AD$215,VLOOKUP($B$2:$B$209,Netvolumenmål!$B$3:$AN$210,38,FALSE)-Netvolumenmål!$AD$215,0)</f>
        <v>0</v>
      </c>
      <c r="N40" s="215">
        <f>VLOOKUP($B$2:$B$209,Netvolumenmål!$B$3:$AN$210,39,FALSE)*0.75</f>
        <v>0</v>
      </c>
      <c r="O40" s="216">
        <f t="shared" si="16"/>
        <v>0.2722</v>
      </c>
      <c r="P40" s="12">
        <f t="shared" si="6"/>
        <v>458759.89159999997</v>
      </c>
      <c r="Q40" s="70">
        <f t="shared" si="13"/>
        <v>6.8049999999999999E-2</v>
      </c>
      <c r="R40" s="73">
        <f t="shared" si="8"/>
        <v>0.05</v>
      </c>
      <c r="S40" s="103">
        <f t="shared" si="14"/>
        <v>84268.900000000009</v>
      </c>
    </row>
    <row r="41" spans="1:19" x14ac:dyDescent="0.25">
      <c r="A41" s="17" t="s">
        <v>204</v>
      </c>
      <c r="B41" s="137" t="s">
        <v>205</v>
      </c>
      <c r="C41" s="84">
        <v>15860522</v>
      </c>
      <c r="D41" s="213">
        <v>0.2545</v>
      </c>
      <c r="E41" s="103">
        <f t="shared" si="3"/>
        <v>4036502.8489999999</v>
      </c>
      <c r="F41" s="84">
        <v>403409</v>
      </c>
      <c r="G41" s="213">
        <v>0.23730000000000001</v>
      </c>
      <c r="H41" s="103">
        <f t="shared" si="11"/>
        <v>3763701.8706</v>
      </c>
      <c r="I41" s="44">
        <f t="shared" si="4"/>
        <v>12096820.1294</v>
      </c>
      <c r="J41" s="104">
        <f t="shared" si="15"/>
        <v>0</v>
      </c>
      <c r="K41" s="213">
        <v>7.6100000000000001E-2</v>
      </c>
      <c r="L41" s="104">
        <f t="shared" si="12"/>
        <v>1206985.7242000001</v>
      </c>
      <c r="M41" s="214">
        <f>IF(VLOOKUP($B$2:$B$209,Netvolumenmål!$B$3:$AN$210,38,FALSE)&lt;Netvolumenmål!$AD$215,VLOOKUP($B$2:$B$209,Netvolumenmål!$B$3:$AN$210,38,FALSE)-Netvolumenmål!$AD$215,0)</f>
        <v>0</v>
      </c>
      <c r="N41" s="215">
        <f>VLOOKUP($B$2:$B$209,Netvolumenmål!$B$3:$AN$210,39,FALSE)*0.75</f>
        <v>0</v>
      </c>
      <c r="O41" s="216">
        <f t="shared" si="16"/>
        <v>7.6100000000000001E-2</v>
      </c>
      <c r="P41" s="12">
        <f t="shared" si="6"/>
        <v>1206985.7242000001</v>
      </c>
      <c r="Q41" s="70">
        <f t="shared" si="13"/>
        <v>1.9025E-2</v>
      </c>
      <c r="R41" s="73">
        <f t="shared" si="8"/>
        <v>1.9025E-2</v>
      </c>
      <c r="S41" s="103">
        <f t="shared" si="14"/>
        <v>301746.43105000001</v>
      </c>
    </row>
    <row r="42" spans="1:19" x14ac:dyDescent="0.25">
      <c r="A42" s="17" t="s">
        <v>24</v>
      </c>
      <c r="B42" s="137" t="s">
        <v>206</v>
      </c>
      <c r="C42" s="84">
        <v>32841084</v>
      </c>
      <c r="D42" s="213">
        <v>0.26800000000000002</v>
      </c>
      <c r="E42" s="103">
        <f t="shared" si="3"/>
        <v>8801410.5120000001</v>
      </c>
      <c r="F42" s="84">
        <v>414480</v>
      </c>
      <c r="G42" s="213">
        <v>0.25900000000000001</v>
      </c>
      <c r="H42" s="103">
        <f t="shared" si="11"/>
        <v>8505840.756000001</v>
      </c>
      <c r="I42" s="44">
        <f t="shared" si="4"/>
        <v>24335243.243999999</v>
      </c>
      <c r="J42" s="104">
        <f t="shared" si="15"/>
        <v>0</v>
      </c>
      <c r="K42" s="213">
        <v>0.105</v>
      </c>
      <c r="L42" s="104">
        <f t="shared" si="12"/>
        <v>3448313.82</v>
      </c>
      <c r="M42" s="214">
        <f>IF(VLOOKUP($B$2:$B$209,Netvolumenmål!$B$3:$AN$210,38,FALSE)&lt;Netvolumenmål!$AD$215,VLOOKUP($B$2:$B$209,Netvolumenmål!$B$3:$AN$210,38,FALSE)-Netvolumenmål!$AD$215,0)</f>
        <v>0</v>
      </c>
      <c r="N42" s="215">
        <f>VLOOKUP($B$2:$B$209,Netvolumenmål!$B$3:$AN$210,39,FALSE)*0.75</f>
        <v>0</v>
      </c>
      <c r="O42" s="216">
        <f t="shared" si="5"/>
        <v>0.105</v>
      </c>
      <c r="P42" s="12">
        <f t="shared" si="6"/>
        <v>3448313.82</v>
      </c>
      <c r="Q42" s="70">
        <f t="shared" si="13"/>
        <v>2.6249999999999999E-2</v>
      </c>
      <c r="R42" s="73">
        <f t="shared" si="8"/>
        <v>2.6249999999999999E-2</v>
      </c>
      <c r="S42" s="103">
        <f t="shared" si="14"/>
        <v>862078.45499999996</v>
      </c>
    </row>
    <row r="43" spans="1:19" x14ac:dyDescent="0.25">
      <c r="A43" s="100" t="s">
        <v>207</v>
      </c>
      <c r="B43" s="137" t="s">
        <v>208</v>
      </c>
      <c r="C43" s="84">
        <v>883191</v>
      </c>
      <c r="D43" s="213">
        <v>0</v>
      </c>
      <c r="E43" s="103">
        <f t="shared" si="3"/>
        <v>0</v>
      </c>
      <c r="F43" s="84"/>
      <c r="G43" s="213">
        <v>0</v>
      </c>
      <c r="H43" s="103">
        <f t="shared" si="11"/>
        <v>0</v>
      </c>
      <c r="I43" s="44">
        <f>1.0039*C43</f>
        <v>886635.4449</v>
      </c>
      <c r="J43" s="104">
        <f>IF(I43&gt;C43*1.0008,I43-C43*1.0008,0)</f>
        <v>2737.8921000000555</v>
      </c>
      <c r="K43" s="213">
        <v>0</v>
      </c>
      <c r="L43" s="104">
        <f t="shared" si="12"/>
        <v>0</v>
      </c>
      <c r="M43" s="214">
        <f>IF(VLOOKUP($B$2:$B$209,Netvolumenmål!$B$3:$AN$210,38,FALSE)&lt;Netvolumenmål!$AD$215,VLOOKUP($B$2:$B$209,Netvolumenmål!$B$3:$AN$210,38,FALSE)-Netvolumenmål!$AD$215,0)</f>
        <v>0</v>
      </c>
      <c r="N43" s="215">
        <f>VLOOKUP($B$2:$B$209,Netvolumenmål!$B$3:$AN$210,39,FALSE)*0.75</f>
        <v>0</v>
      </c>
      <c r="O43" s="216">
        <f t="shared" si="5"/>
        <v>0</v>
      </c>
      <c r="P43" s="12">
        <f t="shared" si="6"/>
        <v>0</v>
      </c>
      <c r="Q43" s="70">
        <f t="shared" si="13"/>
        <v>0</v>
      </c>
      <c r="R43" s="73">
        <f t="shared" si="8"/>
        <v>0</v>
      </c>
      <c r="S43" s="103">
        <f t="shared" si="14"/>
        <v>0</v>
      </c>
    </row>
    <row r="44" spans="1:19" x14ac:dyDescent="0.25">
      <c r="A44" s="100" t="s">
        <v>25</v>
      </c>
      <c r="B44" s="137" t="s">
        <v>209</v>
      </c>
      <c r="C44" s="84">
        <v>6097509</v>
      </c>
      <c r="D44" s="213">
        <v>0.2487</v>
      </c>
      <c r="E44" s="103">
        <f t="shared" si="3"/>
        <v>1516450.4883000001</v>
      </c>
      <c r="F44" s="84"/>
      <c r="G44" s="213">
        <v>0.2487</v>
      </c>
      <c r="H44" s="103">
        <f t="shared" si="11"/>
        <v>1516450.4883000001</v>
      </c>
      <c r="I44" s="44">
        <f t="shared" si="4"/>
        <v>4581058.5116999997</v>
      </c>
      <c r="J44" s="104">
        <f t="shared" si="15"/>
        <v>0</v>
      </c>
      <c r="K44" s="213">
        <v>9.0700000000000003E-2</v>
      </c>
      <c r="L44" s="104">
        <f t="shared" si="12"/>
        <v>553044.06630000006</v>
      </c>
      <c r="M44" s="214">
        <f>IF(VLOOKUP($B$2:$B$209,Netvolumenmål!$B$3:$AN$210,38,FALSE)&lt;Netvolumenmål!$AD$215,VLOOKUP($B$2:$B$209,Netvolumenmål!$B$3:$AN$210,38,FALSE)-Netvolumenmål!$AD$215,0)</f>
        <v>0</v>
      </c>
      <c r="N44" s="215">
        <f>VLOOKUP($B$2:$B$209,Netvolumenmål!$B$3:$AN$210,39,FALSE)*0.75</f>
        <v>0</v>
      </c>
      <c r="O44" s="216">
        <f t="shared" si="5"/>
        <v>9.0700000000000003E-2</v>
      </c>
      <c r="P44" s="12">
        <f t="shared" si="6"/>
        <v>553044.06630000006</v>
      </c>
      <c r="Q44" s="70">
        <f t="shared" si="13"/>
        <v>2.2675000000000001E-2</v>
      </c>
      <c r="R44" s="73">
        <f t="shared" si="8"/>
        <v>2.2675000000000001E-2</v>
      </c>
      <c r="S44" s="103">
        <f t="shared" si="14"/>
        <v>138261.01657500002</v>
      </c>
    </row>
    <row r="45" spans="1:19" x14ac:dyDescent="0.25">
      <c r="A45" s="17" t="s">
        <v>210</v>
      </c>
      <c r="B45" s="137" t="s">
        <v>211</v>
      </c>
      <c r="C45" s="84">
        <v>2184770</v>
      </c>
      <c r="D45" s="213">
        <v>0.59470000000000001</v>
      </c>
      <c r="E45" s="103">
        <f t="shared" si="3"/>
        <v>1299282.719</v>
      </c>
      <c r="F45" s="84"/>
      <c r="G45" s="213">
        <v>0.59470000000000001</v>
      </c>
      <c r="H45" s="103">
        <f t="shared" si="11"/>
        <v>1299282.719</v>
      </c>
      <c r="I45" s="44">
        <f t="shared" si="4"/>
        <v>885487.28099999996</v>
      </c>
      <c r="J45" s="104">
        <f t="shared" si="15"/>
        <v>0</v>
      </c>
      <c r="K45" s="213">
        <v>0.43590000000000001</v>
      </c>
      <c r="L45" s="104">
        <f t="shared" si="12"/>
        <v>952341.24300000002</v>
      </c>
      <c r="M45" s="214">
        <f>IF(VLOOKUP($B$2:$B$209,Netvolumenmål!$B$3:$AN$210,38,FALSE)&lt;Netvolumenmål!$AD$215,VLOOKUP($B$2:$B$209,Netvolumenmål!$B$3:$AN$210,38,FALSE)-Netvolumenmål!$AD$215,0)</f>
        <v>0</v>
      </c>
      <c r="N45" s="215">
        <f>VLOOKUP($B$2:$B$209,Netvolumenmål!$B$3:$AN$210,39,FALSE)*0.75</f>
        <v>0</v>
      </c>
      <c r="O45" s="216">
        <f t="shared" si="5"/>
        <v>0.43590000000000001</v>
      </c>
      <c r="P45" s="12">
        <f t="shared" si="6"/>
        <v>952341.24300000002</v>
      </c>
      <c r="Q45" s="70">
        <f t="shared" si="13"/>
        <v>0.108975</v>
      </c>
      <c r="R45" s="73">
        <f t="shared" si="8"/>
        <v>0.05</v>
      </c>
      <c r="S45" s="103">
        <f t="shared" si="14"/>
        <v>109238.5</v>
      </c>
    </row>
    <row r="46" spans="1:19" x14ac:dyDescent="0.25">
      <c r="A46" s="17" t="s">
        <v>212</v>
      </c>
      <c r="B46" s="137" t="s">
        <v>213</v>
      </c>
      <c r="C46" s="84">
        <v>1138904</v>
      </c>
      <c r="D46" s="213">
        <v>9.4500000000000001E-2</v>
      </c>
      <c r="E46" s="103">
        <f t="shared" si="3"/>
        <v>107626.428</v>
      </c>
      <c r="F46" s="84"/>
      <c r="G46" s="213">
        <v>9.4500000000000001E-2</v>
      </c>
      <c r="H46" s="103">
        <f t="shared" si="11"/>
        <v>107626.428</v>
      </c>
      <c r="I46" s="44">
        <f t="shared" si="4"/>
        <v>1031277.572</v>
      </c>
      <c r="J46" s="104">
        <f t="shared" si="15"/>
        <v>0</v>
      </c>
      <c r="K46" s="213">
        <v>0</v>
      </c>
      <c r="L46" s="104">
        <f t="shared" si="12"/>
        <v>0</v>
      </c>
      <c r="M46" s="214">
        <f>IF(VLOOKUP($B$2:$B$209,Netvolumenmål!$B$3:$AN$210,38,FALSE)&lt;Netvolumenmål!$AD$215,VLOOKUP($B$2:$B$209,Netvolumenmål!$B$3:$AN$210,38,FALSE)-Netvolumenmål!$AD$215,0)</f>
        <v>0</v>
      </c>
      <c r="N46" s="215">
        <f>VLOOKUP($B$2:$B$209,Netvolumenmål!$B$3:$AN$210,39,FALSE)*0.75</f>
        <v>0</v>
      </c>
      <c r="O46" s="216">
        <f t="shared" si="5"/>
        <v>0</v>
      </c>
      <c r="P46" s="12">
        <f t="shared" si="6"/>
        <v>0</v>
      </c>
      <c r="Q46" s="70">
        <f t="shared" si="13"/>
        <v>0</v>
      </c>
      <c r="R46" s="73">
        <f t="shared" si="8"/>
        <v>0</v>
      </c>
      <c r="S46" s="103">
        <f t="shared" si="14"/>
        <v>0</v>
      </c>
    </row>
    <row r="47" spans="1:19" x14ac:dyDescent="0.25">
      <c r="A47" s="17" t="s">
        <v>26</v>
      </c>
      <c r="B47" s="137" t="s">
        <v>214</v>
      </c>
      <c r="C47" s="84">
        <v>6114098</v>
      </c>
      <c r="D47" s="213">
        <v>0.52280000000000004</v>
      </c>
      <c r="E47" s="103">
        <f t="shared" si="3"/>
        <v>3196450.4344000001</v>
      </c>
      <c r="F47" s="84"/>
      <c r="G47" s="213">
        <v>0.52280000000000004</v>
      </c>
      <c r="H47" s="103">
        <f t="shared" si="11"/>
        <v>3196450.4344000001</v>
      </c>
      <c r="I47" s="44">
        <f t="shared" si="4"/>
        <v>2917647.5655999999</v>
      </c>
      <c r="J47" s="104">
        <f t="shared" si="15"/>
        <v>0</v>
      </c>
      <c r="K47" s="213">
        <v>0.36159999999999998</v>
      </c>
      <c r="L47" s="104">
        <f t="shared" si="12"/>
        <v>2210857.8367999997</v>
      </c>
      <c r="M47" s="214">
        <f>IF(VLOOKUP($B$2:$B$209,Netvolumenmål!$B$3:$AN$210,38,FALSE)&lt;Netvolumenmål!$AD$215,VLOOKUP($B$2:$B$209,Netvolumenmål!$B$3:$AN$210,38,FALSE)-Netvolumenmål!$AD$215,0)</f>
        <v>0</v>
      </c>
      <c r="N47" s="215">
        <f>VLOOKUP($B$2:$B$209,Netvolumenmål!$B$3:$AN$210,39,FALSE)*0.75</f>
        <v>0</v>
      </c>
      <c r="O47" s="216">
        <f t="shared" si="5"/>
        <v>0.36159999999999998</v>
      </c>
      <c r="P47" s="12">
        <f t="shared" si="6"/>
        <v>2210857.8367999997</v>
      </c>
      <c r="Q47" s="70">
        <f t="shared" si="13"/>
        <v>9.0399999999999994E-2</v>
      </c>
      <c r="R47" s="73">
        <f t="shared" si="8"/>
        <v>0.05</v>
      </c>
      <c r="S47" s="103">
        <f t="shared" si="14"/>
        <v>305704.90000000002</v>
      </c>
    </row>
    <row r="48" spans="1:19" x14ac:dyDescent="0.25">
      <c r="A48" s="17" t="s">
        <v>215</v>
      </c>
      <c r="B48" s="137" t="s">
        <v>216</v>
      </c>
      <c r="C48" s="84">
        <v>920034</v>
      </c>
      <c r="D48" s="213">
        <v>2.2599999999999999E-2</v>
      </c>
      <c r="E48" s="103">
        <f t="shared" si="3"/>
        <v>20792.768399999997</v>
      </c>
      <c r="F48" s="84"/>
      <c r="G48" s="213">
        <v>2.2599999999999999E-2</v>
      </c>
      <c r="H48" s="103">
        <f t="shared" si="11"/>
        <v>20792.768399999997</v>
      </c>
      <c r="I48" s="44">
        <f t="shared" si="4"/>
        <v>899241.23160000006</v>
      </c>
      <c r="J48" s="104">
        <f t="shared" si="15"/>
        <v>0</v>
      </c>
      <c r="K48" s="213">
        <v>0</v>
      </c>
      <c r="L48" s="104">
        <f t="shared" si="12"/>
        <v>0</v>
      </c>
      <c r="M48" s="214">
        <f>IF(VLOOKUP($B$2:$B$209,Netvolumenmål!$B$3:$AN$210,38,FALSE)&lt;Netvolumenmål!$AD$215,VLOOKUP($B$2:$B$209,Netvolumenmål!$B$3:$AN$210,38,FALSE)-Netvolumenmål!$AD$215,0)</f>
        <v>-7.4830767612925245E-2</v>
      </c>
      <c r="N48" s="215">
        <f>VLOOKUP($B$2:$B$209,Netvolumenmål!$B$3:$AN$210,39,FALSE)*0.75</f>
        <v>-3.1894743925819063E-2</v>
      </c>
      <c r="O48" s="216">
        <f t="shared" si="5"/>
        <v>0</v>
      </c>
      <c r="P48" s="12">
        <f t="shared" si="6"/>
        <v>0</v>
      </c>
      <c r="Q48" s="70">
        <f t="shared" si="13"/>
        <v>0</v>
      </c>
      <c r="R48" s="73">
        <f t="shared" si="8"/>
        <v>0</v>
      </c>
      <c r="S48" s="103">
        <f t="shared" si="14"/>
        <v>0</v>
      </c>
    </row>
    <row r="49" spans="1:19" x14ac:dyDescent="0.25">
      <c r="A49" s="17" t="s">
        <v>217</v>
      </c>
      <c r="B49" s="137" t="s">
        <v>218</v>
      </c>
      <c r="C49" s="84">
        <v>2630517</v>
      </c>
      <c r="D49" s="213">
        <v>0.47070000000000001</v>
      </c>
      <c r="E49" s="103">
        <f t="shared" si="3"/>
        <v>1238184.3519000001</v>
      </c>
      <c r="F49" s="84"/>
      <c r="G49" s="213">
        <v>0.47070000000000001</v>
      </c>
      <c r="H49" s="103">
        <f t="shared" si="11"/>
        <v>1238184.3519000001</v>
      </c>
      <c r="I49" s="44">
        <f t="shared" si="4"/>
        <v>1392332.6480999999</v>
      </c>
      <c r="J49" s="104">
        <f t="shared" si="15"/>
        <v>0</v>
      </c>
      <c r="K49" s="213">
        <v>0.3095</v>
      </c>
      <c r="L49" s="104">
        <f t="shared" si="12"/>
        <v>814145.01150000002</v>
      </c>
      <c r="M49" s="214">
        <f>IF(VLOOKUP($B$2:$B$209,Netvolumenmål!$B$3:$AN$210,38,FALSE)&lt;Netvolumenmål!$AD$215,VLOOKUP($B$2:$B$209,Netvolumenmål!$B$3:$AN$210,38,FALSE)-Netvolumenmål!$AD$215,0)</f>
        <v>0</v>
      </c>
      <c r="N49" s="215">
        <f>VLOOKUP($B$2:$B$209,Netvolumenmål!$B$3:$AN$210,39,FALSE)*0.75</f>
        <v>0</v>
      </c>
      <c r="O49" s="216">
        <f t="shared" si="5"/>
        <v>0.3095</v>
      </c>
      <c r="P49" s="12">
        <f t="shared" si="6"/>
        <v>814145.01150000002</v>
      </c>
      <c r="Q49" s="70">
        <f t="shared" si="13"/>
        <v>7.7374999999999999E-2</v>
      </c>
      <c r="R49" s="73">
        <f t="shared" si="8"/>
        <v>0.05</v>
      </c>
      <c r="S49" s="103">
        <f t="shared" si="14"/>
        <v>131525.85</v>
      </c>
    </row>
    <row r="50" spans="1:19" x14ac:dyDescent="0.25">
      <c r="A50" s="17" t="s">
        <v>30</v>
      </c>
      <c r="B50" s="137" t="s">
        <v>219</v>
      </c>
      <c r="C50" s="84">
        <v>22712670</v>
      </c>
      <c r="D50" s="213">
        <v>0.2364</v>
      </c>
      <c r="E50" s="103">
        <f t="shared" si="3"/>
        <v>5369275.1880000001</v>
      </c>
      <c r="F50" s="84">
        <v>97655</v>
      </c>
      <c r="G50" s="213">
        <v>0.23300000000000001</v>
      </c>
      <c r="H50" s="103">
        <f t="shared" si="11"/>
        <v>5292052.1100000003</v>
      </c>
      <c r="I50" s="44">
        <f t="shared" si="4"/>
        <v>17420617.890000001</v>
      </c>
      <c r="J50" s="104">
        <f t="shared" si="15"/>
        <v>0</v>
      </c>
      <c r="K50" s="213">
        <v>7.8899999999999998E-2</v>
      </c>
      <c r="L50" s="104">
        <f t="shared" si="12"/>
        <v>1792029.6629999999</v>
      </c>
      <c r="M50" s="214">
        <f>IF(VLOOKUP($B$2:$B$209,Netvolumenmål!$B$3:$AN$210,38,FALSE)&lt;Netvolumenmål!$AD$215,VLOOKUP($B$2:$B$209,Netvolumenmål!$B$3:$AN$210,38,FALSE)-Netvolumenmål!$AD$215,0)</f>
        <v>0</v>
      </c>
      <c r="N50" s="215">
        <f>VLOOKUP($B$2:$B$209,Netvolumenmål!$B$3:$AN$210,39,FALSE)*0.75</f>
        <v>0</v>
      </c>
      <c r="O50" s="216">
        <f t="shared" si="5"/>
        <v>7.8899999999999998E-2</v>
      </c>
      <c r="P50" s="12">
        <f t="shared" si="6"/>
        <v>1792029.6629999999</v>
      </c>
      <c r="Q50" s="70">
        <f t="shared" si="13"/>
        <v>1.9724999999999999E-2</v>
      </c>
      <c r="R50" s="73">
        <f t="shared" si="8"/>
        <v>1.9724999999999999E-2</v>
      </c>
      <c r="S50" s="103">
        <f t="shared" si="14"/>
        <v>448007.41574999999</v>
      </c>
    </row>
    <row r="51" spans="1:19" x14ac:dyDescent="0.25">
      <c r="A51" s="63" t="s">
        <v>27</v>
      </c>
      <c r="B51" s="137" t="s">
        <v>220</v>
      </c>
      <c r="C51" s="84">
        <v>10422327</v>
      </c>
      <c r="D51" s="213">
        <v>0.54990000000000006</v>
      </c>
      <c r="E51" s="103">
        <f t="shared" si="3"/>
        <v>5731237.617300001</v>
      </c>
      <c r="F51" s="84"/>
      <c r="G51" s="213">
        <v>0.54990000000000006</v>
      </c>
      <c r="H51" s="103">
        <f t="shared" si="11"/>
        <v>5731237.617300001</v>
      </c>
      <c r="I51" s="44">
        <f t="shared" si="4"/>
        <v>4691089.382699999</v>
      </c>
      <c r="J51" s="104">
        <f t="shared" si="15"/>
        <v>0</v>
      </c>
      <c r="K51" s="213">
        <v>0.39360000000000001</v>
      </c>
      <c r="L51" s="104">
        <f t="shared" si="12"/>
        <v>4102227.9072000002</v>
      </c>
      <c r="M51" s="214">
        <f>IF(VLOOKUP($B$2:$B$209,Netvolumenmål!$B$3:$AN$210,38,FALSE)&lt;Netvolumenmål!$AD$215,VLOOKUP($B$2:$B$209,Netvolumenmål!$B$3:$AN$210,38,FALSE)-Netvolumenmål!$AD$215,0)</f>
        <v>0</v>
      </c>
      <c r="N51" s="215">
        <f>VLOOKUP($B$2:$B$209,Netvolumenmål!$B$3:$AN$210,39,FALSE)*0.75</f>
        <v>0</v>
      </c>
      <c r="O51" s="216">
        <f t="shared" si="5"/>
        <v>0.39360000000000001</v>
      </c>
      <c r="P51" s="12">
        <f t="shared" si="6"/>
        <v>4102227.9072000002</v>
      </c>
      <c r="Q51" s="70">
        <f t="shared" si="13"/>
        <v>9.8400000000000001E-2</v>
      </c>
      <c r="R51" s="73">
        <f t="shared" si="8"/>
        <v>0.05</v>
      </c>
      <c r="S51" s="103">
        <f t="shared" si="14"/>
        <v>521116.35000000003</v>
      </c>
    </row>
    <row r="52" spans="1:19" x14ac:dyDescent="0.25">
      <c r="A52" s="17" t="s">
        <v>221</v>
      </c>
      <c r="B52" s="137" t="s">
        <v>222</v>
      </c>
      <c r="C52" s="84">
        <v>30110719</v>
      </c>
      <c r="D52" s="213">
        <v>0.312</v>
      </c>
      <c r="E52" s="103">
        <f t="shared" si="3"/>
        <v>9394544.3279999997</v>
      </c>
      <c r="F52" s="84"/>
      <c r="G52" s="213">
        <v>0.312</v>
      </c>
      <c r="H52" s="103">
        <f t="shared" si="11"/>
        <v>9394544.3279999997</v>
      </c>
      <c r="I52" s="44">
        <f t="shared" si="4"/>
        <v>20716174.671999998</v>
      </c>
      <c r="J52" s="104">
        <f t="shared" si="15"/>
        <v>0</v>
      </c>
      <c r="K52" s="213">
        <v>0.18049999999999999</v>
      </c>
      <c r="L52" s="104">
        <f t="shared" si="12"/>
        <v>5434984.7795000002</v>
      </c>
      <c r="M52" s="214">
        <f>IF(VLOOKUP($B$2:$B$209,Netvolumenmål!$B$3:$AN$210,38,FALSE)&lt;Netvolumenmål!$AD$215,VLOOKUP($B$2:$B$209,Netvolumenmål!$B$3:$AN$210,38,FALSE)-Netvolumenmål!$AD$215,0)</f>
        <v>0</v>
      </c>
      <c r="N52" s="215">
        <f>VLOOKUP($B$2:$B$209,Netvolumenmål!$B$3:$AN$210,39,FALSE)*0.75</f>
        <v>0</v>
      </c>
      <c r="O52" s="216">
        <f t="shared" si="5"/>
        <v>0.18049999999999999</v>
      </c>
      <c r="P52" s="12">
        <f t="shared" si="6"/>
        <v>5434984.7795000002</v>
      </c>
      <c r="Q52" s="70">
        <f t="shared" si="13"/>
        <v>4.5124999999999998E-2</v>
      </c>
      <c r="R52" s="73">
        <f t="shared" si="8"/>
        <v>4.5124999999999998E-2</v>
      </c>
      <c r="S52" s="103">
        <f t="shared" si="14"/>
        <v>1358746.194875</v>
      </c>
    </row>
    <row r="53" spans="1:19" x14ac:dyDescent="0.25">
      <c r="A53" s="17" t="s">
        <v>223</v>
      </c>
      <c r="B53" s="137" t="s">
        <v>224</v>
      </c>
      <c r="C53" s="84">
        <v>1208119</v>
      </c>
      <c r="D53" s="213">
        <v>0.24909999999999999</v>
      </c>
      <c r="E53" s="103">
        <f t="shared" si="3"/>
        <v>300942.44289999997</v>
      </c>
      <c r="F53" s="84"/>
      <c r="G53" s="213">
        <v>0.24909999999999999</v>
      </c>
      <c r="H53" s="103">
        <f t="shared" si="11"/>
        <v>300942.44289999997</v>
      </c>
      <c r="I53" s="44">
        <f t="shared" si="4"/>
        <v>907176.55710000009</v>
      </c>
      <c r="J53" s="104">
        <f t="shared" si="15"/>
        <v>0</v>
      </c>
      <c r="K53" s="213">
        <v>8.7900000000000006E-2</v>
      </c>
      <c r="L53" s="104">
        <f t="shared" si="12"/>
        <v>106193.66010000001</v>
      </c>
      <c r="M53" s="214">
        <f>IF(VLOOKUP($B$2:$B$209,Netvolumenmål!$B$3:$AN$210,38,FALSE)&lt;Netvolumenmål!$AD$215,VLOOKUP($B$2:$B$209,Netvolumenmål!$B$3:$AN$210,38,FALSE)-Netvolumenmål!$AD$215,0)</f>
        <v>0</v>
      </c>
      <c r="N53" s="215">
        <f>VLOOKUP($B$2:$B$209,Netvolumenmål!$B$3:$AN$210,39,FALSE)*0.75</f>
        <v>0</v>
      </c>
      <c r="O53" s="216">
        <f t="shared" si="5"/>
        <v>8.7900000000000006E-2</v>
      </c>
      <c r="P53" s="12">
        <f t="shared" si="6"/>
        <v>106193.66010000001</v>
      </c>
      <c r="Q53" s="70">
        <f t="shared" si="13"/>
        <v>2.1975000000000001E-2</v>
      </c>
      <c r="R53" s="73">
        <f t="shared" si="8"/>
        <v>2.1975000000000001E-2</v>
      </c>
      <c r="S53" s="103">
        <f t="shared" si="14"/>
        <v>26548.415025000002</v>
      </c>
    </row>
    <row r="54" spans="1:19" x14ac:dyDescent="0.25">
      <c r="A54" s="17" t="s">
        <v>33</v>
      </c>
      <c r="B54" s="137" t="s">
        <v>225</v>
      </c>
      <c r="C54" s="84">
        <v>28377357</v>
      </c>
      <c r="D54" s="213">
        <v>0.40989999999999999</v>
      </c>
      <c r="E54" s="103">
        <f t="shared" si="3"/>
        <v>11631878.634299999</v>
      </c>
      <c r="F54" s="175">
        <v>49861.68</v>
      </c>
      <c r="G54" s="213">
        <v>0.40870000000000001</v>
      </c>
      <c r="H54" s="103">
        <f t="shared" si="11"/>
        <v>11597825.8059</v>
      </c>
      <c r="I54" s="44">
        <f t="shared" si="4"/>
        <v>16779531.1941</v>
      </c>
      <c r="J54" s="104">
        <f t="shared" si="15"/>
        <v>0</v>
      </c>
      <c r="K54" s="213">
        <v>0.2475</v>
      </c>
      <c r="L54" s="104">
        <f t="shared" si="12"/>
        <v>7023395.8574999999</v>
      </c>
      <c r="M54" s="214">
        <f>IF(VLOOKUP($B$2:$B$209,Netvolumenmål!$B$3:$AN$210,38,FALSE)&lt;Netvolumenmål!$AD$215,VLOOKUP($B$2:$B$209,Netvolumenmål!$B$3:$AN$210,38,FALSE)-Netvolumenmål!$AD$215,0)</f>
        <v>0</v>
      </c>
      <c r="N54" s="215">
        <f>VLOOKUP($B$2:$B$209,Netvolumenmål!$B$3:$AN$210,39,FALSE)*0.75</f>
        <v>0</v>
      </c>
      <c r="O54" s="216">
        <f t="shared" si="5"/>
        <v>0.2475</v>
      </c>
      <c r="P54" s="12">
        <f t="shared" si="6"/>
        <v>7023395.8574999999</v>
      </c>
      <c r="Q54" s="70">
        <f t="shared" si="13"/>
        <v>6.1874999999999999E-2</v>
      </c>
      <c r="R54" s="73">
        <f t="shared" si="8"/>
        <v>0.05</v>
      </c>
      <c r="S54" s="103">
        <f t="shared" si="14"/>
        <v>1418867.85</v>
      </c>
    </row>
    <row r="55" spans="1:19" x14ac:dyDescent="0.25">
      <c r="A55" s="17" t="s">
        <v>226</v>
      </c>
      <c r="B55" s="137" t="s">
        <v>227</v>
      </c>
      <c r="C55" s="84">
        <v>10076604</v>
      </c>
      <c r="D55" s="213">
        <v>0.30819999999999997</v>
      </c>
      <c r="E55" s="103">
        <f t="shared" si="3"/>
        <v>3105609.3527999995</v>
      </c>
      <c r="F55" s="84">
        <v>494834</v>
      </c>
      <c r="G55" s="213">
        <v>0.27239999999999998</v>
      </c>
      <c r="H55" s="103">
        <f t="shared" si="11"/>
        <v>2744866.9295999999</v>
      </c>
      <c r="I55" s="44">
        <f t="shared" si="4"/>
        <v>7331737.0703999996</v>
      </c>
      <c r="J55" s="104">
        <f t="shared" si="15"/>
        <v>0</v>
      </c>
      <c r="K55" s="213">
        <v>0.11609999999999999</v>
      </c>
      <c r="L55" s="104">
        <f t="shared" si="12"/>
        <v>1169893.7243999999</v>
      </c>
      <c r="M55" s="214">
        <f>IF(VLOOKUP($B$2:$B$209,Netvolumenmål!$B$3:$AN$210,38,FALSE)&lt;Netvolumenmål!$AD$215,VLOOKUP($B$2:$B$209,Netvolumenmål!$B$3:$AN$210,38,FALSE)-Netvolumenmål!$AD$215,0)</f>
        <v>0</v>
      </c>
      <c r="N55" s="215">
        <f>VLOOKUP($B$2:$B$209,Netvolumenmål!$B$3:$AN$210,39,FALSE)*0.75</f>
        <v>0</v>
      </c>
      <c r="O55" s="216">
        <f t="shared" si="5"/>
        <v>0.11609999999999999</v>
      </c>
      <c r="P55" s="12">
        <f t="shared" si="6"/>
        <v>1169893.7243999999</v>
      </c>
      <c r="Q55" s="70">
        <f t="shared" si="13"/>
        <v>2.9024999999999999E-2</v>
      </c>
      <c r="R55" s="73">
        <f t="shared" si="8"/>
        <v>2.9024999999999999E-2</v>
      </c>
      <c r="S55" s="103">
        <f t="shared" si="14"/>
        <v>292473.43109999999</v>
      </c>
    </row>
    <row r="56" spans="1:19" x14ac:dyDescent="0.25">
      <c r="A56" s="17" t="s">
        <v>28</v>
      </c>
      <c r="B56" s="137" t="s">
        <v>228</v>
      </c>
      <c r="C56" s="84">
        <v>11069019</v>
      </c>
      <c r="D56" s="213">
        <v>0.1608</v>
      </c>
      <c r="E56" s="103">
        <f t="shared" si="3"/>
        <v>1779898.2552</v>
      </c>
      <c r="F56" s="84"/>
      <c r="G56" s="213">
        <v>0.1608</v>
      </c>
      <c r="H56" s="103">
        <f t="shared" si="11"/>
        <v>1779898.2552</v>
      </c>
      <c r="I56" s="44">
        <f t="shared" si="4"/>
        <v>9289120.7447999995</v>
      </c>
      <c r="J56" s="104">
        <f t="shared" si="15"/>
        <v>0</v>
      </c>
      <c r="K56" s="213">
        <v>6.7999999999999996E-3</v>
      </c>
      <c r="L56" s="104">
        <f t="shared" si="12"/>
        <v>75269.329199999993</v>
      </c>
      <c r="M56" s="214">
        <f>IF(VLOOKUP($B$2:$B$209,Netvolumenmål!$B$3:$AN$210,38,FALSE)&lt;Netvolumenmål!$AD$215,VLOOKUP($B$2:$B$209,Netvolumenmål!$B$3:$AN$210,38,FALSE)-Netvolumenmål!$AD$215,0)</f>
        <v>0</v>
      </c>
      <c r="N56" s="215">
        <f>VLOOKUP($B$2:$B$209,Netvolumenmål!$B$3:$AN$210,39,FALSE)*0.75</f>
        <v>0</v>
      </c>
      <c r="O56" s="216">
        <f t="shared" si="5"/>
        <v>6.7999999999999996E-3</v>
      </c>
      <c r="P56" s="12">
        <f t="shared" si="6"/>
        <v>75269.329199999993</v>
      </c>
      <c r="Q56" s="70">
        <f t="shared" si="13"/>
        <v>1.6999999999999999E-3</v>
      </c>
      <c r="R56" s="73">
        <f t="shared" si="8"/>
        <v>0</v>
      </c>
      <c r="S56" s="103">
        <f t="shared" si="14"/>
        <v>0</v>
      </c>
    </row>
    <row r="57" spans="1:19" x14ac:dyDescent="0.25">
      <c r="A57" s="17" t="s">
        <v>229</v>
      </c>
      <c r="B57" s="137" t="s">
        <v>230</v>
      </c>
      <c r="C57" s="84">
        <v>1595599</v>
      </c>
      <c r="D57" s="213">
        <v>0.25259999999999999</v>
      </c>
      <c r="E57" s="103">
        <f t="shared" si="3"/>
        <v>403048.30739999999</v>
      </c>
      <c r="F57" s="84"/>
      <c r="G57" s="213">
        <v>0.25259999999999999</v>
      </c>
      <c r="H57" s="103">
        <f t="shared" si="11"/>
        <v>403048.30739999999</v>
      </c>
      <c r="I57" s="44">
        <f t="shared" si="4"/>
        <v>1192550.6926</v>
      </c>
      <c r="J57" s="104">
        <f t="shared" si="15"/>
        <v>0</v>
      </c>
      <c r="K57" s="213">
        <v>8.9899999999999994E-2</v>
      </c>
      <c r="L57" s="104">
        <f t="shared" si="12"/>
        <v>143444.35009999998</v>
      </c>
      <c r="M57" s="214">
        <f>IF(VLOOKUP($B$2:$B$209,Netvolumenmål!$B$3:$AN$210,38,FALSE)&lt;Netvolumenmål!$AD$215,VLOOKUP($B$2:$B$209,Netvolumenmål!$B$3:$AN$210,38,FALSE)-Netvolumenmål!$AD$215,0)</f>
        <v>0</v>
      </c>
      <c r="N57" s="215">
        <f>VLOOKUP($B$2:$B$209,Netvolumenmål!$B$3:$AN$210,39,FALSE)*0.75</f>
        <v>0</v>
      </c>
      <c r="O57" s="216">
        <f t="shared" ref="O57:O60" si="17">IF(K57=0,0,IF(K57&lt;-N57,0,K57+N57))</f>
        <v>8.9899999999999994E-2</v>
      </c>
      <c r="P57" s="12">
        <f t="shared" si="6"/>
        <v>143444.35009999998</v>
      </c>
      <c r="Q57" s="70">
        <f t="shared" si="13"/>
        <v>2.2474999999999998E-2</v>
      </c>
      <c r="R57" s="73">
        <f t="shared" si="8"/>
        <v>2.2474999999999998E-2</v>
      </c>
      <c r="S57" s="103">
        <f t="shared" si="14"/>
        <v>35861.087524999995</v>
      </c>
    </row>
    <row r="58" spans="1:19" x14ac:dyDescent="0.25">
      <c r="A58" s="17" t="s">
        <v>29</v>
      </c>
      <c r="B58" s="137" t="s">
        <v>231</v>
      </c>
      <c r="C58" s="84">
        <v>22693682</v>
      </c>
      <c r="D58" s="213">
        <v>0.26029999999999998</v>
      </c>
      <c r="E58" s="103">
        <f t="shared" si="3"/>
        <v>5907165.4245999996</v>
      </c>
      <c r="F58" s="84"/>
      <c r="G58" s="213">
        <v>0.26029999999999998</v>
      </c>
      <c r="H58" s="103">
        <f t="shared" si="11"/>
        <v>5907165.4245999996</v>
      </c>
      <c r="I58" s="44">
        <f t="shared" si="4"/>
        <v>16786516.575400002</v>
      </c>
      <c r="J58" s="104">
        <f t="shared" si="15"/>
        <v>0</v>
      </c>
      <c r="K58" s="213">
        <v>0.1041</v>
      </c>
      <c r="L58" s="104">
        <f t="shared" si="12"/>
        <v>2362412.2961999997</v>
      </c>
      <c r="M58" s="214">
        <f>IF(VLOOKUP($B$2:$B$209,Netvolumenmål!$B$3:$AN$210,38,FALSE)&lt;Netvolumenmål!$AD$215,VLOOKUP($B$2:$B$209,Netvolumenmål!$B$3:$AN$210,38,FALSE)-Netvolumenmål!$AD$215,0)</f>
        <v>0</v>
      </c>
      <c r="N58" s="215">
        <f>VLOOKUP($B$2:$B$209,Netvolumenmål!$B$3:$AN$210,39,FALSE)*0.75</f>
        <v>0</v>
      </c>
      <c r="O58" s="216">
        <f t="shared" si="17"/>
        <v>0.1041</v>
      </c>
      <c r="P58" s="12">
        <f t="shared" si="6"/>
        <v>2362412.2961999997</v>
      </c>
      <c r="Q58" s="70">
        <f t="shared" si="13"/>
        <v>2.6025E-2</v>
      </c>
      <c r="R58" s="73">
        <f t="shared" si="8"/>
        <v>2.6025E-2</v>
      </c>
      <c r="S58" s="103">
        <f t="shared" si="14"/>
        <v>590603.07404999994</v>
      </c>
    </row>
    <row r="59" spans="1:19" x14ac:dyDescent="0.25">
      <c r="A59" s="17" t="s">
        <v>232</v>
      </c>
      <c r="B59" s="137" t="s">
        <v>233</v>
      </c>
      <c r="C59" s="84">
        <v>3967030</v>
      </c>
      <c r="D59" s="213">
        <v>0.45200000000000001</v>
      </c>
      <c r="E59" s="103">
        <f t="shared" si="3"/>
        <v>1793097.56</v>
      </c>
      <c r="F59" s="84"/>
      <c r="G59" s="213">
        <v>0.45200000000000001</v>
      </c>
      <c r="H59" s="103">
        <f t="shared" si="11"/>
        <v>1793097.56</v>
      </c>
      <c r="I59" s="44">
        <f t="shared" si="4"/>
        <v>2173932.44</v>
      </c>
      <c r="J59" s="104">
        <f t="shared" si="15"/>
        <v>0</v>
      </c>
      <c r="K59" s="213">
        <v>0.29370000000000002</v>
      </c>
      <c r="L59" s="104">
        <f t="shared" si="12"/>
        <v>1165116.7110000001</v>
      </c>
      <c r="M59" s="214">
        <f>IF(VLOOKUP($B$2:$B$209,Netvolumenmål!$B$3:$AN$210,38,FALSE)&lt;Netvolumenmål!$AD$215,VLOOKUP($B$2:$B$209,Netvolumenmål!$B$3:$AN$210,38,FALSE)-Netvolumenmål!$AD$215,0)</f>
        <v>-1.2366137799728297E-2</v>
      </c>
      <c r="N59" s="215">
        <f>VLOOKUP($B$2:$B$209,Netvolumenmål!$B$3:$AN$210,39,FALSE)*0.75</f>
        <v>-5.2707570836891936E-3</v>
      </c>
      <c r="O59" s="216">
        <f t="shared" si="17"/>
        <v>0.28842924291631084</v>
      </c>
      <c r="P59" s="12">
        <f t="shared" si="6"/>
        <v>1144207.4595262925</v>
      </c>
      <c r="Q59" s="70">
        <f t="shared" si="13"/>
        <v>7.2107310729077709E-2</v>
      </c>
      <c r="R59" s="73">
        <f t="shared" si="8"/>
        <v>0.05</v>
      </c>
      <c r="S59" s="103">
        <f t="shared" si="14"/>
        <v>198351.5</v>
      </c>
    </row>
    <row r="60" spans="1:19" x14ac:dyDescent="0.25">
      <c r="A60" s="17" t="s">
        <v>234</v>
      </c>
      <c r="B60" s="137" t="s">
        <v>235</v>
      </c>
      <c r="C60" s="84">
        <v>2268695</v>
      </c>
      <c r="D60" s="213">
        <v>0.49740000000000001</v>
      </c>
      <c r="E60" s="103">
        <f t="shared" si="3"/>
        <v>1128448.8929999999</v>
      </c>
      <c r="F60" s="84"/>
      <c r="G60" s="213">
        <v>0.49740000000000001</v>
      </c>
      <c r="H60" s="103">
        <f t="shared" si="11"/>
        <v>1128448.8929999999</v>
      </c>
      <c r="I60" s="44">
        <f t="shared" si="4"/>
        <v>1140246.1070000001</v>
      </c>
      <c r="J60" s="104">
        <f t="shared" si="15"/>
        <v>0</v>
      </c>
      <c r="K60" s="213">
        <v>0.33479999999999999</v>
      </c>
      <c r="L60" s="104">
        <f t="shared" si="12"/>
        <v>759559.08600000001</v>
      </c>
      <c r="M60" s="214">
        <f>IF(VLOOKUP($B$2:$B$209,Netvolumenmål!$B$3:$AN$210,38,FALSE)&lt;Netvolumenmål!$AD$215,VLOOKUP($B$2:$B$209,Netvolumenmål!$B$3:$AN$210,38,FALSE)-Netvolumenmål!$AD$215,0)</f>
        <v>0</v>
      </c>
      <c r="N60" s="215">
        <f>VLOOKUP($B$2:$B$209,Netvolumenmål!$B$3:$AN$210,39,FALSE)*0.75</f>
        <v>0</v>
      </c>
      <c r="O60" s="216">
        <f t="shared" si="17"/>
        <v>0.33479999999999999</v>
      </c>
      <c r="P60" s="12">
        <f t="shared" si="6"/>
        <v>759559.08600000001</v>
      </c>
      <c r="Q60" s="70">
        <f t="shared" si="13"/>
        <v>8.3699999999999997E-2</v>
      </c>
      <c r="R60" s="73">
        <f t="shared" si="8"/>
        <v>0.05</v>
      </c>
      <c r="S60" s="103">
        <f t="shared" si="14"/>
        <v>113434.75</v>
      </c>
    </row>
    <row r="61" spans="1:19" x14ac:dyDescent="0.25">
      <c r="A61" s="17" t="s">
        <v>236</v>
      </c>
      <c r="B61" s="137" t="s">
        <v>237</v>
      </c>
      <c r="C61" s="84">
        <v>1316688</v>
      </c>
      <c r="D61" s="213">
        <v>0.17330000000000001</v>
      </c>
      <c r="E61" s="103">
        <f t="shared" si="3"/>
        <v>228182.03040000002</v>
      </c>
      <c r="F61" s="84"/>
      <c r="G61" s="213">
        <v>0.17330000000000001</v>
      </c>
      <c r="H61" s="103">
        <f t="shared" si="11"/>
        <v>228182.03040000002</v>
      </c>
      <c r="I61" s="44">
        <f t="shared" si="4"/>
        <v>1088505.9696</v>
      </c>
      <c r="J61" s="104">
        <f t="shared" si="15"/>
        <v>0</v>
      </c>
      <c r="K61" s="213">
        <v>1.9199999999999998E-2</v>
      </c>
      <c r="L61" s="104">
        <f t="shared" si="12"/>
        <v>25280.409599999999</v>
      </c>
      <c r="M61" s="214">
        <f>IF(VLOOKUP($B$2:$B$209,Netvolumenmål!$B$3:$AN$210,38,FALSE)&lt;Netvolumenmål!$AD$215,VLOOKUP($B$2:$B$209,Netvolumenmål!$B$3:$AN$210,38,FALSE)-Netvolumenmål!$AD$215,0)</f>
        <v>0</v>
      </c>
      <c r="N61" s="215">
        <f>VLOOKUP($B$2:$B$209,Netvolumenmål!$B$3:$AN$210,39,FALSE)*0.75</f>
        <v>0</v>
      </c>
      <c r="O61" s="216">
        <f t="shared" si="5"/>
        <v>1.9199999999999998E-2</v>
      </c>
      <c r="P61" s="12">
        <f t="shared" si="6"/>
        <v>25280.409599999999</v>
      </c>
      <c r="Q61" s="70">
        <f t="shared" si="13"/>
        <v>4.7999999999999996E-3</v>
      </c>
      <c r="R61" s="73">
        <f t="shared" si="8"/>
        <v>0</v>
      </c>
      <c r="S61" s="103">
        <f t="shared" si="14"/>
        <v>0</v>
      </c>
    </row>
    <row r="62" spans="1:19" x14ac:dyDescent="0.25">
      <c r="A62" s="17" t="s">
        <v>238</v>
      </c>
      <c r="B62" s="137" t="s">
        <v>239</v>
      </c>
      <c r="C62" s="84">
        <v>16731858</v>
      </c>
      <c r="D62" s="213">
        <v>0.35320000000000001</v>
      </c>
      <c r="E62" s="103">
        <f t="shared" si="3"/>
        <v>5909692.2456</v>
      </c>
      <c r="F62" s="84"/>
      <c r="G62" s="213">
        <v>0.35320000000000001</v>
      </c>
      <c r="H62" s="103">
        <f t="shared" ref="H62:H83" si="18">G62*C62</f>
        <v>5909692.2456</v>
      </c>
      <c r="I62" s="44">
        <f t="shared" si="4"/>
        <v>10822165.7544</v>
      </c>
      <c r="J62" s="104">
        <f t="shared" si="15"/>
        <v>0</v>
      </c>
      <c r="K62" s="213">
        <v>0.19700000000000001</v>
      </c>
      <c r="L62" s="104">
        <f t="shared" ref="L62:L122" si="19">K62*C62</f>
        <v>3296176.0260000001</v>
      </c>
      <c r="M62" s="214">
        <f>IF(VLOOKUP($B$2:$B$209,Netvolumenmål!$B$3:$AN$210,38,FALSE)&lt;Netvolumenmål!$AD$215,VLOOKUP($B$2:$B$209,Netvolumenmål!$B$3:$AN$210,38,FALSE)-Netvolumenmål!$AD$215,0)</f>
        <v>0</v>
      </c>
      <c r="N62" s="215">
        <f>VLOOKUP($B$2:$B$209,Netvolumenmål!$B$3:$AN$210,39,FALSE)*0.75</f>
        <v>0</v>
      </c>
      <c r="O62" s="216">
        <f t="shared" si="5"/>
        <v>0.19700000000000001</v>
      </c>
      <c r="P62" s="12">
        <f t="shared" si="6"/>
        <v>3296176.0260000001</v>
      </c>
      <c r="Q62" s="70">
        <f t="shared" ref="Q62:Q83" si="20">O62/4</f>
        <v>4.9250000000000002E-2</v>
      </c>
      <c r="R62" s="73">
        <f t="shared" si="8"/>
        <v>4.9250000000000002E-2</v>
      </c>
      <c r="S62" s="103">
        <f t="shared" ref="S62:S83" si="21">R62*C62</f>
        <v>824044.00650000002</v>
      </c>
    </row>
    <row r="63" spans="1:19" x14ac:dyDescent="0.25">
      <c r="A63" s="17" t="s">
        <v>240</v>
      </c>
      <c r="B63" s="137" t="s">
        <v>241</v>
      </c>
      <c r="C63" s="84">
        <v>840287</v>
      </c>
      <c r="D63" s="213">
        <v>8.7599999999999997E-2</v>
      </c>
      <c r="E63" s="103">
        <f t="shared" ref="E63:E123" si="22">C63*D63</f>
        <v>73609.141199999998</v>
      </c>
      <c r="F63" s="84"/>
      <c r="G63" s="213">
        <v>8.7599999999999997E-2</v>
      </c>
      <c r="H63" s="103">
        <f t="shared" si="18"/>
        <v>73609.141199999998</v>
      </c>
      <c r="I63" s="44">
        <f t="shared" ref="I63:I83" si="23">IF(G63&gt;0,C63-H63,"Over fronten")</f>
        <v>766677.85880000005</v>
      </c>
      <c r="J63" s="104">
        <f t="shared" si="15"/>
        <v>0</v>
      </c>
      <c r="K63" s="213">
        <v>0</v>
      </c>
      <c r="L63" s="104">
        <f t="shared" si="19"/>
        <v>0</v>
      </c>
      <c r="M63" s="214">
        <f>IF(VLOOKUP($B$2:$B$209,Netvolumenmål!$B$3:$AN$210,38,FALSE)&lt;Netvolumenmål!$AD$215,VLOOKUP($B$2:$B$209,Netvolumenmål!$B$3:$AN$210,38,FALSE)-Netvolumenmål!$AD$215,0)</f>
        <v>0</v>
      </c>
      <c r="N63" s="215">
        <f>VLOOKUP($B$2:$B$209,Netvolumenmål!$B$3:$AN$210,39,FALSE)*0.75</f>
        <v>0</v>
      </c>
      <c r="O63" s="216">
        <f t="shared" ref="O63:O83" si="24">IF(K63=0,0,IF(K63&lt;-N63,0,K63+N63))</f>
        <v>0</v>
      </c>
      <c r="P63" s="12">
        <f t="shared" ref="P63:P83" si="25">O63*C63</f>
        <v>0</v>
      </c>
      <c r="Q63" s="70">
        <f t="shared" si="20"/>
        <v>0</v>
      </c>
      <c r="R63" s="73">
        <f t="shared" ref="R63:R83" si="26">IF(Q63&gt;0.01,IF(Q63&gt;0.05,0.05,Q63),0)</f>
        <v>0</v>
      </c>
      <c r="S63" s="103">
        <f t="shared" si="21"/>
        <v>0</v>
      </c>
    </row>
    <row r="64" spans="1:19" x14ac:dyDescent="0.25">
      <c r="A64" s="17" t="s">
        <v>242</v>
      </c>
      <c r="B64" s="137" t="s">
        <v>243</v>
      </c>
      <c r="C64" s="84">
        <v>8634786</v>
      </c>
      <c r="D64" s="213">
        <v>0.46899999999999997</v>
      </c>
      <c r="E64" s="103">
        <f t="shared" si="22"/>
        <v>4049714.6339999996</v>
      </c>
      <c r="F64" s="84">
        <v>182037</v>
      </c>
      <c r="G64" s="213">
        <v>0.4526</v>
      </c>
      <c r="H64" s="103">
        <f t="shared" si="18"/>
        <v>3908104.1436000001</v>
      </c>
      <c r="I64" s="44">
        <f t="shared" si="23"/>
        <v>4726681.8563999999</v>
      </c>
      <c r="J64" s="104">
        <f t="shared" si="15"/>
        <v>0</v>
      </c>
      <c r="K64" s="213">
        <v>0.29859999999999998</v>
      </c>
      <c r="L64" s="104">
        <f t="shared" si="19"/>
        <v>2578347.0995999998</v>
      </c>
      <c r="M64" s="214">
        <f>IF(VLOOKUP($B$2:$B$209,Netvolumenmål!$B$3:$AN$210,38,FALSE)&lt;Netvolumenmål!$AD$215,VLOOKUP($B$2:$B$209,Netvolumenmål!$B$3:$AN$210,38,FALSE)-Netvolumenmål!$AD$215,0)</f>
        <v>0</v>
      </c>
      <c r="N64" s="215">
        <f>VLOOKUP($B$2:$B$209,Netvolumenmål!$B$3:$AN$210,39,FALSE)*0.75</f>
        <v>0</v>
      </c>
      <c r="O64" s="216">
        <f t="shared" si="24"/>
        <v>0.29859999999999998</v>
      </c>
      <c r="P64" s="12">
        <f t="shared" si="25"/>
        <v>2578347.0995999998</v>
      </c>
      <c r="Q64" s="70">
        <f t="shared" si="20"/>
        <v>7.4649999999999994E-2</v>
      </c>
      <c r="R64" s="73">
        <f t="shared" si="26"/>
        <v>0.05</v>
      </c>
      <c r="S64" s="103">
        <f t="shared" si="21"/>
        <v>431739.30000000005</v>
      </c>
    </row>
    <row r="65" spans="1:19" x14ac:dyDescent="0.25">
      <c r="A65" s="17" t="s">
        <v>244</v>
      </c>
      <c r="B65" s="137" t="s">
        <v>245</v>
      </c>
      <c r="C65" s="84">
        <v>12487193</v>
      </c>
      <c r="D65" s="213">
        <v>0.23960000000000001</v>
      </c>
      <c r="E65" s="103">
        <f t="shared" si="22"/>
        <v>2991931.4428000003</v>
      </c>
      <c r="F65" s="84">
        <v>831173.22</v>
      </c>
      <c r="G65" s="213">
        <v>0.18740000000000001</v>
      </c>
      <c r="H65" s="103">
        <f t="shared" si="18"/>
        <v>2340099.9682</v>
      </c>
      <c r="I65" s="44">
        <f t="shared" si="23"/>
        <v>10147093.0318</v>
      </c>
      <c r="J65" s="104">
        <f t="shared" si="15"/>
        <v>0</v>
      </c>
      <c r="K65" s="213">
        <v>3.1099999999999999E-2</v>
      </c>
      <c r="L65" s="104">
        <f t="shared" si="19"/>
        <v>388351.7023</v>
      </c>
      <c r="M65" s="214">
        <f>IF(VLOOKUP($B$2:$B$209,Netvolumenmål!$B$3:$AN$210,38,FALSE)&lt;Netvolumenmål!$AD$215,VLOOKUP($B$2:$B$209,Netvolumenmål!$B$3:$AN$210,38,FALSE)-Netvolumenmål!$AD$215,0)</f>
        <v>0</v>
      </c>
      <c r="N65" s="215">
        <f>VLOOKUP($B$2:$B$209,Netvolumenmål!$B$3:$AN$210,39,FALSE)*0.75</f>
        <v>0</v>
      </c>
      <c r="O65" s="216">
        <f t="shared" si="24"/>
        <v>3.1099999999999999E-2</v>
      </c>
      <c r="P65" s="12">
        <f t="shared" si="25"/>
        <v>388351.7023</v>
      </c>
      <c r="Q65" s="70">
        <f t="shared" si="20"/>
        <v>7.7749999999999998E-3</v>
      </c>
      <c r="R65" s="73">
        <f t="shared" si="26"/>
        <v>0</v>
      </c>
      <c r="S65" s="103">
        <f t="shared" si="21"/>
        <v>0</v>
      </c>
    </row>
    <row r="66" spans="1:19" x14ac:dyDescent="0.25">
      <c r="A66" s="17" t="s">
        <v>246</v>
      </c>
      <c r="B66" s="137" t="s">
        <v>247</v>
      </c>
      <c r="C66" s="84">
        <v>4273006</v>
      </c>
      <c r="D66" s="213">
        <v>0.21049999999999999</v>
      </c>
      <c r="E66" s="103">
        <f t="shared" si="22"/>
        <v>899467.76299999992</v>
      </c>
      <c r="F66" s="84"/>
      <c r="G66" s="213">
        <v>0.21049999999999999</v>
      </c>
      <c r="H66" s="103">
        <f t="shared" si="18"/>
        <v>899467.76299999992</v>
      </c>
      <c r="I66" s="44">
        <f t="shared" si="23"/>
        <v>3373538.2370000002</v>
      </c>
      <c r="J66" s="104">
        <f t="shared" si="15"/>
        <v>0</v>
      </c>
      <c r="K66" s="213">
        <v>4.7899999999999998E-2</v>
      </c>
      <c r="L66" s="104">
        <f t="shared" si="19"/>
        <v>204676.98739999998</v>
      </c>
      <c r="M66" s="214">
        <f>IF(VLOOKUP($B$2:$B$209,Netvolumenmål!$B$3:$AN$210,38,FALSE)&lt;Netvolumenmål!$AD$215,VLOOKUP($B$2:$B$209,Netvolumenmål!$B$3:$AN$210,38,FALSE)-Netvolumenmål!$AD$215,0)</f>
        <v>0</v>
      </c>
      <c r="N66" s="215">
        <f>VLOOKUP($B$2:$B$209,Netvolumenmål!$B$3:$AN$210,39,FALSE)*0.75</f>
        <v>0</v>
      </c>
      <c r="O66" s="216">
        <f t="shared" si="24"/>
        <v>4.7899999999999998E-2</v>
      </c>
      <c r="P66" s="12">
        <f t="shared" si="25"/>
        <v>204676.98739999998</v>
      </c>
      <c r="Q66" s="70">
        <f t="shared" si="20"/>
        <v>1.1975E-2</v>
      </c>
      <c r="R66" s="73">
        <f t="shared" si="26"/>
        <v>1.1975E-2</v>
      </c>
      <c r="S66" s="103">
        <f t="shared" si="21"/>
        <v>51169.246849999996</v>
      </c>
    </row>
    <row r="67" spans="1:19" x14ac:dyDescent="0.25">
      <c r="A67" s="17" t="s">
        <v>31</v>
      </c>
      <c r="B67" s="137" t="s">
        <v>248</v>
      </c>
      <c r="C67" s="84">
        <v>9317465</v>
      </c>
      <c r="D67" s="213">
        <v>0.26979999999999998</v>
      </c>
      <c r="E67" s="103">
        <f t="shared" si="22"/>
        <v>2513852.057</v>
      </c>
      <c r="F67" s="84">
        <v>269095</v>
      </c>
      <c r="G67" s="213">
        <v>0.247</v>
      </c>
      <c r="H67" s="103">
        <f t="shared" si="18"/>
        <v>2301413.855</v>
      </c>
      <c r="I67" s="44">
        <f t="shared" si="23"/>
        <v>7016051.1449999996</v>
      </c>
      <c r="J67" s="104">
        <f t="shared" si="15"/>
        <v>0</v>
      </c>
      <c r="K67" s="213">
        <v>9.0700000000000003E-2</v>
      </c>
      <c r="L67" s="104">
        <f t="shared" si="19"/>
        <v>845094.07550000004</v>
      </c>
      <c r="M67" s="214">
        <f>IF(VLOOKUP($B$2:$B$209,Netvolumenmål!$B$3:$AN$210,38,FALSE)&lt;Netvolumenmål!$AD$215,VLOOKUP($B$2:$B$209,Netvolumenmål!$B$3:$AN$210,38,FALSE)-Netvolumenmål!$AD$215,0)</f>
        <v>0</v>
      </c>
      <c r="N67" s="215">
        <f>VLOOKUP($B$2:$B$209,Netvolumenmål!$B$3:$AN$210,39,FALSE)*0.75</f>
        <v>0</v>
      </c>
      <c r="O67" s="216">
        <f t="shared" si="24"/>
        <v>9.0700000000000003E-2</v>
      </c>
      <c r="P67" s="12">
        <f t="shared" si="25"/>
        <v>845094.07550000004</v>
      </c>
      <c r="Q67" s="70">
        <f t="shared" si="20"/>
        <v>2.2675000000000001E-2</v>
      </c>
      <c r="R67" s="73">
        <f t="shared" si="26"/>
        <v>2.2675000000000001E-2</v>
      </c>
      <c r="S67" s="103">
        <f t="shared" si="21"/>
        <v>211273.51887500001</v>
      </c>
    </row>
    <row r="68" spans="1:19" x14ac:dyDescent="0.25">
      <c r="A68" s="17" t="s">
        <v>32</v>
      </c>
      <c r="B68" s="137" t="s">
        <v>249</v>
      </c>
      <c r="C68" s="84">
        <v>12190058</v>
      </c>
      <c r="D68" s="213">
        <v>0.4602</v>
      </c>
      <c r="E68" s="103">
        <f t="shared" si="22"/>
        <v>5609864.6915999996</v>
      </c>
      <c r="F68" s="84"/>
      <c r="G68" s="213">
        <v>0.4602</v>
      </c>
      <c r="H68" s="103">
        <f t="shared" si="18"/>
        <v>5609864.6915999996</v>
      </c>
      <c r="I68" s="44">
        <f t="shared" si="23"/>
        <v>6580193.3084000004</v>
      </c>
      <c r="J68" s="104">
        <f t="shared" si="15"/>
        <v>0</v>
      </c>
      <c r="K68" s="213">
        <v>0.30309999999999998</v>
      </c>
      <c r="L68" s="104">
        <f t="shared" si="19"/>
        <v>3694806.5797999999</v>
      </c>
      <c r="M68" s="214">
        <f>IF(VLOOKUP($B$2:$B$209,Netvolumenmål!$B$3:$AN$210,38,FALSE)&lt;Netvolumenmål!$AD$215,VLOOKUP($B$2:$B$209,Netvolumenmål!$B$3:$AN$210,38,FALSE)-Netvolumenmål!$AD$215,0)</f>
        <v>0</v>
      </c>
      <c r="N68" s="215">
        <f>VLOOKUP($B$2:$B$209,Netvolumenmål!$B$3:$AN$210,39,FALSE)*0.75</f>
        <v>0</v>
      </c>
      <c r="O68" s="216">
        <f t="shared" si="24"/>
        <v>0.30309999999999998</v>
      </c>
      <c r="P68" s="12">
        <f t="shared" si="25"/>
        <v>3694806.5797999999</v>
      </c>
      <c r="Q68" s="70">
        <f t="shared" si="20"/>
        <v>7.5774999999999995E-2</v>
      </c>
      <c r="R68" s="73">
        <f t="shared" si="26"/>
        <v>0.05</v>
      </c>
      <c r="S68" s="103">
        <f t="shared" si="21"/>
        <v>609502.9</v>
      </c>
    </row>
    <row r="69" spans="1:19" x14ac:dyDescent="0.25">
      <c r="A69" s="17" t="s">
        <v>250</v>
      </c>
      <c r="B69" s="137" t="s">
        <v>251</v>
      </c>
      <c r="C69" s="84">
        <v>1958501</v>
      </c>
      <c r="D69" s="213">
        <v>0.27629999999999999</v>
      </c>
      <c r="E69" s="103">
        <f t="shared" si="22"/>
        <v>541133.82629999996</v>
      </c>
      <c r="F69" s="84"/>
      <c r="G69" s="213">
        <v>0.27629999999999999</v>
      </c>
      <c r="H69" s="103">
        <f t="shared" si="18"/>
        <v>541133.82629999996</v>
      </c>
      <c r="I69" s="44">
        <f t="shared" si="23"/>
        <v>1417367.1737000002</v>
      </c>
      <c r="J69" s="104">
        <f t="shared" si="15"/>
        <v>0</v>
      </c>
      <c r="K69" s="213">
        <v>0.1211</v>
      </c>
      <c r="L69" s="104">
        <f t="shared" si="19"/>
        <v>237174.4711</v>
      </c>
      <c r="M69" s="214">
        <f>IF(VLOOKUP($B$2:$B$209,Netvolumenmål!$B$3:$AN$210,38,FALSE)&lt;Netvolumenmål!$AD$215,VLOOKUP($B$2:$B$209,Netvolumenmål!$B$3:$AN$210,38,FALSE)-Netvolumenmål!$AD$215,0)</f>
        <v>0</v>
      </c>
      <c r="N69" s="215">
        <f>VLOOKUP($B$2:$B$209,Netvolumenmål!$B$3:$AN$210,39,FALSE)*0.75</f>
        <v>0</v>
      </c>
      <c r="O69" s="216">
        <f t="shared" si="24"/>
        <v>0.1211</v>
      </c>
      <c r="P69" s="12">
        <f t="shared" si="25"/>
        <v>237174.4711</v>
      </c>
      <c r="Q69" s="70">
        <f t="shared" si="20"/>
        <v>3.0275E-2</v>
      </c>
      <c r="R69" s="73">
        <f t="shared" si="26"/>
        <v>3.0275E-2</v>
      </c>
      <c r="S69" s="103">
        <f t="shared" si="21"/>
        <v>59293.617774999999</v>
      </c>
    </row>
    <row r="70" spans="1:19" x14ac:dyDescent="0.25">
      <c r="A70" s="17" t="s">
        <v>252</v>
      </c>
      <c r="B70" s="137" t="s">
        <v>253</v>
      </c>
      <c r="C70" s="84">
        <v>5095016</v>
      </c>
      <c r="D70" s="213">
        <v>0.44879999999999998</v>
      </c>
      <c r="E70" s="103">
        <f t="shared" si="22"/>
        <v>2286643.1807999997</v>
      </c>
      <c r="F70" s="84"/>
      <c r="G70" s="213">
        <v>0.44879999999999998</v>
      </c>
      <c r="H70" s="103">
        <f t="shared" si="18"/>
        <v>2286643.1807999997</v>
      </c>
      <c r="I70" s="44">
        <f t="shared" si="23"/>
        <v>2808372.8192000003</v>
      </c>
      <c r="J70" s="104">
        <f t="shared" si="15"/>
        <v>0</v>
      </c>
      <c r="K70" s="213">
        <v>0.29249999999999998</v>
      </c>
      <c r="L70" s="104">
        <f t="shared" si="19"/>
        <v>1490292.18</v>
      </c>
      <c r="M70" s="214">
        <f>IF(VLOOKUP($B$2:$B$209,Netvolumenmål!$B$3:$AN$210,38,FALSE)&lt;Netvolumenmål!$AD$215,VLOOKUP($B$2:$B$209,Netvolumenmål!$B$3:$AN$210,38,FALSE)-Netvolumenmål!$AD$215,0)</f>
        <v>0</v>
      </c>
      <c r="N70" s="215">
        <f>VLOOKUP($B$2:$B$209,Netvolumenmål!$B$3:$AN$210,39,FALSE)*0.75</f>
        <v>0</v>
      </c>
      <c r="O70" s="216">
        <f t="shared" si="24"/>
        <v>0.29249999999999998</v>
      </c>
      <c r="P70" s="12">
        <f t="shared" si="25"/>
        <v>1490292.18</v>
      </c>
      <c r="Q70" s="70">
        <f t="shared" si="20"/>
        <v>7.3124999999999996E-2</v>
      </c>
      <c r="R70" s="73">
        <f t="shared" si="26"/>
        <v>0.05</v>
      </c>
      <c r="S70" s="103">
        <f t="shared" si="21"/>
        <v>254750.80000000002</v>
      </c>
    </row>
    <row r="71" spans="1:19" x14ac:dyDescent="0.25">
      <c r="A71" s="17" t="s">
        <v>254</v>
      </c>
      <c r="B71" s="137" t="s">
        <v>255</v>
      </c>
      <c r="C71" s="84">
        <v>5784979</v>
      </c>
      <c r="D71" s="213">
        <v>0.57969999999999999</v>
      </c>
      <c r="E71" s="103">
        <f t="shared" si="22"/>
        <v>3353552.3262999998</v>
      </c>
      <c r="F71" s="84"/>
      <c r="G71" s="213">
        <v>0.57969999999999999</v>
      </c>
      <c r="H71" s="103">
        <f t="shared" si="18"/>
        <v>3353552.3262999998</v>
      </c>
      <c r="I71" s="44">
        <f t="shared" si="23"/>
        <v>2431426.6737000002</v>
      </c>
      <c r="J71" s="104">
        <f t="shared" si="15"/>
        <v>0</v>
      </c>
      <c r="K71" s="213">
        <v>0.4234</v>
      </c>
      <c r="L71" s="104">
        <f t="shared" si="19"/>
        <v>2449360.1085999999</v>
      </c>
      <c r="M71" s="214">
        <f>IF(VLOOKUP($B$2:$B$209,Netvolumenmål!$B$3:$AN$210,38,FALSE)&lt;Netvolumenmål!$AD$215,VLOOKUP($B$2:$B$209,Netvolumenmål!$B$3:$AN$210,38,FALSE)-Netvolumenmål!$AD$215,0)</f>
        <v>-3.7502567506373444E-2</v>
      </c>
      <c r="N71" s="215">
        <f>VLOOKUP($B$2:$B$209,Netvolumenmål!$B$3:$AN$210,39,FALSE)*0.75</f>
        <v>-1.598453183540402E-2</v>
      </c>
      <c r="O71" s="216">
        <f t="shared" si="24"/>
        <v>0.40741546816459595</v>
      </c>
      <c r="P71" s="12">
        <f t="shared" si="25"/>
        <v>2356889.9276073561</v>
      </c>
      <c r="Q71" s="70">
        <f t="shared" si="20"/>
        <v>0.10185386704114899</v>
      </c>
      <c r="R71" s="73">
        <f t="shared" si="26"/>
        <v>0.05</v>
      </c>
      <c r="S71" s="103">
        <f t="shared" si="21"/>
        <v>289248.95</v>
      </c>
    </row>
    <row r="72" spans="1:19" x14ac:dyDescent="0.25">
      <c r="A72" s="17" t="s">
        <v>256</v>
      </c>
      <c r="B72" s="137" t="s">
        <v>257</v>
      </c>
      <c r="C72" s="84">
        <v>2299350</v>
      </c>
      <c r="D72" s="213">
        <v>0.24690000000000001</v>
      </c>
      <c r="E72" s="103">
        <f t="shared" si="22"/>
        <v>567709.51500000001</v>
      </c>
      <c r="F72" s="84"/>
      <c r="G72" s="213">
        <v>0.24690000000000001</v>
      </c>
      <c r="H72" s="103">
        <f t="shared" si="18"/>
        <v>567709.51500000001</v>
      </c>
      <c r="I72" s="44">
        <f t="shared" si="23"/>
        <v>1731640.4849999999</v>
      </c>
      <c r="J72" s="104">
        <f t="shared" si="15"/>
        <v>0</v>
      </c>
      <c r="K72" s="213">
        <v>8.5699999999999998E-2</v>
      </c>
      <c r="L72" s="104">
        <f t="shared" si="19"/>
        <v>197054.29499999998</v>
      </c>
      <c r="M72" s="214">
        <f>IF(VLOOKUP($B$2:$B$209,Netvolumenmål!$B$3:$AN$210,38,FALSE)&lt;Netvolumenmål!$AD$215,VLOOKUP($B$2:$B$209,Netvolumenmål!$B$3:$AN$210,38,FALSE)-Netvolumenmål!$AD$215,0)</f>
        <v>0</v>
      </c>
      <c r="N72" s="215">
        <f>VLOOKUP($B$2:$B$209,Netvolumenmål!$B$3:$AN$210,39,FALSE)*0.75</f>
        <v>0</v>
      </c>
      <c r="O72" s="216">
        <f t="shared" si="24"/>
        <v>8.5699999999999998E-2</v>
      </c>
      <c r="P72" s="12">
        <f t="shared" si="25"/>
        <v>197054.29499999998</v>
      </c>
      <c r="Q72" s="70">
        <f t="shared" si="20"/>
        <v>2.1425E-2</v>
      </c>
      <c r="R72" s="73">
        <f t="shared" si="26"/>
        <v>2.1425E-2</v>
      </c>
      <c r="S72" s="103">
        <f t="shared" si="21"/>
        <v>49263.573749999996</v>
      </c>
    </row>
    <row r="73" spans="1:19" x14ac:dyDescent="0.25">
      <c r="A73" s="17" t="s">
        <v>258</v>
      </c>
      <c r="B73" s="137" t="s">
        <v>259</v>
      </c>
      <c r="C73" s="84">
        <v>1610932</v>
      </c>
      <c r="D73" s="213">
        <v>6.3299999999999995E-2</v>
      </c>
      <c r="E73" s="103">
        <f t="shared" si="22"/>
        <v>101971.99559999999</v>
      </c>
      <c r="F73" s="84"/>
      <c r="G73" s="213">
        <v>6.3299999999999995E-2</v>
      </c>
      <c r="H73" s="103">
        <f t="shared" si="18"/>
        <v>101971.99559999999</v>
      </c>
      <c r="I73" s="44">
        <f t="shared" si="23"/>
        <v>1508960.0044</v>
      </c>
      <c r="J73" s="104">
        <f t="shared" si="15"/>
        <v>0</v>
      </c>
      <c r="K73" s="213">
        <v>0</v>
      </c>
      <c r="L73" s="104">
        <f t="shared" si="19"/>
        <v>0</v>
      </c>
      <c r="M73" s="214">
        <f>IF(VLOOKUP($B$2:$B$209,Netvolumenmål!$B$3:$AN$210,38,FALSE)&lt;Netvolumenmål!$AD$215,VLOOKUP($B$2:$B$209,Netvolumenmål!$B$3:$AN$210,38,FALSE)-Netvolumenmål!$AD$215,0)</f>
        <v>0</v>
      </c>
      <c r="N73" s="215">
        <f>VLOOKUP($B$2:$B$209,Netvolumenmål!$B$3:$AN$210,39,FALSE)*0.75</f>
        <v>0</v>
      </c>
      <c r="O73" s="216">
        <f t="shared" si="24"/>
        <v>0</v>
      </c>
      <c r="P73" s="12">
        <f t="shared" si="25"/>
        <v>0</v>
      </c>
      <c r="Q73" s="70">
        <f t="shared" si="20"/>
        <v>0</v>
      </c>
      <c r="R73" s="73">
        <f t="shared" si="26"/>
        <v>0</v>
      </c>
      <c r="S73" s="103">
        <f t="shared" si="21"/>
        <v>0</v>
      </c>
    </row>
    <row r="74" spans="1:19" x14ac:dyDescent="0.25">
      <c r="A74" s="17" t="s">
        <v>34</v>
      </c>
      <c r="B74" s="137" t="s">
        <v>260</v>
      </c>
      <c r="C74" s="84">
        <v>2142069</v>
      </c>
      <c r="D74" s="213">
        <v>0.19750000000000001</v>
      </c>
      <c r="E74" s="103">
        <f t="shared" si="22"/>
        <v>423058.6275</v>
      </c>
      <c r="F74" s="84"/>
      <c r="G74" s="213">
        <v>0.19750000000000001</v>
      </c>
      <c r="H74" s="103">
        <f t="shared" si="18"/>
        <v>423058.6275</v>
      </c>
      <c r="I74" s="44">
        <f t="shared" si="23"/>
        <v>1719010.3725000001</v>
      </c>
      <c r="J74" s="104">
        <f t="shared" si="15"/>
        <v>0</v>
      </c>
      <c r="K74" s="213">
        <v>4.3400000000000001E-2</v>
      </c>
      <c r="L74" s="104">
        <f t="shared" si="19"/>
        <v>92965.794600000008</v>
      </c>
      <c r="M74" s="214">
        <f>IF(VLOOKUP($B$2:$B$209,Netvolumenmål!$B$3:$AN$210,38,FALSE)&lt;Netvolumenmål!$AD$215,VLOOKUP($B$2:$B$209,Netvolumenmål!$B$3:$AN$210,38,FALSE)-Netvolumenmål!$AD$215,0)</f>
        <v>0</v>
      </c>
      <c r="N74" s="215">
        <f>VLOOKUP($B$2:$B$209,Netvolumenmål!$B$3:$AN$210,39,FALSE)*0.75</f>
        <v>0</v>
      </c>
      <c r="O74" s="216">
        <f t="shared" si="24"/>
        <v>4.3400000000000001E-2</v>
      </c>
      <c r="P74" s="12">
        <f t="shared" si="25"/>
        <v>92965.794600000008</v>
      </c>
      <c r="Q74" s="70">
        <f t="shared" si="20"/>
        <v>1.085E-2</v>
      </c>
      <c r="R74" s="73">
        <f t="shared" si="26"/>
        <v>1.085E-2</v>
      </c>
      <c r="S74" s="103">
        <f t="shared" si="21"/>
        <v>23241.448650000002</v>
      </c>
    </row>
    <row r="75" spans="1:19" x14ac:dyDescent="0.25">
      <c r="A75" s="17" t="s">
        <v>35</v>
      </c>
      <c r="B75" s="137" t="s">
        <v>261</v>
      </c>
      <c r="C75" s="84">
        <v>5166899</v>
      </c>
      <c r="D75" s="213">
        <v>0.63959999999999995</v>
      </c>
      <c r="E75" s="103">
        <f t="shared" si="22"/>
        <v>3304748.6003999999</v>
      </c>
      <c r="F75" s="84"/>
      <c r="G75" s="213">
        <v>0.63959999999999995</v>
      </c>
      <c r="H75" s="103">
        <f t="shared" si="18"/>
        <v>3304748.6003999999</v>
      </c>
      <c r="I75" s="44">
        <f t="shared" si="23"/>
        <v>1862150.3996000001</v>
      </c>
      <c r="J75" s="104">
        <f t="shared" si="15"/>
        <v>0</v>
      </c>
      <c r="K75" s="213">
        <v>0.47839999999999999</v>
      </c>
      <c r="L75" s="104">
        <f t="shared" si="19"/>
        <v>2471844.4816000001</v>
      </c>
      <c r="M75" s="214">
        <f>IF(VLOOKUP($B$2:$B$209,Netvolumenmål!$B$3:$AN$210,38,FALSE)&lt;Netvolumenmål!$AD$215,VLOOKUP($B$2:$B$209,Netvolumenmål!$B$3:$AN$210,38,FALSE)-Netvolumenmål!$AD$215,0)</f>
        <v>0</v>
      </c>
      <c r="N75" s="215">
        <f>VLOOKUP($B$2:$B$209,Netvolumenmål!$B$3:$AN$210,39,FALSE)*0.75</f>
        <v>0</v>
      </c>
      <c r="O75" s="216">
        <f t="shared" si="24"/>
        <v>0.47839999999999999</v>
      </c>
      <c r="P75" s="12">
        <f t="shared" si="25"/>
        <v>2471844.4816000001</v>
      </c>
      <c r="Q75" s="70">
        <f t="shared" si="20"/>
        <v>0.1196</v>
      </c>
      <c r="R75" s="73">
        <f t="shared" si="26"/>
        <v>0.05</v>
      </c>
      <c r="S75" s="103">
        <f t="shared" si="21"/>
        <v>258344.95</v>
      </c>
    </row>
    <row r="76" spans="1:19" x14ac:dyDescent="0.25">
      <c r="A76" s="17" t="s">
        <v>36</v>
      </c>
      <c r="B76" s="137" t="s">
        <v>262</v>
      </c>
      <c r="C76" s="84">
        <v>16372996</v>
      </c>
      <c r="D76" s="213">
        <v>0.22090000000000001</v>
      </c>
      <c r="E76" s="103">
        <f t="shared" si="22"/>
        <v>3616794.8164000004</v>
      </c>
      <c r="F76" s="84">
        <v>56670</v>
      </c>
      <c r="G76" s="213">
        <v>0.21859999999999999</v>
      </c>
      <c r="H76" s="103">
        <f>G76*C76</f>
        <v>3579136.9255999997</v>
      </c>
      <c r="I76" s="44">
        <f t="shared" si="23"/>
        <v>12793859.0744</v>
      </c>
      <c r="J76" s="104">
        <f t="shared" si="15"/>
        <v>0</v>
      </c>
      <c r="K76" s="213">
        <v>5.6000000000000001E-2</v>
      </c>
      <c r="L76" s="104">
        <f t="shared" si="19"/>
        <v>916887.77600000007</v>
      </c>
      <c r="M76" s="214">
        <f>IF(VLOOKUP($B$2:$B$209,Netvolumenmål!$B$3:$AN$210,38,FALSE)&lt;Netvolumenmål!$AD$215,VLOOKUP($B$2:$B$209,Netvolumenmål!$B$3:$AN$210,38,FALSE)-Netvolumenmål!$AD$215,0)</f>
        <v>0</v>
      </c>
      <c r="N76" s="215">
        <f>VLOOKUP($B$2:$B$209,Netvolumenmål!$B$3:$AN$210,39,FALSE)*0.75</f>
        <v>0</v>
      </c>
      <c r="O76" s="216">
        <f t="shared" si="24"/>
        <v>5.6000000000000001E-2</v>
      </c>
      <c r="P76" s="12">
        <f t="shared" si="25"/>
        <v>916887.77600000007</v>
      </c>
      <c r="Q76" s="70">
        <f t="shared" si="20"/>
        <v>1.4E-2</v>
      </c>
      <c r="R76" s="73">
        <f t="shared" si="26"/>
        <v>1.4E-2</v>
      </c>
      <c r="S76" s="103">
        <f t="shared" si="21"/>
        <v>229221.94400000002</v>
      </c>
    </row>
    <row r="77" spans="1:19" x14ac:dyDescent="0.25">
      <c r="A77" s="17" t="s">
        <v>263</v>
      </c>
      <c r="B77" s="137" t="s">
        <v>264</v>
      </c>
      <c r="C77" s="84">
        <v>9380460</v>
      </c>
      <c r="D77" s="213">
        <v>0.42099999999999999</v>
      </c>
      <c r="E77" s="103">
        <f t="shared" si="22"/>
        <v>3949173.6599999997</v>
      </c>
      <c r="F77" s="84">
        <v>0</v>
      </c>
      <c r="G77" s="213">
        <v>0.42099999999999999</v>
      </c>
      <c r="H77" s="103">
        <f t="shared" si="18"/>
        <v>3949173.6599999997</v>
      </c>
      <c r="I77" s="44">
        <f t="shared" si="23"/>
        <v>5431286.3399999999</v>
      </c>
      <c r="J77" s="104">
        <f t="shared" si="15"/>
        <v>0</v>
      </c>
      <c r="K77" s="213">
        <v>0.26469999999999999</v>
      </c>
      <c r="L77" s="104">
        <f t="shared" si="19"/>
        <v>2483007.7620000001</v>
      </c>
      <c r="M77" s="214">
        <f>IF(VLOOKUP($B$2:$B$209,Netvolumenmål!$B$3:$AN$210,38,FALSE)&lt;Netvolumenmål!$AD$215,VLOOKUP($B$2:$B$209,Netvolumenmål!$B$3:$AN$210,38,FALSE)-Netvolumenmål!$AD$215,0)</f>
        <v>0</v>
      </c>
      <c r="N77" s="215">
        <f>VLOOKUP($B$2:$B$209,Netvolumenmål!$B$3:$AN$210,39,FALSE)*0.75</f>
        <v>0</v>
      </c>
      <c r="O77" s="216">
        <f t="shared" si="24"/>
        <v>0.26469999999999999</v>
      </c>
      <c r="P77" s="12">
        <f t="shared" si="25"/>
        <v>2483007.7620000001</v>
      </c>
      <c r="Q77" s="70">
        <f t="shared" si="20"/>
        <v>6.6174999999999998E-2</v>
      </c>
      <c r="R77" s="73">
        <f t="shared" si="26"/>
        <v>0.05</v>
      </c>
      <c r="S77" s="103">
        <f t="shared" si="21"/>
        <v>469023</v>
      </c>
    </row>
    <row r="78" spans="1:19" x14ac:dyDescent="0.25">
      <c r="A78" s="17" t="s">
        <v>265</v>
      </c>
      <c r="B78" s="137" t="s">
        <v>266</v>
      </c>
      <c r="C78" s="84">
        <v>1872967</v>
      </c>
      <c r="D78" s="213">
        <v>0.13600000000000001</v>
      </c>
      <c r="E78" s="103">
        <f>C78*D78</f>
        <v>254723.51200000002</v>
      </c>
      <c r="F78" s="84"/>
      <c r="G78" s="213">
        <v>0.13600000000000001</v>
      </c>
      <c r="H78" s="103">
        <f t="shared" si="18"/>
        <v>254723.51200000002</v>
      </c>
      <c r="I78" s="44">
        <f t="shared" si="23"/>
        <v>1618243.4879999999</v>
      </c>
      <c r="J78" s="104">
        <f t="shared" si="15"/>
        <v>0</v>
      </c>
      <c r="K78" s="213">
        <v>0</v>
      </c>
      <c r="L78" s="104">
        <f t="shared" si="19"/>
        <v>0</v>
      </c>
      <c r="M78" s="214">
        <f>IF(VLOOKUP($B$2:$B$209,Netvolumenmål!$B$3:$AN$210,38,FALSE)&lt;Netvolumenmål!$AD$215,VLOOKUP($B$2:$B$209,Netvolumenmål!$B$3:$AN$210,38,FALSE)-Netvolumenmål!$AD$215,0)</f>
        <v>0</v>
      </c>
      <c r="N78" s="215">
        <f>VLOOKUP($B$2:$B$209,Netvolumenmål!$B$3:$AN$210,39,FALSE)*0.75</f>
        <v>0</v>
      </c>
      <c r="O78" s="216">
        <f t="shared" si="24"/>
        <v>0</v>
      </c>
      <c r="P78" s="12">
        <f t="shared" si="25"/>
        <v>0</v>
      </c>
      <c r="Q78" s="70">
        <f t="shared" si="20"/>
        <v>0</v>
      </c>
      <c r="R78" s="73">
        <f t="shared" si="26"/>
        <v>0</v>
      </c>
      <c r="S78" s="103">
        <f t="shared" si="21"/>
        <v>0</v>
      </c>
    </row>
    <row r="79" spans="1:19" x14ac:dyDescent="0.25">
      <c r="A79" s="17" t="s">
        <v>267</v>
      </c>
      <c r="B79" s="137" t="s">
        <v>268</v>
      </c>
      <c r="C79" s="84">
        <v>3791362</v>
      </c>
      <c r="D79" s="213">
        <v>2.01E-2</v>
      </c>
      <c r="E79" s="103">
        <f t="shared" si="22"/>
        <v>76206.376199999999</v>
      </c>
      <c r="F79" s="84"/>
      <c r="G79" s="213">
        <v>2.01E-2</v>
      </c>
      <c r="H79" s="103">
        <f t="shared" si="18"/>
        <v>76206.376199999999</v>
      </c>
      <c r="I79" s="44">
        <f t="shared" si="23"/>
        <v>3715155.6238000002</v>
      </c>
      <c r="J79" s="104">
        <f t="shared" si="15"/>
        <v>0</v>
      </c>
      <c r="K79" s="213">
        <v>0</v>
      </c>
      <c r="L79" s="104">
        <f t="shared" si="19"/>
        <v>0</v>
      </c>
      <c r="M79" s="214">
        <f>IF(VLOOKUP($B$2:$B$209,Netvolumenmål!$B$3:$AN$210,38,FALSE)&lt;Netvolumenmål!$AD$215,VLOOKUP($B$2:$B$209,Netvolumenmål!$B$3:$AN$210,38,FALSE)-Netvolumenmål!$AD$215,0)</f>
        <v>0</v>
      </c>
      <c r="N79" s="215">
        <f>VLOOKUP($B$2:$B$209,Netvolumenmål!$B$3:$AN$210,39,FALSE)*0.75</f>
        <v>0</v>
      </c>
      <c r="O79" s="216">
        <f t="shared" si="24"/>
        <v>0</v>
      </c>
      <c r="P79" s="12">
        <f t="shared" si="25"/>
        <v>0</v>
      </c>
      <c r="Q79" s="70">
        <f t="shared" si="20"/>
        <v>0</v>
      </c>
      <c r="R79" s="73">
        <f t="shared" si="26"/>
        <v>0</v>
      </c>
      <c r="S79" s="103">
        <f t="shared" si="21"/>
        <v>0</v>
      </c>
    </row>
    <row r="80" spans="1:19" x14ac:dyDescent="0.25">
      <c r="A80" s="17" t="s">
        <v>269</v>
      </c>
      <c r="B80" s="137" t="s">
        <v>270</v>
      </c>
      <c r="C80" s="84">
        <v>16528025</v>
      </c>
      <c r="D80" s="213">
        <v>0.25</v>
      </c>
      <c r="E80" s="103">
        <f t="shared" si="22"/>
        <v>4132006.25</v>
      </c>
      <c r="F80" s="84"/>
      <c r="G80" s="213">
        <v>0.25</v>
      </c>
      <c r="H80" s="103">
        <f t="shared" si="18"/>
        <v>4132006.25</v>
      </c>
      <c r="I80" s="44">
        <f t="shared" si="23"/>
        <v>12396018.75</v>
      </c>
      <c r="J80" s="104">
        <f t="shared" si="15"/>
        <v>0</v>
      </c>
      <c r="K80" s="213">
        <v>8.8800000000000004E-2</v>
      </c>
      <c r="L80" s="104">
        <f t="shared" si="19"/>
        <v>1467688.62</v>
      </c>
      <c r="M80" s="214">
        <f>IF(VLOOKUP($B$2:$B$209,Netvolumenmål!$B$3:$AN$210,38,FALSE)&lt;Netvolumenmål!$AD$215,VLOOKUP($B$2:$B$209,Netvolumenmål!$B$3:$AN$210,38,FALSE)-Netvolumenmål!$AD$215,0)</f>
        <v>0</v>
      </c>
      <c r="N80" s="215">
        <f>VLOOKUP($B$2:$B$209,Netvolumenmål!$B$3:$AN$210,39,FALSE)*0.75</f>
        <v>0</v>
      </c>
      <c r="O80" s="216">
        <f t="shared" si="24"/>
        <v>8.8800000000000004E-2</v>
      </c>
      <c r="P80" s="12">
        <f t="shared" si="25"/>
        <v>1467688.62</v>
      </c>
      <c r="Q80" s="70">
        <f t="shared" si="20"/>
        <v>2.2200000000000001E-2</v>
      </c>
      <c r="R80" s="73">
        <f t="shared" si="26"/>
        <v>2.2200000000000001E-2</v>
      </c>
      <c r="S80" s="103">
        <f t="shared" si="21"/>
        <v>366922.15500000003</v>
      </c>
    </row>
    <row r="81" spans="1:19" x14ac:dyDescent="0.25">
      <c r="A81" s="17" t="s">
        <v>271</v>
      </c>
      <c r="B81" s="137" t="s">
        <v>272</v>
      </c>
      <c r="C81" s="84">
        <v>10248041</v>
      </c>
      <c r="D81" s="213">
        <v>0.63919999999999999</v>
      </c>
      <c r="E81" s="103">
        <f t="shared" si="22"/>
        <v>6550547.8071999997</v>
      </c>
      <c r="F81" s="84">
        <v>60007</v>
      </c>
      <c r="G81" s="213">
        <v>0.63219999999999998</v>
      </c>
      <c r="H81" s="103">
        <f t="shared" si="18"/>
        <v>6478811.5202000001</v>
      </c>
      <c r="I81" s="44">
        <f t="shared" si="23"/>
        <v>3769229.4797999999</v>
      </c>
      <c r="J81" s="104">
        <f t="shared" si="15"/>
        <v>0</v>
      </c>
      <c r="K81" s="213">
        <v>0.47820000000000001</v>
      </c>
      <c r="L81" s="104">
        <f t="shared" si="19"/>
        <v>4900613.2061999999</v>
      </c>
      <c r="M81" s="214">
        <f>IF(VLOOKUP($B$2:$B$209,Netvolumenmål!$B$3:$AN$210,38,FALSE)&lt;Netvolumenmål!$AD$215,VLOOKUP($B$2:$B$209,Netvolumenmål!$B$3:$AN$210,38,FALSE)-Netvolumenmål!$AD$215,0)</f>
        <v>-9.1571526611527967E-2</v>
      </c>
      <c r="N81" s="215">
        <f>VLOOKUP($B$2:$B$209,Netvolumenmål!$B$3:$AN$210,39,FALSE)*0.75</f>
        <v>-3.9030073929998507E-2</v>
      </c>
      <c r="O81" s="216">
        <f t="shared" si="24"/>
        <v>0.43916992607000149</v>
      </c>
      <c r="P81" s="12">
        <f t="shared" si="25"/>
        <v>4500631.4083323441</v>
      </c>
      <c r="Q81" s="70">
        <f t="shared" si="20"/>
        <v>0.10979248151750037</v>
      </c>
      <c r="R81" s="73">
        <f t="shared" si="26"/>
        <v>0.05</v>
      </c>
      <c r="S81" s="103">
        <f t="shared" si="21"/>
        <v>512402.05000000005</v>
      </c>
    </row>
    <row r="82" spans="1:19" x14ac:dyDescent="0.25">
      <c r="A82" s="17" t="s">
        <v>117</v>
      </c>
      <c r="B82" s="137" t="s">
        <v>273</v>
      </c>
      <c r="C82" s="84">
        <v>8590118</v>
      </c>
      <c r="D82" s="213">
        <v>0.48699999999999999</v>
      </c>
      <c r="E82" s="103">
        <f t="shared" si="22"/>
        <v>4183387.466</v>
      </c>
      <c r="F82" s="84">
        <v>67130</v>
      </c>
      <c r="G82" s="213">
        <v>0.48159999999999997</v>
      </c>
      <c r="H82" s="103">
        <f t="shared" si="18"/>
        <v>4137000.8287999998</v>
      </c>
      <c r="I82" s="44">
        <f t="shared" si="23"/>
        <v>4453117.1711999997</v>
      </c>
      <c r="J82" s="104">
        <f t="shared" si="15"/>
        <v>0</v>
      </c>
      <c r="K82" s="213">
        <v>0.32</v>
      </c>
      <c r="L82" s="104">
        <f t="shared" si="19"/>
        <v>2748837.7600000002</v>
      </c>
      <c r="M82" s="214">
        <f>IF(VLOOKUP($B$2:$B$209,Netvolumenmål!$B$3:$AN$210,38,FALSE)&lt;Netvolumenmål!$AD$215,VLOOKUP($B$2:$B$209,Netvolumenmål!$B$3:$AN$210,38,FALSE)-Netvolumenmål!$AD$215,0)</f>
        <v>0</v>
      </c>
      <c r="N82" s="215">
        <f>VLOOKUP($B$2:$B$209,Netvolumenmål!$B$3:$AN$210,39,FALSE)*0.75</f>
        <v>0</v>
      </c>
      <c r="O82" s="216">
        <f t="shared" si="24"/>
        <v>0.32</v>
      </c>
      <c r="P82" s="12">
        <f t="shared" si="25"/>
        <v>2748837.7600000002</v>
      </c>
      <c r="Q82" s="70">
        <f t="shared" si="20"/>
        <v>0.08</v>
      </c>
      <c r="R82" s="73">
        <f t="shared" si="26"/>
        <v>0.05</v>
      </c>
      <c r="S82" s="103">
        <f t="shared" si="21"/>
        <v>429505.9</v>
      </c>
    </row>
    <row r="83" spans="1:19" x14ac:dyDescent="0.25">
      <c r="A83" s="17" t="s">
        <v>274</v>
      </c>
      <c r="B83" s="137" t="s">
        <v>275</v>
      </c>
      <c r="C83" s="84">
        <v>5001939</v>
      </c>
      <c r="D83" s="213">
        <v>0.4909</v>
      </c>
      <c r="E83" s="103">
        <f t="shared" si="22"/>
        <v>2455451.8550999998</v>
      </c>
      <c r="F83" s="84">
        <v>39109</v>
      </c>
      <c r="G83" s="213">
        <v>0.48399999999999999</v>
      </c>
      <c r="H83" s="103">
        <f t="shared" si="18"/>
        <v>2420938.4759999998</v>
      </c>
      <c r="I83" s="44">
        <f t="shared" si="23"/>
        <v>2581000.5240000002</v>
      </c>
      <c r="J83" s="104">
        <f t="shared" si="15"/>
        <v>0</v>
      </c>
      <c r="K83" s="213">
        <v>0.32990000000000003</v>
      </c>
      <c r="L83" s="104">
        <f t="shared" si="19"/>
        <v>1650139.6761</v>
      </c>
      <c r="M83" s="214">
        <f>IF(VLOOKUP($B$2:$B$209,Netvolumenmål!$B$3:$AN$210,38,FALSE)&lt;Netvolumenmål!$AD$215,VLOOKUP($B$2:$B$209,Netvolumenmål!$B$3:$AN$210,38,FALSE)-Netvolumenmål!$AD$215,0)</f>
        <v>-4.0946713610650345E-2</v>
      </c>
      <c r="N83" s="215">
        <f>VLOOKUP($B$2:$B$209,Netvolumenmål!$B$3:$AN$210,39,FALSE)*0.75</f>
        <v>-1.7452513008699447E-2</v>
      </c>
      <c r="O83" s="216">
        <f t="shared" si="24"/>
        <v>0.31244748699130059</v>
      </c>
      <c r="P83" s="12">
        <f t="shared" si="25"/>
        <v>1562843.270633779</v>
      </c>
      <c r="Q83" s="70">
        <f t="shared" si="20"/>
        <v>7.8111871747825148E-2</v>
      </c>
      <c r="R83" s="73">
        <f t="shared" si="26"/>
        <v>0.05</v>
      </c>
      <c r="S83" s="103">
        <f t="shared" si="21"/>
        <v>250096.95</v>
      </c>
    </row>
    <row r="84" spans="1:19" x14ac:dyDescent="0.25">
      <c r="A84" s="17" t="s">
        <v>276</v>
      </c>
      <c r="B84" s="137" t="s">
        <v>277</v>
      </c>
      <c r="C84" s="84">
        <v>8630161</v>
      </c>
      <c r="D84" s="213">
        <v>0.59789999999999999</v>
      </c>
      <c r="E84" s="103">
        <f t="shared" si="22"/>
        <v>5159973.2619000003</v>
      </c>
      <c r="F84" s="84">
        <v>373723</v>
      </c>
      <c r="G84" s="213">
        <v>0.56220000000000003</v>
      </c>
      <c r="H84" s="103">
        <f t="shared" ref="H84:H145" si="27">G84*C84</f>
        <v>4851876.5142000001</v>
      </c>
      <c r="I84" s="44">
        <f t="shared" ref="I84:I145" si="28">IF(G84&gt;0,C84-H84,"Over fronten")</f>
        <v>3778284.4857999999</v>
      </c>
      <c r="J84" s="104">
        <f t="shared" si="15"/>
        <v>0</v>
      </c>
      <c r="K84" s="213">
        <v>0.40589999999999998</v>
      </c>
      <c r="L84" s="104">
        <f t="shared" si="19"/>
        <v>3502982.3498999998</v>
      </c>
      <c r="M84" s="214">
        <f>IF(VLOOKUP($B$2:$B$209,Netvolumenmål!$B$3:$AN$210,38,FALSE)&lt;Netvolumenmål!$AD$215,VLOOKUP($B$2:$B$209,Netvolumenmål!$B$3:$AN$210,38,FALSE)-Netvolumenmål!$AD$215,0)</f>
        <v>0</v>
      </c>
      <c r="N84" s="215">
        <f>VLOOKUP($B$2:$B$209,Netvolumenmål!$B$3:$AN$210,39,FALSE)*0.75</f>
        <v>0</v>
      </c>
      <c r="O84" s="216">
        <f t="shared" ref="O84:O145" si="29">IF(K84=0,0,IF(K84&lt;-N84,0,K84+N84))</f>
        <v>0.40589999999999998</v>
      </c>
      <c r="P84" s="12">
        <f t="shared" ref="P84:P145" si="30">O84*C84</f>
        <v>3502982.3498999998</v>
      </c>
      <c r="Q84" s="70">
        <f t="shared" ref="Q84:Q145" si="31">O84/4</f>
        <v>0.101475</v>
      </c>
      <c r="R84" s="73">
        <f t="shared" ref="R84:R145" si="32">IF(Q84&gt;0.01,IF(Q84&gt;0.05,0.05,Q84),0)</f>
        <v>0.05</v>
      </c>
      <c r="S84" s="103">
        <f t="shared" ref="S84:S145" si="33">R84*C84</f>
        <v>431508.05000000005</v>
      </c>
    </row>
    <row r="85" spans="1:19" x14ac:dyDescent="0.25">
      <c r="A85" s="17" t="s">
        <v>118</v>
      </c>
      <c r="B85" s="137" t="s">
        <v>278</v>
      </c>
      <c r="C85" s="84">
        <v>11740795</v>
      </c>
      <c r="D85" s="213">
        <v>0.44269999999999998</v>
      </c>
      <c r="E85" s="103">
        <f t="shared" si="22"/>
        <v>5197649.9464999996</v>
      </c>
      <c r="F85" s="84">
        <v>134758</v>
      </c>
      <c r="G85" s="213">
        <v>0.43309999999999998</v>
      </c>
      <c r="H85" s="103">
        <f t="shared" si="27"/>
        <v>5084938.3144999994</v>
      </c>
      <c r="I85" s="44">
        <f t="shared" si="28"/>
        <v>6655856.6855000006</v>
      </c>
      <c r="J85" s="104">
        <f t="shared" si="15"/>
        <v>0</v>
      </c>
      <c r="K85" s="213">
        <v>0.27679999999999999</v>
      </c>
      <c r="L85" s="104">
        <f t="shared" si="19"/>
        <v>3249852.0559999999</v>
      </c>
      <c r="M85" s="214">
        <f>IF(VLOOKUP($B$2:$B$209,Netvolumenmål!$B$3:$AN$210,38,FALSE)&lt;Netvolumenmål!$AD$215,VLOOKUP($B$2:$B$209,Netvolumenmål!$B$3:$AN$210,38,FALSE)-Netvolumenmål!$AD$215,0)</f>
        <v>0</v>
      </c>
      <c r="N85" s="215">
        <f>VLOOKUP($B$2:$B$209,Netvolumenmål!$B$3:$AN$210,39,FALSE)*0.75</f>
        <v>0</v>
      </c>
      <c r="O85" s="216">
        <f t="shared" si="29"/>
        <v>0.27679999999999999</v>
      </c>
      <c r="P85" s="12">
        <f t="shared" si="30"/>
        <v>3249852.0559999999</v>
      </c>
      <c r="Q85" s="70">
        <f t="shared" si="31"/>
        <v>6.9199999999999998E-2</v>
      </c>
      <c r="R85" s="73">
        <f t="shared" si="32"/>
        <v>0.05</v>
      </c>
      <c r="S85" s="103">
        <f t="shared" si="33"/>
        <v>587039.75</v>
      </c>
    </row>
    <row r="86" spans="1:19" x14ac:dyDescent="0.25">
      <c r="A86" s="17" t="s">
        <v>119</v>
      </c>
      <c r="B86" s="137" t="s">
        <v>279</v>
      </c>
      <c r="C86" s="84">
        <v>210428696</v>
      </c>
      <c r="D86" s="213">
        <v>0.29649999999999999</v>
      </c>
      <c r="E86" s="103">
        <f t="shared" si="22"/>
        <v>62392108.364</v>
      </c>
      <c r="F86" s="84">
        <v>10495149</v>
      </c>
      <c r="G86" s="213">
        <v>0.25569999999999998</v>
      </c>
      <c r="H86" s="103">
        <f t="shared" si="27"/>
        <v>53806617.567199998</v>
      </c>
      <c r="I86" s="44">
        <f t="shared" si="28"/>
        <v>156622078.43279999</v>
      </c>
      <c r="J86" s="104">
        <f t="shared" si="15"/>
        <v>0</v>
      </c>
      <c r="K86" s="213">
        <v>0.12429999999999999</v>
      </c>
      <c r="L86" s="104">
        <f t="shared" si="19"/>
        <v>26156286.912799999</v>
      </c>
      <c r="M86" s="214">
        <f>IF(VLOOKUP($B$2:$B$209,Netvolumenmål!$B$3:$AN$210,38,FALSE)&lt;Netvolumenmål!$AD$215,VLOOKUP($B$2:$B$209,Netvolumenmål!$B$3:$AN$210,38,FALSE)-Netvolumenmål!$AD$215,0)</f>
        <v>0</v>
      </c>
      <c r="N86" s="215">
        <f>VLOOKUP($B$2:$B$209,Netvolumenmål!$B$3:$AN$210,39,FALSE)*0.75</f>
        <v>0</v>
      </c>
      <c r="O86" s="216">
        <f t="shared" si="29"/>
        <v>0.12429999999999999</v>
      </c>
      <c r="P86" s="12">
        <f t="shared" si="30"/>
        <v>26156286.912799999</v>
      </c>
      <c r="Q86" s="70">
        <f t="shared" si="31"/>
        <v>3.1074999999999998E-2</v>
      </c>
      <c r="R86" s="73">
        <f t="shared" si="32"/>
        <v>3.1074999999999998E-2</v>
      </c>
      <c r="S86" s="103">
        <f t="shared" si="33"/>
        <v>6539071.7281999998</v>
      </c>
    </row>
    <row r="87" spans="1:19" x14ac:dyDescent="0.25">
      <c r="A87" s="17" t="s">
        <v>120</v>
      </c>
      <c r="B87" s="137" t="s">
        <v>280</v>
      </c>
      <c r="C87" s="84">
        <v>10536242</v>
      </c>
      <c r="D87" s="213">
        <v>0.41830000000000001</v>
      </c>
      <c r="E87" s="103">
        <f t="shared" si="22"/>
        <v>4407310.0285999998</v>
      </c>
      <c r="F87" s="84">
        <v>81245</v>
      </c>
      <c r="G87" s="213">
        <v>0.41110000000000002</v>
      </c>
      <c r="H87" s="103">
        <f t="shared" si="27"/>
        <v>4331449.0861999998</v>
      </c>
      <c r="I87" s="44">
        <f t="shared" si="28"/>
        <v>6204792.9138000002</v>
      </c>
      <c r="J87" s="104">
        <f t="shared" si="15"/>
        <v>0</v>
      </c>
      <c r="K87" s="213">
        <v>0.25480000000000003</v>
      </c>
      <c r="L87" s="104">
        <f t="shared" si="19"/>
        <v>2684634.4616000005</v>
      </c>
      <c r="M87" s="214">
        <f>IF(VLOOKUP($B$2:$B$209,Netvolumenmål!$B$3:$AN$210,38,FALSE)&lt;Netvolumenmål!$AD$215,VLOOKUP($B$2:$B$209,Netvolumenmål!$B$3:$AN$210,38,FALSE)-Netvolumenmål!$AD$215,0)</f>
        <v>0</v>
      </c>
      <c r="N87" s="215">
        <f>VLOOKUP($B$2:$B$209,Netvolumenmål!$B$3:$AN$210,39,FALSE)*0.75</f>
        <v>0</v>
      </c>
      <c r="O87" s="216">
        <f t="shared" si="29"/>
        <v>0.25480000000000003</v>
      </c>
      <c r="P87" s="12">
        <f t="shared" si="30"/>
        <v>2684634.4616000005</v>
      </c>
      <c r="Q87" s="70">
        <f t="shared" si="31"/>
        <v>6.3700000000000007E-2</v>
      </c>
      <c r="R87" s="73">
        <f t="shared" si="32"/>
        <v>0.05</v>
      </c>
      <c r="S87" s="103">
        <f t="shared" si="33"/>
        <v>526812.1</v>
      </c>
    </row>
    <row r="88" spans="1:19" x14ac:dyDescent="0.25">
      <c r="A88" s="17" t="s">
        <v>281</v>
      </c>
      <c r="B88" s="137" t="s">
        <v>282</v>
      </c>
      <c r="C88" s="84">
        <v>3497294</v>
      </c>
      <c r="D88" s="213">
        <v>0.72889999999999999</v>
      </c>
      <c r="E88" s="103">
        <f t="shared" si="22"/>
        <v>2549177.5965999998</v>
      </c>
      <c r="F88" s="84">
        <v>22164</v>
      </c>
      <c r="G88" s="213">
        <v>0.72360000000000002</v>
      </c>
      <c r="H88" s="103">
        <f t="shared" si="27"/>
        <v>2530641.9383999999</v>
      </c>
      <c r="I88" s="44">
        <f t="shared" si="28"/>
        <v>966652.06160000013</v>
      </c>
      <c r="J88" s="104">
        <f t="shared" si="15"/>
        <v>0</v>
      </c>
      <c r="K88" s="213">
        <v>0.56950000000000001</v>
      </c>
      <c r="L88" s="104">
        <f t="shared" si="19"/>
        <v>1991708.933</v>
      </c>
      <c r="M88" s="214">
        <f>IF(VLOOKUP($B$2:$B$209,Netvolumenmål!$B$3:$AN$210,38,FALSE)&lt;Netvolumenmål!$AD$215,VLOOKUP($B$2:$B$209,Netvolumenmål!$B$3:$AN$210,38,FALSE)-Netvolumenmål!$AD$215,0)</f>
        <v>-0.18889988153104392</v>
      </c>
      <c r="N88" s="215">
        <f>VLOOKUP($B$2:$B$209,Netvolumenmål!$B$3:$AN$210,39,FALSE)*0.75</f>
        <v>-8.0513852005569195E-2</v>
      </c>
      <c r="O88" s="216">
        <f t="shared" si="29"/>
        <v>0.4889861479944308</v>
      </c>
      <c r="P88" s="12">
        <f t="shared" si="30"/>
        <v>1710128.321464035</v>
      </c>
      <c r="Q88" s="70">
        <f t="shared" si="31"/>
        <v>0.1222465369986077</v>
      </c>
      <c r="R88" s="73">
        <f t="shared" si="32"/>
        <v>0.05</v>
      </c>
      <c r="S88" s="103">
        <f t="shared" si="33"/>
        <v>174864.7</v>
      </c>
    </row>
    <row r="89" spans="1:19" x14ac:dyDescent="0.25">
      <c r="A89" s="17" t="s">
        <v>283</v>
      </c>
      <c r="B89" s="137" t="s">
        <v>284</v>
      </c>
      <c r="C89" s="84">
        <v>9862022</v>
      </c>
      <c r="D89" s="213">
        <v>0.30570000000000003</v>
      </c>
      <c r="E89" s="103">
        <f t="shared" si="22"/>
        <v>3014820.1254000003</v>
      </c>
      <c r="F89" s="176"/>
      <c r="G89" s="213">
        <v>0.30570000000000003</v>
      </c>
      <c r="H89" s="103">
        <f t="shared" si="27"/>
        <v>3014820.1254000003</v>
      </c>
      <c r="I89" s="44">
        <f t="shared" si="28"/>
        <v>6847201.8745999997</v>
      </c>
      <c r="J89" s="104">
        <f t="shared" si="15"/>
        <v>0</v>
      </c>
      <c r="K89" s="213">
        <v>0.1517</v>
      </c>
      <c r="L89" s="104">
        <f t="shared" si="19"/>
        <v>1496068.7374</v>
      </c>
      <c r="M89" s="214">
        <f>IF(VLOOKUP($B$2:$B$209,Netvolumenmål!$B$3:$AN$210,38,FALSE)&lt;Netvolumenmål!$AD$215,VLOOKUP($B$2:$B$209,Netvolumenmål!$B$3:$AN$210,38,FALSE)-Netvolumenmål!$AD$215,0)</f>
        <v>0</v>
      </c>
      <c r="N89" s="215">
        <f>VLOOKUP($B$2:$B$209,Netvolumenmål!$B$3:$AN$210,39,FALSE)*0.75</f>
        <v>0</v>
      </c>
      <c r="O89" s="216">
        <f t="shared" si="29"/>
        <v>0.1517</v>
      </c>
      <c r="P89" s="12">
        <f t="shared" si="30"/>
        <v>1496068.7374</v>
      </c>
      <c r="Q89" s="70">
        <f t="shared" si="31"/>
        <v>3.7925E-2</v>
      </c>
      <c r="R89" s="73">
        <f t="shared" si="32"/>
        <v>3.7925E-2</v>
      </c>
      <c r="S89" s="103">
        <f t="shared" si="33"/>
        <v>374017.18435</v>
      </c>
    </row>
    <row r="90" spans="1:19" x14ac:dyDescent="0.25">
      <c r="A90" s="17" t="s">
        <v>285</v>
      </c>
      <c r="B90" s="137" t="s">
        <v>286</v>
      </c>
      <c r="C90" s="84">
        <v>2112811</v>
      </c>
      <c r="D90" s="213">
        <v>0.36149999999999999</v>
      </c>
      <c r="E90" s="103">
        <f t="shared" si="22"/>
        <v>763781.17649999994</v>
      </c>
      <c r="F90" s="176"/>
      <c r="G90" s="213">
        <v>0.36149999999999999</v>
      </c>
      <c r="H90" s="103">
        <f t="shared" si="27"/>
        <v>763781.17649999994</v>
      </c>
      <c r="I90" s="44">
        <f t="shared" si="28"/>
        <v>1349029.8234999999</v>
      </c>
      <c r="J90" s="104">
        <f t="shared" si="15"/>
        <v>0</v>
      </c>
      <c r="K90" s="213">
        <v>0.20749999999999999</v>
      </c>
      <c r="L90" s="104">
        <f t="shared" si="19"/>
        <v>438408.28249999997</v>
      </c>
      <c r="M90" s="214">
        <f>IF(VLOOKUP($B$2:$B$209,Netvolumenmål!$B$3:$AN$210,38,FALSE)&lt;Netvolumenmål!$AD$215,VLOOKUP($B$2:$B$209,Netvolumenmål!$B$3:$AN$210,38,FALSE)-Netvolumenmål!$AD$215,0)</f>
        <v>-0.11084938161675158</v>
      </c>
      <c r="N90" s="215">
        <f>VLOOKUP($B$2:$B$209,Netvolumenmål!$B$3:$AN$210,39,FALSE)*0.75</f>
        <v>-4.7246777679599936E-2</v>
      </c>
      <c r="O90" s="216">
        <f t="shared" si="29"/>
        <v>0.16025322232040007</v>
      </c>
      <c r="P90" s="12">
        <f t="shared" si="30"/>
        <v>338584.77090398676</v>
      </c>
      <c r="Q90" s="70">
        <f t="shared" si="31"/>
        <v>4.0063305580100017E-2</v>
      </c>
      <c r="R90" s="73">
        <f t="shared" si="32"/>
        <v>4.0063305580100017E-2</v>
      </c>
      <c r="S90" s="103">
        <f t="shared" si="33"/>
        <v>84646.192725996691</v>
      </c>
    </row>
    <row r="91" spans="1:19" x14ac:dyDescent="0.25">
      <c r="A91" s="17" t="s">
        <v>287</v>
      </c>
      <c r="B91" s="137" t="s">
        <v>288</v>
      </c>
      <c r="C91" s="84">
        <v>1220667</v>
      </c>
      <c r="D91" s="213">
        <v>0.16089999999999999</v>
      </c>
      <c r="E91" s="103">
        <f t="shared" si="22"/>
        <v>196405.32029999999</v>
      </c>
      <c r="F91" s="176"/>
      <c r="G91" s="213">
        <v>0.16089999999999999</v>
      </c>
      <c r="H91" s="103">
        <f t="shared" si="27"/>
        <v>196405.32029999999</v>
      </c>
      <c r="I91" s="44">
        <f t="shared" si="28"/>
        <v>1024261.6797</v>
      </c>
      <c r="J91" s="104">
        <f t="shared" si="15"/>
        <v>0</v>
      </c>
      <c r="K91" s="213">
        <v>4.5999999999999999E-3</v>
      </c>
      <c r="L91" s="104">
        <f t="shared" si="19"/>
        <v>5615.0681999999997</v>
      </c>
      <c r="M91" s="214">
        <f>IF(VLOOKUP($B$2:$B$209,Netvolumenmål!$B$3:$AN$210,38,FALSE)&lt;Netvolumenmål!$AD$215,VLOOKUP($B$2:$B$209,Netvolumenmål!$B$3:$AN$210,38,FALSE)-Netvolumenmål!$AD$215,0)</f>
        <v>0</v>
      </c>
      <c r="N91" s="215">
        <f>VLOOKUP($B$2:$B$209,Netvolumenmål!$B$3:$AN$210,39,FALSE)*0.75</f>
        <v>0</v>
      </c>
      <c r="O91" s="216">
        <f t="shared" si="29"/>
        <v>4.5999999999999999E-3</v>
      </c>
      <c r="P91" s="12">
        <f t="shared" si="30"/>
        <v>5615.0681999999997</v>
      </c>
      <c r="Q91" s="70">
        <f t="shared" si="31"/>
        <v>1.15E-3</v>
      </c>
      <c r="R91" s="73">
        <f t="shared" si="32"/>
        <v>0</v>
      </c>
      <c r="S91" s="103">
        <f t="shared" si="33"/>
        <v>0</v>
      </c>
    </row>
    <row r="92" spans="1:19" x14ac:dyDescent="0.25">
      <c r="A92" s="17" t="s">
        <v>37</v>
      </c>
      <c r="B92" s="137" t="s">
        <v>289</v>
      </c>
      <c r="C92" s="84">
        <v>20855085</v>
      </c>
      <c r="D92" s="213">
        <v>0.27060000000000001</v>
      </c>
      <c r="E92" s="103">
        <f t="shared" si="22"/>
        <v>5643386.0010000002</v>
      </c>
      <c r="F92" s="176"/>
      <c r="G92" s="213">
        <v>0.27060000000000001</v>
      </c>
      <c r="H92" s="103">
        <f t="shared" si="27"/>
        <v>5643386.0010000002</v>
      </c>
      <c r="I92" s="44">
        <f t="shared" si="28"/>
        <v>15211698.999</v>
      </c>
      <c r="J92" s="104">
        <f t="shared" si="15"/>
        <v>0</v>
      </c>
      <c r="K92" s="213">
        <v>0.1094</v>
      </c>
      <c r="L92" s="104">
        <f t="shared" si="19"/>
        <v>2281546.2990000001</v>
      </c>
      <c r="M92" s="214">
        <f>IF(VLOOKUP($B$2:$B$209,Netvolumenmål!$B$3:$AN$210,38,FALSE)&lt;Netvolumenmål!$AD$215,VLOOKUP($B$2:$B$209,Netvolumenmål!$B$3:$AN$210,38,FALSE)-Netvolumenmål!$AD$215,0)</f>
        <v>0</v>
      </c>
      <c r="N92" s="215">
        <f>VLOOKUP($B$2:$B$209,Netvolumenmål!$B$3:$AN$210,39,FALSE)*0.75</f>
        <v>0</v>
      </c>
      <c r="O92" s="216">
        <f t="shared" si="29"/>
        <v>0.1094</v>
      </c>
      <c r="P92" s="12">
        <f t="shared" si="30"/>
        <v>2281546.2990000001</v>
      </c>
      <c r="Q92" s="70">
        <f t="shared" si="31"/>
        <v>2.7349999999999999E-2</v>
      </c>
      <c r="R92" s="73">
        <f t="shared" si="32"/>
        <v>2.7349999999999999E-2</v>
      </c>
      <c r="S92" s="103">
        <f t="shared" si="33"/>
        <v>570386.57475000003</v>
      </c>
    </row>
    <row r="93" spans="1:19" x14ac:dyDescent="0.25">
      <c r="A93" s="17" t="s">
        <v>290</v>
      </c>
      <c r="B93" s="137" t="s">
        <v>291</v>
      </c>
      <c r="C93" s="84">
        <v>10213069</v>
      </c>
      <c r="D93" s="213">
        <v>0.33090000000000003</v>
      </c>
      <c r="E93" s="103">
        <f t="shared" si="22"/>
        <v>3379504.5321000004</v>
      </c>
      <c r="F93" s="84">
        <v>251035</v>
      </c>
      <c r="G93" s="213">
        <v>0.31119999999999998</v>
      </c>
      <c r="H93" s="103">
        <f t="shared" si="27"/>
        <v>3178307.0727999997</v>
      </c>
      <c r="I93" s="44">
        <f t="shared" si="28"/>
        <v>7034761.9272000007</v>
      </c>
      <c r="J93" s="104">
        <f t="shared" si="15"/>
        <v>0</v>
      </c>
      <c r="K93" s="213">
        <v>0.15709999999999999</v>
      </c>
      <c r="L93" s="104">
        <f t="shared" si="19"/>
        <v>1604473.1398999998</v>
      </c>
      <c r="M93" s="214">
        <f>IF(VLOOKUP($B$2:$B$209,Netvolumenmål!$B$3:$AN$210,38,FALSE)&lt;Netvolumenmål!$AD$215,VLOOKUP($B$2:$B$209,Netvolumenmål!$B$3:$AN$210,38,FALSE)-Netvolumenmål!$AD$215,0)</f>
        <v>0</v>
      </c>
      <c r="N93" s="215">
        <f>VLOOKUP($B$2:$B$209,Netvolumenmål!$B$3:$AN$210,39,FALSE)*0.75</f>
        <v>0</v>
      </c>
      <c r="O93" s="216">
        <f t="shared" si="29"/>
        <v>0.15709999999999999</v>
      </c>
      <c r="P93" s="12">
        <f t="shared" si="30"/>
        <v>1604473.1398999998</v>
      </c>
      <c r="Q93" s="70">
        <f t="shared" si="31"/>
        <v>3.9274999999999997E-2</v>
      </c>
      <c r="R93" s="73">
        <f t="shared" si="32"/>
        <v>3.9274999999999997E-2</v>
      </c>
      <c r="S93" s="103">
        <f t="shared" si="33"/>
        <v>401118.28497499996</v>
      </c>
    </row>
    <row r="94" spans="1:19" x14ac:dyDescent="0.25">
      <c r="A94" s="17" t="s">
        <v>292</v>
      </c>
      <c r="B94" s="137" t="s">
        <v>293</v>
      </c>
      <c r="C94" s="84">
        <v>1829670</v>
      </c>
      <c r="D94" s="213">
        <v>0.21360000000000001</v>
      </c>
      <c r="E94" s="103">
        <f t="shared" si="22"/>
        <v>390817.51200000005</v>
      </c>
      <c r="F94" s="176"/>
      <c r="G94" s="213">
        <v>0.21360000000000001</v>
      </c>
      <c r="H94" s="103">
        <f t="shared" si="27"/>
        <v>390817.51200000005</v>
      </c>
      <c r="I94" s="44">
        <f t="shared" si="28"/>
        <v>1438852.4879999999</v>
      </c>
      <c r="J94" s="104">
        <f t="shared" si="15"/>
        <v>0</v>
      </c>
      <c r="K94" s="213">
        <v>5.5399999999999998E-2</v>
      </c>
      <c r="L94" s="104">
        <f t="shared" si="19"/>
        <v>101363.71799999999</v>
      </c>
      <c r="M94" s="214">
        <f>IF(VLOOKUP($B$2:$B$209,Netvolumenmål!$B$3:$AN$210,38,FALSE)&lt;Netvolumenmål!$AD$215,VLOOKUP($B$2:$B$209,Netvolumenmål!$B$3:$AN$210,38,FALSE)-Netvolumenmål!$AD$215,0)</f>
        <v>0</v>
      </c>
      <c r="N94" s="215">
        <f>VLOOKUP($B$2:$B$209,Netvolumenmål!$B$3:$AN$210,39,FALSE)*0.75</f>
        <v>0</v>
      </c>
      <c r="O94" s="216">
        <f t="shared" si="29"/>
        <v>5.5399999999999998E-2</v>
      </c>
      <c r="P94" s="12">
        <f t="shared" si="30"/>
        <v>101363.71799999999</v>
      </c>
      <c r="Q94" s="70">
        <f t="shared" si="31"/>
        <v>1.3849999999999999E-2</v>
      </c>
      <c r="R94" s="73">
        <f t="shared" si="32"/>
        <v>1.3849999999999999E-2</v>
      </c>
      <c r="S94" s="103">
        <f t="shared" si="33"/>
        <v>25340.929499999998</v>
      </c>
    </row>
    <row r="95" spans="1:19" x14ac:dyDescent="0.25">
      <c r="A95" s="17" t="s">
        <v>294</v>
      </c>
      <c r="B95" s="137" t="s">
        <v>295</v>
      </c>
      <c r="C95" s="84">
        <v>862429</v>
      </c>
      <c r="D95" s="213">
        <v>7.2999999999999995E-2</v>
      </c>
      <c r="E95" s="103">
        <f t="shared" si="22"/>
        <v>62957.316999999995</v>
      </c>
      <c r="F95" s="176"/>
      <c r="G95" s="213">
        <v>7.2999999999999995E-2</v>
      </c>
      <c r="H95" s="103">
        <f t="shared" si="27"/>
        <v>62957.316999999995</v>
      </c>
      <c r="I95" s="44">
        <f t="shared" si="28"/>
        <v>799471.68299999996</v>
      </c>
      <c r="J95" s="104">
        <f t="shared" si="15"/>
        <v>0</v>
      </c>
      <c r="K95" s="213">
        <v>0</v>
      </c>
      <c r="L95" s="104">
        <f t="shared" si="19"/>
        <v>0</v>
      </c>
      <c r="M95" s="214">
        <f>IF(VLOOKUP($B$2:$B$209,Netvolumenmål!$B$3:$AN$210,38,FALSE)&lt;Netvolumenmål!$AD$215,VLOOKUP($B$2:$B$209,Netvolumenmål!$B$3:$AN$210,38,FALSE)-Netvolumenmål!$AD$215,0)</f>
        <v>0</v>
      </c>
      <c r="N95" s="215">
        <f>VLOOKUP($B$2:$B$209,Netvolumenmål!$B$3:$AN$210,39,FALSE)*0.75</f>
        <v>0</v>
      </c>
      <c r="O95" s="216">
        <f t="shared" si="29"/>
        <v>0</v>
      </c>
      <c r="P95" s="12">
        <f t="shared" si="30"/>
        <v>0</v>
      </c>
      <c r="Q95" s="70">
        <f t="shared" si="31"/>
        <v>0</v>
      </c>
      <c r="R95" s="73">
        <f t="shared" si="32"/>
        <v>0</v>
      </c>
      <c r="S95" s="103">
        <f t="shared" si="33"/>
        <v>0</v>
      </c>
    </row>
    <row r="96" spans="1:19" x14ac:dyDescent="0.25">
      <c r="A96" s="17" t="s">
        <v>296</v>
      </c>
      <c r="B96" s="137" t="s">
        <v>297</v>
      </c>
      <c r="C96" s="84">
        <v>1557246</v>
      </c>
      <c r="D96" s="213">
        <v>0.3286</v>
      </c>
      <c r="E96" s="103">
        <f t="shared" si="22"/>
        <v>511711.0356</v>
      </c>
      <c r="F96" s="176"/>
      <c r="G96" s="213">
        <v>0.3286</v>
      </c>
      <c r="H96" s="103">
        <f t="shared" si="27"/>
        <v>511711.0356</v>
      </c>
      <c r="I96" s="44">
        <f t="shared" si="28"/>
        <v>1045534.9643999999</v>
      </c>
      <c r="J96" s="104">
        <f t="shared" si="15"/>
        <v>0</v>
      </c>
      <c r="K96" s="213">
        <v>0.16739999999999999</v>
      </c>
      <c r="L96" s="104">
        <f t="shared" si="19"/>
        <v>260682.9804</v>
      </c>
      <c r="M96" s="214">
        <f>IF(VLOOKUP($B$2:$B$209,Netvolumenmål!$B$3:$AN$210,38,FALSE)&lt;Netvolumenmål!$AD$215,VLOOKUP($B$2:$B$209,Netvolumenmål!$B$3:$AN$210,38,FALSE)-Netvolumenmål!$AD$215,0)</f>
        <v>0</v>
      </c>
      <c r="N96" s="215">
        <f>VLOOKUP($B$2:$B$209,Netvolumenmål!$B$3:$AN$210,39,FALSE)*0.75</f>
        <v>0</v>
      </c>
      <c r="O96" s="216">
        <f t="shared" si="29"/>
        <v>0.16739999999999999</v>
      </c>
      <c r="P96" s="12">
        <f t="shared" si="30"/>
        <v>260682.9804</v>
      </c>
      <c r="Q96" s="70">
        <f t="shared" si="31"/>
        <v>4.1849999999999998E-2</v>
      </c>
      <c r="R96" s="73">
        <f t="shared" si="32"/>
        <v>4.1849999999999998E-2</v>
      </c>
      <c r="S96" s="103">
        <f t="shared" si="33"/>
        <v>65170.7451</v>
      </c>
    </row>
    <row r="97" spans="1:19" x14ac:dyDescent="0.25">
      <c r="A97" s="17" t="s">
        <v>38</v>
      </c>
      <c r="B97" s="137" t="s">
        <v>298</v>
      </c>
      <c r="C97" s="84">
        <v>7739568</v>
      </c>
      <c r="D97" s="213">
        <v>0.61509999999999998</v>
      </c>
      <c r="E97" s="103">
        <f t="shared" si="22"/>
        <v>4760608.2768000001</v>
      </c>
      <c r="F97" s="84">
        <v>84064</v>
      </c>
      <c r="G97" s="213">
        <v>0.60599999999999998</v>
      </c>
      <c r="H97" s="103">
        <f t="shared" si="27"/>
        <v>4690178.2079999996</v>
      </c>
      <c r="I97" s="44">
        <f t="shared" si="28"/>
        <v>3049389.7920000004</v>
      </c>
      <c r="J97" s="104">
        <f t="shared" si="15"/>
        <v>0</v>
      </c>
      <c r="K97" s="213">
        <v>0.45190000000000002</v>
      </c>
      <c r="L97" s="104">
        <f t="shared" si="19"/>
        <v>3497510.7792000002</v>
      </c>
      <c r="M97" s="214">
        <f>IF(VLOOKUP($B$2:$B$209,Netvolumenmål!$B$3:$AN$210,38,FALSE)&lt;Netvolumenmål!$AD$215,VLOOKUP($B$2:$B$209,Netvolumenmål!$B$3:$AN$210,38,FALSE)-Netvolumenmål!$AD$215,0)</f>
        <v>-0.14674689104988797</v>
      </c>
      <c r="N97" s="215">
        <f>VLOOKUP($B$2:$B$209,Netvolumenmål!$B$3:$AN$210,39,FALSE)*0.75</f>
        <v>-6.2547193637738502E-2</v>
      </c>
      <c r="O97" s="216">
        <f t="shared" si="29"/>
        <v>0.38935280636226155</v>
      </c>
      <c r="P97" s="12">
        <f t="shared" si="30"/>
        <v>3013422.5208315561</v>
      </c>
      <c r="Q97" s="70">
        <f t="shared" si="31"/>
        <v>9.7338201590565387E-2</v>
      </c>
      <c r="R97" s="73">
        <f t="shared" si="32"/>
        <v>0.05</v>
      </c>
      <c r="S97" s="103">
        <f t="shared" si="33"/>
        <v>386978.4</v>
      </c>
    </row>
    <row r="98" spans="1:19" x14ac:dyDescent="0.25">
      <c r="A98" s="17" t="s">
        <v>299</v>
      </c>
      <c r="B98" s="137" t="s">
        <v>300</v>
      </c>
      <c r="C98" s="84">
        <v>1696592</v>
      </c>
      <c r="D98" s="213">
        <v>0.1308</v>
      </c>
      <c r="E98" s="103">
        <f t="shared" si="22"/>
        <v>221914.23360000001</v>
      </c>
      <c r="F98" s="176"/>
      <c r="G98" s="213">
        <v>0.1308</v>
      </c>
      <c r="H98" s="103">
        <f t="shared" si="27"/>
        <v>221914.23360000001</v>
      </c>
      <c r="I98" s="44">
        <f t="shared" si="28"/>
        <v>1474677.7664000001</v>
      </c>
      <c r="J98" s="104">
        <f t="shared" si="15"/>
        <v>0</v>
      </c>
      <c r="K98" s="213">
        <v>0</v>
      </c>
      <c r="L98" s="104">
        <f t="shared" si="19"/>
        <v>0</v>
      </c>
      <c r="M98" s="214">
        <f>IF(VLOOKUP($B$2:$B$209,Netvolumenmål!$B$3:$AN$210,38,FALSE)&lt;Netvolumenmål!$AD$215,VLOOKUP($B$2:$B$209,Netvolumenmål!$B$3:$AN$210,38,FALSE)-Netvolumenmål!$AD$215,0)</f>
        <v>0</v>
      </c>
      <c r="N98" s="215">
        <f>VLOOKUP($B$2:$B$209,Netvolumenmål!$B$3:$AN$210,39,FALSE)*0.75</f>
        <v>0</v>
      </c>
      <c r="O98" s="216">
        <f t="shared" si="29"/>
        <v>0</v>
      </c>
      <c r="P98" s="12">
        <f t="shared" si="30"/>
        <v>0</v>
      </c>
      <c r="Q98" s="70">
        <f t="shared" si="31"/>
        <v>0</v>
      </c>
      <c r="R98" s="73">
        <f t="shared" si="32"/>
        <v>0</v>
      </c>
      <c r="S98" s="103">
        <f t="shared" si="33"/>
        <v>0</v>
      </c>
    </row>
    <row r="99" spans="1:19" x14ac:dyDescent="0.25">
      <c r="A99" s="17" t="s">
        <v>301</v>
      </c>
      <c r="B99" s="137" t="s">
        <v>302</v>
      </c>
      <c r="C99" s="84">
        <v>1675445</v>
      </c>
      <c r="D99" s="213">
        <v>0.2432</v>
      </c>
      <c r="E99" s="103">
        <f t="shared" si="22"/>
        <v>407468.22399999999</v>
      </c>
      <c r="F99" s="176"/>
      <c r="G99" s="213">
        <v>0.2432</v>
      </c>
      <c r="H99" s="103">
        <f t="shared" si="27"/>
        <v>407468.22399999999</v>
      </c>
      <c r="I99" s="44">
        <f t="shared" si="28"/>
        <v>1267976.7760000001</v>
      </c>
      <c r="J99" s="104">
        <f t="shared" ref="J99:J160" si="34">IF(I99&gt;C99*1.0008,I99-C99*1.0008,0)</f>
        <v>0</v>
      </c>
      <c r="K99" s="213">
        <v>8.0500000000000002E-2</v>
      </c>
      <c r="L99" s="104">
        <f t="shared" si="19"/>
        <v>134873.32250000001</v>
      </c>
      <c r="M99" s="214">
        <f>IF(VLOOKUP($B$2:$B$209,Netvolumenmål!$B$3:$AN$210,38,FALSE)&lt;Netvolumenmål!$AD$215,VLOOKUP($B$2:$B$209,Netvolumenmål!$B$3:$AN$210,38,FALSE)-Netvolumenmål!$AD$215,0)</f>
        <v>0</v>
      </c>
      <c r="N99" s="215">
        <f>VLOOKUP($B$2:$B$209,Netvolumenmål!$B$3:$AN$210,39,FALSE)*0.75</f>
        <v>0</v>
      </c>
      <c r="O99" s="216">
        <f t="shared" si="29"/>
        <v>8.0500000000000002E-2</v>
      </c>
      <c r="P99" s="12">
        <f t="shared" si="30"/>
        <v>134873.32250000001</v>
      </c>
      <c r="Q99" s="70">
        <f t="shared" si="31"/>
        <v>2.0125000000000001E-2</v>
      </c>
      <c r="R99" s="73">
        <f t="shared" si="32"/>
        <v>2.0125000000000001E-2</v>
      </c>
      <c r="S99" s="103">
        <f t="shared" si="33"/>
        <v>33718.330625000002</v>
      </c>
    </row>
    <row r="100" spans="1:19" x14ac:dyDescent="0.25">
      <c r="A100" s="17" t="s">
        <v>303</v>
      </c>
      <c r="B100" s="137" t="s">
        <v>304</v>
      </c>
      <c r="C100" s="84">
        <v>962769</v>
      </c>
      <c r="D100" s="213">
        <v>0.19589999999999999</v>
      </c>
      <c r="E100" s="103">
        <f t="shared" si="22"/>
        <v>188606.44709999999</v>
      </c>
      <c r="F100" s="176"/>
      <c r="G100" s="213">
        <v>0.19589999999999999</v>
      </c>
      <c r="H100" s="103">
        <f t="shared" si="27"/>
        <v>188606.44709999999</v>
      </c>
      <c r="I100" s="44">
        <f t="shared" si="28"/>
        <v>774162.55290000001</v>
      </c>
      <c r="J100" s="104">
        <f t="shared" si="34"/>
        <v>0</v>
      </c>
      <c r="K100" s="213">
        <v>3.4700000000000002E-2</v>
      </c>
      <c r="L100" s="104">
        <f t="shared" si="19"/>
        <v>33408.084300000002</v>
      </c>
      <c r="M100" s="214">
        <f>IF(VLOOKUP($B$2:$B$209,Netvolumenmål!$B$3:$AN$210,38,FALSE)&lt;Netvolumenmål!$AD$215,VLOOKUP($B$2:$B$209,Netvolumenmål!$B$3:$AN$210,38,FALSE)-Netvolumenmål!$AD$215,0)</f>
        <v>0</v>
      </c>
      <c r="N100" s="215">
        <f>VLOOKUP($B$2:$B$209,Netvolumenmål!$B$3:$AN$210,39,FALSE)*0.75</f>
        <v>0</v>
      </c>
      <c r="O100" s="216">
        <f t="shared" si="29"/>
        <v>3.4700000000000002E-2</v>
      </c>
      <c r="P100" s="12">
        <f t="shared" si="30"/>
        <v>33408.084300000002</v>
      </c>
      <c r="Q100" s="70">
        <f t="shared" si="31"/>
        <v>8.6750000000000004E-3</v>
      </c>
      <c r="R100" s="73">
        <f t="shared" si="32"/>
        <v>0</v>
      </c>
      <c r="S100" s="103">
        <f t="shared" si="33"/>
        <v>0</v>
      </c>
    </row>
    <row r="101" spans="1:19" x14ac:dyDescent="0.25">
      <c r="A101" s="17" t="s">
        <v>305</v>
      </c>
      <c r="B101" s="137" t="s">
        <v>306</v>
      </c>
      <c r="C101" s="84">
        <v>5397146</v>
      </c>
      <c r="D101" s="213">
        <v>0.2147</v>
      </c>
      <c r="E101" s="103">
        <f t="shared" si="22"/>
        <v>1158767.2461999999</v>
      </c>
      <c r="F101" s="176"/>
      <c r="G101" s="213">
        <v>0.2147</v>
      </c>
      <c r="H101" s="103">
        <f t="shared" si="27"/>
        <v>1158767.2461999999</v>
      </c>
      <c r="I101" s="44">
        <f t="shared" si="28"/>
        <v>4238378.7538000001</v>
      </c>
      <c r="J101" s="104">
        <f t="shared" si="34"/>
        <v>0</v>
      </c>
      <c r="K101" s="213">
        <v>6.0699999999999997E-2</v>
      </c>
      <c r="L101" s="104">
        <f t="shared" si="19"/>
        <v>327606.7622</v>
      </c>
      <c r="M101" s="214">
        <f>IF(VLOOKUP($B$2:$B$209,Netvolumenmål!$B$3:$AN$210,38,FALSE)&lt;Netvolumenmål!$AD$215,VLOOKUP($B$2:$B$209,Netvolumenmål!$B$3:$AN$210,38,FALSE)-Netvolumenmål!$AD$215,0)</f>
        <v>0</v>
      </c>
      <c r="N101" s="215">
        <f>VLOOKUP($B$2:$B$209,Netvolumenmål!$B$3:$AN$210,39,FALSE)*0.75</f>
        <v>0</v>
      </c>
      <c r="O101" s="216">
        <f t="shared" si="29"/>
        <v>6.0699999999999997E-2</v>
      </c>
      <c r="P101" s="12">
        <f t="shared" si="30"/>
        <v>327606.7622</v>
      </c>
      <c r="Q101" s="70">
        <f t="shared" si="31"/>
        <v>1.5174999999999999E-2</v>
      </c>
      <c r="R101" s="73">
        <f t="shared" si="32"/>
        <v>1.5174999999999999E-2</v>
      </c>
      <c r="S101" s="103">
        <f t="shared" si="33"/>
        <v>81901.690549999999</v>
      </c>
    </row>
    <row r="102" spans="1:19" x14ac:dyDescent="0.25">
      <c r="A102" s="17" t="s">
        <v>45</v>
      </c>
      <c r="B102" s="137" t="s">
        <v>307</v>
      </c>
      <c r="C102" s="84">
        <v>6607387</v>
      </c>
      <c r="D102" s="213">
        <v>0.66779999999999995</v>
      </c>
      <c r="E102" s="103">
        <f t="shared" si="22"/>
        <v>4412413.0385999996</v>
      </c>
      <c r="F102" s="84">
        <v>62803</v>
      </c>
      <c r="G102" s="213">
        <v>0.65969999999999995</v>
      </c>
      <c r="H102" s="103">
        <f t="shared" si="27"/>
        <v>4358893.2039000001</v>
      </c>
      <c r="I102" s="44">
        <f t="shared" si="28"/>
        <v>2248493.7960999999</v>
      </c>
      <c r="J102" s="104">
        <f t="shared" si="34"/>
        <v>0</v>
      </c>
      <c r="K102" s="213">
        <v>0.50560000000000005</v>
      </c>
      <c r="L102" s="104">
        <f t="shared" si="19"/>
        <v>3340694.8672000002</v>
      </c>
      <c r="M102" s="214">
        <f>IF(VLOOKUP($B$2:$B$209,Netvolumenmål!$B$3:$AN$210,38,FALSE)&lt;Netvolumenmål!$AD$215,VLOOKUP($B$2:$B$209,Netvolumenmål!$B$3:$AN$210,38,FALSE)-Netvolumenmål!$AD$215,0)</f>
        <v>-7.4883237512113746E-2</v>
      </c>
      <c r="N102" s="215">
        <f>VLOOKUP($B$2:$B$209,Netvolumenmål!$B$3:$AN$210,39,FALSE)*0.75</f>
        <v>-3.1917107908600681E-2</v>
      </c>
      <c r="O102" s="216">
        <f t="shared" si="29"/>
        <v>0.47368289209139935</v>
      </c>
      <c r="P102" s="12">
        <f t="shared" si="30"/>
        <v>3129806.1833271147</v>
      </c>
      <c r="Q102" s="70">
        <f t="shared" si="31"/>
        <v>0.11842072302284984</v>
      </c>
      <c r="R102" s="73">
        <f t="shared" si="32"/>
        <v>0.05</v>
      </c>
      <c r="S102" s="103">
        <f t="shared" si="33"/>
        <v>330369.35000000003</v>
      </c>
    </row>
    <row r="103" spans="1:19" x14ac:dyDescent="0.25">
      <c r="A103" s="17" t="s">
        <v>483</v>
      </c>
      <c r="B103" s="137" t="s">
        <v>308</v>
      </c>
      <c r="C103" s="84">
        <v>925304</v>
      </c>
      <c r="D103" s="213">
        <v>0.14019999999999999</v>
      </c>
      <c r="E103" s="103">
        <f t="shared" si="22"/>
        <v>129727.62079999999</v>
      </c>
      <c r="F103" s="176"/>
      <c r="G103" s="213">
        <v>0.14019999999999999</v>
      </c>
      <c r="H103" s="103">
        <f t="shared" si="27"/>
        <v>129727.62079999999</v>
      </c>
      <c r="I103" s="44">
        <f t="shared" si="28"/>
        <v>795576.37919999997</v>
      </c>
      <c r="J103" s="104">
        <f t="shared" si="34"/>
        <v>0</v>
      </c>
      <c r="K103" s="213">
        <v>0</v>
      </c>
      <c r="L103" s="104">
        <f t="shared" si="19"/>
        <v>0</v>
      </c>
      <c r="M103" s="214">
        <f>IF(VLOOKUP($B$2:$B$209,Netvolumenmål!$B$3:$AN$210,38,FALSE)&lt;Netvolumenmål!$AD$215,VLOOKUP($B$2:$B$209,Netvolumenmål!$B$3:$AN$210,38,FALSE)-Netvolumenmål!$AD$215,0)</f>
        <v>0</v>
      </c>
      <c r="N103" s="215">
        <f>VLOOKUP($B$2:$B$209,Netvolumenmål!$B$3:$AN$210,39,FALSE)*0.75</f>
        <v>0</v>
      </c>
      <c r="O103" s="216">
        <f t="shared" si="29"/>
        <v>0</v>
      </c>
      <c r="P103" s="12">
        <f t="shared" si="30"/>
        <v>0</v>
      </c>
      <c r="Q103" s="70">
        <f t="shared" si="31"/>
        <v>0</v>
      </c>
      <c r="R103" s="73">
        <f t="shared" si="32"/>
        <v>0</v>
      </c>
      <c r="S103" s="103">
        <f t="shared" si="33"/>
        <v>0</v>
      </c>
    </row>
    <row r="104" spans="1:19" x14ac:dyDescent="0.25">
      <c r="A104" s="17" t="s">
        <v>309</v>
      </c>
      <c r="B104" s="137" t="s">
        <v>310</v>
      </c>
      <c r="C104" s="84">
        <v>903375</v>
      </c>
      <c r="D104" s="213">
        <v>0</v>
      </c>
      <c r="E104" s="103">
        <f t="shared" si="22"/>
        <v>0</v>
      </c>
      <c r="F104" s="176">
        <v>0</v>
      </c>
      <c r="G104" s="145">
        <v>0</v>
      </c>
      <c r="H104" s="103">
        <f t="shared" si="27"/>
        <v>0</v>
      </c>
      <c r="I104" s="44">
        <f>1.2603*C104</f>
        <v>1138523.5125</v>
      </c>
      <c r="J104" s="104">
        <f t="shared" si="34"/>
        <v>234425.8125</v>
      </c>
      <c r="K104" s="213">
        <v>0</v>
      </c>
      <c r="L104" s="104">
        <f t="shared" si="19"/>
        <v>0</v>
      </c>
      <c r="M104" s="214">
        <f>IF(VLOOKUP($B$2:$B$209,Netvolumenmål!$B$3:$AN$210,38,FALSE)&lt;Netvolumenmål!$AD$215,VLOOKUP($B$2:$B$209,Netvolumenmål!$B$3:$AN$210,38,FALSE)-Netvolumenmål!$AD$215,0)</f>
        <v>-5.9939035445960978E-2</v>
      </c>
      <c r="N104" s="215">
        <f>VLOOKUP($B$2:$B$209,Netvolumenmål!$B$3:$AN$210,39,FALSE)*0.75</f>
        <v>-2.5547515382954716E-2</v>
      </c>
      <c r="O104" s="216">
        <f t="shared" si="29"/>
        <v>0</v>
      </c>
      <c r="P104" s="12">
        <f t="shared" si="30"/>
        <v>0</v>
      </c>
      <c r="Q104" s="70">
        <f t="shared" si="31"/>
        <v>0</v>
      </c>
      <c r="R104" s="73">
        <f t="shared" si="32"/>
        <v>0</v>
      </c>
      <c r="S104" s="103">
        <f t="shared" si="33"/>
        <v>0</v>
      </c>
    </row>
    <row r="105" spans="1:19" x14ac:dyDescent="0.25">
      <c r="A105" s="17" t="s">
        <v>39</v>
      </c>
      <c r="B105" s="137" t="s">
        <v>311</v>
      </c>
      <c r="C105" s="84">
        <v>1989887</v>
      </c>
      <c r="D105" s="213">
        <v>0.4652</v>
      </c>
      <c r="E105" s="103">
        <f t="shared" si="22"/>
        <v>925695.43240000005</v>
      </c>
      <c r="F105" s="84">
        <v>28567</v>
      </c>
      <c r="G105" s="213">
        <v>0.4536</v>
      </c>
      <c r="H105" s="103">
        <f t="shared" si="27"/>
        <v>902612.74320000003</v>
      </c>
      <c r="I105" s="44">
        <f>IF(G105&gt;0,C105-H105,"Over fronten")</f>
        <v>1087274.2568000001</v>
      </c>
      <c r="J105" s="104">
        <f t="shared" si="34"/>
        <v>0</v>
      </c>
      <c r="K105" s="213">
        <v>0.2994</v>
      </c>
      <c r="L105" s="104">
        <f t="shared" si="19"/>
        <v>595772.16780000005</v>
      </c>
      <c r="M105" s="214">
        <f>IF(VLOOKUP($B$2:$B$209,Netvolumenmål!$B$3:$AN$210,38,FALSE)&lt;Netvolumenmål!$AD$215,VLOOKUP($B$2:$B$209,Netvolumenmål!$B$3:$AN$210,38,FALSE)-Netvolumenmål!$AD$215,0)</f>
        <v>-3.3394962269217149E-3</v>
      </c>
      <c r="N105" s="215">
        <f>VLOOKUP($B$2:$B$209,Netvolumenmål!$B$3:$AN$210,39,FALSE)*0.75</f>
        <v>-1.423376779319708E-3</v>
      </c>
      <c r="O105" s="216">
        <f t="shared" si="29"/>
        <v>0.2979766232206803</v>
      </c>
      <c r="P105" s="12">
        <f t="shared" si="30"/>
        <v>592939.80885072984</v>
      </c>
      <c r="Q105" s="70">
        <f t="shared" si="31"/>
        <v>7.4494155805170076E-2</v>
      </c>
      <c r="R105" s="73">
        <f t="shared" si="32"/>
        <v>0.05</v>
      </c>
      <c r="S105" s="103">
        <f t="shared" si="33"/>
        <v>99494.35</v>
      </c>
    </row>
    <row r="106" spans="1:19" x14ac:dyDescent="0.25">
      <c r="A106" s="17" t="s">
        <v>312</v>
      </c>
      <c r="B106" s="137" t="s">
        <v>313</v>
      </c>
      <c r="C106" s="84">
        <v>5310833</v>
      </c>
      <c r="D106" s="213">
        <v>0.4622</v>
      </c>
      <c r="E106" s="103">
        <f t="shared" si="22"/>
        <v>2454667.0126</v>
      </c>
      <c r="F106" s="175">
        <v>2046827</v>
      </c>
      <c r="G106" s="213">
        <v>0.21149999999999999</v>
      </c>
      <c r="H106" s="103">
        <f t="shared" si="27"/>
        <v>1123241.1794999999</v>
      </c>
      <c r="I106" s="44">
        <f t="shared" si="28"/>
        <v>4187591.8205000004</v>
      </c>
      <c r="J106" s="104">
        <f t="shared" si="34"/>
        <v>0</v>
      </c>
      <c r="K106" s="213">
        <v>4.8800000000000003E-2</v>
      </c>
      <c r="L106" s="104">
        <f t="shared" si="19"/>
        <v>259168.65040000001</v>
      </c>
      <c r="M106" s="214">
        <f>IF(VLOOKUP($B$2:$B$209,Netvolumenmål!$B$3:$AN$210,38,FALSE)&lt;Netvolumenmål!$AD$215,VLOOKUP($B$2:$B$209,Netvolumenmål!$B$3:$AN$210,38,FALSE)-Netvolumenmål!$AD$215,0)</f>
        <v>0</v>
      </c>
      <c r="N106" s="215">
        <f>VLOOKUP($B$2:$B$209,Netvolumenmål!$B$3:$AN$210,39,FALSE)*0.75</f>
        <v>0</v>
      </c>
      <c r="O106" s="216">
        <f t="shared" si="29"/>
        <v>4.8800000000000003E-2</v>
      </c>
      <c r="P106" s="12">
        <f t="shared" si="30"/>
        <v>259168.65040000001</v>
      </c>
      <c r="Q106" s="70">
        <f t="shared" si="31"/>
        <v>1.2200000000000001E-2</v>
      </c>
      <c r="R106" s="73">
        <f t="shared" si="32"/>
        <v>1.2200000000000001E-2</v>
      </c>
      <c r="S106" s="103">
        <f t="shared" si="33"/>
        <v>64792.162600000003</v>
      </c>
    </row>
    <row r="107" spans="1:19" x14ac:dyDescent="0.25">
      <c r="A107" s="17" t="s">
        <v>40</v>
      </c>
      <c r="B107" s="137" t="s">
        <v>314</v>
      </c>
      <c r="C107" s="84">
        <v>8203898</v>
      </c>
      <c r="D107" s="213">
        <v>0.41820000000000002</v>
      </c>
      <c r="E107" s="103">
        <f t="shared" si="22"/>
        <v>3430870.1436000001</v>
      </c>
      <c r="F107" s="176"/>
      <c r="G107" s="213">
        <v>0.41820000000000002</v>
      </c>
      <c r="H107" s="103">
        <f t="shared" si="27"/>
        <v>3430870.1436000001</v>
      </c>
      <c r="I107" s="44">
        <f t="shared" si="28"/>
        <v>4773027.8563999999</v>
      </c>
      <c r="J107" s="104">
        <f t="shared" si="34"/>
        <v>0</v>
      </c>
      <c r="K107" s="213">
        <v>0.25800000000000001</v>
      </c>
      <c r="L107" s="104">
        <f t="shared" si="19"/>
        <v>2116605.6839999999</v>
      </c>
      <c r="M107" s="214">
        <f>IF(VLOOKUP($B$2:$B$209,Netvolumenmål!$B$3:$AN$210,38,FALSE)&lt;Netvolumenmål!$AD$215,VLOOKUP($B$2:$B$209,Netvolumenmål!$B$3:$AN$210,38,FALSE)-Netvolumenmål!$AD$215,0)</f>
        <v>0</v>
      </c>
      <c r="N107" s="215">
        <f>VLOOKUP($B$2:$B$209,Netvolumenmål!$B$3:$AN$210,39,FALSE)*0.75</f>
        <v>0</v>
      </c>
      <c r="O107" s="216">
        <f t="shared" si="29"/>
        <v>0.25800000000000001</v>
      </c>
      <c r="P107" s="12">
        <f t="shared" si="30"/>
        <v>2116605.6839999999</v>
      </c>
      <c r="Q107" s="70">
        <f t="shared" si="31"/>
        <v>6.4500000000000002E-2</v>
      </c>
      <c r="R107" s="73">
        <f t="shared" si="32"/>
        <v>0.05</v>
      </c>
      <c r="S107" s="103">
        <f t="shared" si="33"/>
        <v>410194.9</v>
      </c>
    </row>
    <row r="108" spans="1:19" x14ac:dyDescent="0.25">
      <c r="A108" s="17" t="s">
        <v>315</v>
      </c>
      <c r="B108" s="137" t="s">
        <v>316</v>
      </c>
      <c r="C108" s="84">
        <v>6379277</v>
      </c>
      <c r="D108" s="213">
        <v>0.33950000000000002</v>
      </c>
      <c r="E108" s="103">
        <f t="shared" si="22"/>
        <v>2165764.5415000003</v>
      </c>
      <c r="F108" s="176">
        <v>0</v>
      </c>
      <c r="G108" s="213">
        <v>0.33950000000000002</v>
      </c>
      <c r="H108" s="103">
        <f t="shared" si="27"/>
        <v>2165764.5415000003</v>
      </c>
      <c r="I108" s="44">
        <f t="shared" si="28"/>
        <v>4213512.4584999997</v>
      </c>
      <c r="J108" s="104">
        <f t="shared" si="34"/>
        <v>0</v>
      </c>
      <c r="K108" s="213">
        <v>0.1832</v>
      </c>
      <c r="L108" s="104">
        <f t="shared" si="19"/>
        <v>1168683.5464000001</v>
      </c>
      <c r="M108" s="214">
        <f>IF(VLOOKUP($B$2:$B$209,Netvolumenmål!$B$3:$AN$210,38,FALSE)&lt;Netvolumenmål!$AD$215,VLOOKUP($B$2:$B$209,Netvolumenmål!$B$3:$AN$210,38,FALSE)-Netvolumenmål!$AD$215,0)</f>
        <v>0</v>
      </c>
      <c r="N108" s="215">
        <f>VLOOKUP($B$2:$B$209,Netvolumenmål!$B$3:$AN$210,39,FALSE)*0.75</f>
        <v>0</v>
      </c>
      <c r="O108" s="216">
        <f t="shared" si="29"/>
        <v>0.1832</v>
      </c>
      <c r="P108" s="12">
        <f t="shared" si="30"/>
        <v>1168683.5464000001</v>
      </c>
      <c r="Q108" s="70">
        <f t="shared" si="31"/>
        <v>4.58E-2</v>
      </c>
      <c r="R108" s="73">
        <f t="shared" si="32"/>
        <v>4.58E-2</v>
      </c>
      <c r="S108" s="103">
        <f t="shared" si="33"/>
        <v>292170.88660000003</v>
      </c>
    </row>
    <row r="109" spans="1:19" x14ac:dyDescent="0.25">
      <c r="A109" s="17" t="s">
        <v>48</v>
      </c>
      <c r="B109" s="137" t="s">
        <v>317</v>
      </c>
      <c r="C109" s="84">
        <v>971009</v>
      </c>
      <c r="D109" s="213">
        <v>0.1431</v>
      </c>
      <c r="E109" s="103">
        <f t="shared" si="22"/>
        <v>138951.3879</v>
      </c>
      <c r="F109" s="176"/>
      <c r="G109" s="213">
        <v>0.1431</v>
      </c>
      <c r="H109" s="103">
        <f t="shared" si="27"/>
        <v>138951.3879</v>
      </c>
      <c r="I109" s="44">
        <f t="shared" si="28"/>
        <v>832057.61210000003</v>
      </c>
      <c r="J109" s="104">
        <f t="shared" si="34"/>
        <v>0</v>
      </c>
      <c r="K109" s="213">
        <v>0</v>
      </c>
      <c r="L109" s="104">
        <f t="shared" si="19"/>
        <v>0</v>
      </c>
      <c r="M109" s="214">
        <f>IF(VLOOKUP($B$2:$B$209,Netvolumenmål!$B$3:$AN$210,38,FALSE)&lt;Netvolumenmål!$AD$215,VLOOKUP($B$2:$B$209,Netvolumenmål!$B$3:$AN$210,38,FALSE)-Netvolumenmål!$AD$215,0)</f>
        <v>0</v>
      </c>
      <c r="N109" s="215">
        <f>VLOOKUP($B$2:$B$209,Netvolumenmål!$B$3:$AN$210,39,FALSE)*0.75</f>
        <v>0</v>
      </c>
      <c r="O109" s="216">
        <f t="shared" si="29"/>
        <v>0</v>
      </c>
      <c r="P109" s="12">
        <f t="shared" si="30"/>
        <v>0</v>
      </c>
      <c r="Q109" s="70">
        <f t="shared" si="31"/>
        <v>0</v>
      </c>
      <c r="R109" s="73">
        <f t="shared" si="32"/>
        <v>0</v>
      </c>
      <c r="S109" s="103">
        <f t="shared" si="33"/>
        <v>0</v>
      </c>
    </row>
    <row r="110" spans="1:19" x14ac:dyDescent="0.25">
      <c r="A110" s="17" t="s">
        <v>318</v>
      </c>
      <c r="B110" s="137" t="s">
        <v>319</v>
      </c>
      <c r="C110" s="84">
        <v>1247992</v>
      </c>
      <c r="D110" s="213">
        <v>0.20669999999999999</v>
      </c>
      <c r="E110" s="103">
        <f t="shared" si="22"/>
        <v>257959.94639999999</v>
      </c>
      <c r="F110" s="176"/>
      <c r="G110" s="213">
        <v>0.20669999999999999</v>
      </c>
      <c r="H110" s="103">
        <f t="shared" si="27"/>
        <v>257959.94639999999</v>
      </c>
      <c r="I110" s="44">
        <f t="shared" si="28"/>
        <v>990032.05359999998</v>
      </c>
      <c r="J110" s="104">
        <f t="shared" si="34"/>
        <v>0</v>
      </c>
      <c r="K110" s="213">
        <v>4.41E-2</v>
      </c>
      <c r="L110" s="104">
        <f t="shared" si="19"/>
        <v>55036.447200000002</v>
      </c>
      <c r="M110" s="214">
        <f>IF(VLOOKUP($B$2:$B$209,Netvolumenmål!$B$3:$AN$210,38,FALSE)&lt;Netvolumenmål!$AD$215,VLOOKUP($B$2:$B$209,Netvolumenmål!$B$3:$AN$210,38,FALSE)-Netvolumenmål!$AD$215,0)</f>
        <v>0</v>
      </c>
      <c r="N110" s="215">
        <f>VLOOKUP($B$2:$B$209,Netvolumenmål!$B$3:$AN$210,39,FALSE)*0.75</f>
        <v>0</v>
      </c>
      <c r="O110" s="216">
        <f t="shared" si="29"/>
        <v>4.41E-2</v>
      </c>
      <c r="P110" s="12">
        <f t="shared" si="30"/>
        <v>55036.447200000002</v>
      </c>
      <c r="Q110" s="70">
        <f t="shared" si="31"/>
        <v>1.1025E-2</v>
      </c>
      <c r="R110" s="73">
        <f t="shared" si="32"/>
        <v>1.1025E-2</v>
      </c>
      <c r="S110" s="103">
        <f t="shared" si="33"/>
        <v>13759.111800000001</v>
      </c>
    </row>
    <row r="111" spans="1:19" x14ac:dyDescent="0.25">
      <c r="A111" s="17" t="s">
        <v>320</v>
      </c>
      <c r="B111" s="137" t="s">
        <v>321</v>
      </c>
      <c r="C111" s="84">
        <v>13302678</v>
      </c>
      <c r="D111" s="213">
        <v>0.53990000000000005</v>
      </c>
      <c r="E111" s="103">
        <f t="shared" si="22"/>
        <v>7182115.8522000005</v>
      </c>
      <c r="F111" s="176"/>
      <c r="G111" s="213">
        <v>0.53990000000000005</v>
      </c>
      <c r="H111" s="103">
        <f t="shared" si="27"/>
        <v>7182115.8522000005</v>
      </c>
      <c r="I111" s="44">
        <f t="shared" si="28"/>
        <v>6120562.1477999995</v>
      </c>
      <c r="J111" s="104">
        <f t="shared" si="34"/>
        <v>0</v>
      </c>
      <c r="K111" s="213">
        <v>0.37790000000000001</v>
      </c>
      <c r="L111" s="104">
        <f t="shared" si="19"/>
        <v>5027082.0162000004</v>
      </c>
      <c r="M111" s="214">
        <f>IF(VLOOKUP($B$2:$B$209,Netvolumenmål!$B$3:$AN$210,38,FALSE)&lt;Netvolumenmål!$AD$215,VLOOKUP($B$2:$B$209,Netvolumenmål!$B$3:$AN$210,38,FALSE)-Netvolumenmål!$AD$215,0)</f>
        <v>0</v>
      </c>
      <c r="N111" s="215">
        <f>VLOOKUP($B$2:$B$209,Netvolumenmål!$B$3:$AN$210,39,FALSE)*0.75</f>
        <v>0</v>
      </c>
      <c r="O111" s="216">
        <f t="shared" si="29"/>
        <v>0.37790000000000001</v>
      </c>
      <c r="P111" s="12">
        <f t="shared" si="30"/>
        <v>5027082.0162000004</v>
      </c>
      <c r="Q111" s="70">
        <f t="shared" si="31"/>
        <v>9.4475000000000003E-2</v>
      </c>
      <c r="R111" s="73">
        <f t="shared" si="32"/>
        <v>0.05</v>
      </c>
      <c r="S111" s="103">
        <f t="shared" si="33"/>
        <v>665133.9</v>
      </c>
    </row>
    <row r="112" spans="1:19" x14ac:dyDescent="0.25">
      <c r="A112" s="17" t="s">
        <v>322</v>
      </c>
      <c r="B112" s="137" t="s">
        <v>323</v>
      </c>
      <c r="C112" s="84">
        <v>5007989</v>
      </c>
      <c r="D112" s="213">
        <v>0.26279999999999998</v>
      </c>
      <c r="E112" s="103">
        <f t="shared" si="22"/>
        <v>1316099.5092</v>
      </c>
      <c r="F112" s="175">
        <v>309626</v>
      </c>
      <c r="G112" s="213">
        <v>0.2218</v>
      </c>
      <c r="H112" s="103">
        <f t="shared" si="27"/>
        <v>1110771.9602000001</v>
      </c>
      <c r="I112" s="44">
        <f t="shared" si="28"/>
        <v>3897217.0397999999</v>
      </c>
      <c r="J112" s="104">
        <f t="shared" si="34"/>
        <v>0</v>
      </c>
      <c r="K112" s="213">
        <v>6.0600000000000001E-2</v>
      </c>
      <c r="L112" s="104">
        <f t="shared" si="19"/>
        <v>303484.13339999999</v>
      </c>
      <c r="M112" s="214">
        <f>IF(VLOOKUP($B$2:$B$209,Netvolumenmål!$B$3:$AN$210,38,FALSE)&lt;Netvolumenmål!$AD$215,VLOOKUP($B$2:$B$209,Netvolumenmål!$B$3:$AN$210,38,FALSE)-Netvolumenmål!$AD$215,0)</f>
        <v>0</v>
      </c>
      <c r="N112" s="215">
        <f>VLOOKUP($B$2:$B$209,Netvolumenmål!$B$3:$AN$210,39,FALSE)*0.75</f>
        <v>0</v>
      </c>
      <c r="O112" s="216">
        <f t="shared" si="29"/>
        <v>6.0600000000000001E-2</v>
      </c>
      <c r="P112" s="12">
        <f t="shared" si="30"/>
        <v>303484.13339999999</v>
      </c>
      <c r="Q112" s="70">
        <f t="shared" si="31"/>
        <v>1.515E-2</v>
      </c>
      <c r="R112" s="73">
        <f t="shared" si="32"/>
        <v>1.515E-2</v>
      </c>
      <c r="S112" s="103">
        <f t="shared" si="33"/>
        <v>75871.033349999998</v>
      </c>
    </row>
    <row r="113" spans="1:19" x14ac:dyDescent="0.25">
      <c r="A113" s="17" t="s">
        <v>324</v>
      </c>
      <c r="B113" s="137" t="s">
        <v>325</v>
      </c>
      <c r="C113" s="84">
        <v>1310947</v>
      </c>
      <c r="D113" s="213">
        <v>0</v>
      </c>
      <c r="E113" s="103">
        <f t="shared" si="22"/>
        <v>0</v>
      </c>
      <c r="F113" s="176"/>
      <c r="G113" s="213">
        <v>0</v>
      </c>
      <c r="H113" s="103">
        <f t="shared" si="27"/>
        <v>0</v>
      </c>
      <c r="I113" s="44">
        <f>1.0081*C113</f>
        <v>1321565.6706999999</v>
      </c>
      <c r="J113" s="104">
        <f t="shared" si="34"/>
        <v>9569.9131000000052</v>
      </c>
      <c r="K113" s="213">
        <v>0</v>
      </c>
      <c r="L113" s="104">
        <f t="shared" si="19"/>
        <v>0</v>
      </c>
      <c r="M113" s="214">
        <f>IF(VLOOKUP($B$2:$B$209,Netvolumenmål!$B$3:$AN$210,38,FALSE)&lt;Netvolumenmål!$AD$215,VLOOKUP($B$2:$B$209,Netvolumenmål!$B$3:$AN$210,38,FALSE)-Netvolumenmål!$AD$215,0)</f>
        <v>0</v>
      </c>
      <c r="N113" s="215">
        <f>VLOOKUP($B$2:$B$209,Netvolumenmål!$B$3:$AN$210,39,FALSE)*0.75</f>
        <v>0</v>
      </c>
      <c r="O113" s="216">
        <f t="shared" si="29"/>
        <v>0</v>
      </c>
      <c r="P113" s="12">
        <f t="shared" si="30"/>
        <v>0</v>
      </c>
      <c r="Q113" s="70">
        <f t="shared" si="31"/>
        <v>0</v>
      </c>
      <c r="R113" s="73">
        <f t="shared" si="32"/>
        <v>0</v>
      </c>
      <c r="S113" s="103">
        <f t="shared" si="33"/>
        <v>0</v>
      </c>
    </row>
    <row r="114" spans="1:19" x14ac:dyDescent="0.25">
      <c r="A114" s="17" t="s">
        <v>326</v>
      </c>
      <c r="B114" s="137" t="s">
        <v>327</v>
      </c>
      <c r="C114" s="84">
        <v>1339564</v>
      </c>
      <c r="D114" s="213">
        <v>0.42880000000000001</v>
      </c>
      <c r="E114" s="103">
        <f t="shared" si="22"/>
        <v>574405.04320000007</v>
      </c>
      <c r="F114" s="176"/>
      <c r="G114" s="213">
        <v>0.42880000000000001</v>
      </c>
      <c r="H114" s="103">
        <f t="shared" si="27"/>
        <v>574405.04320000007</v>
      </c>
      <c r="I114" s="44">
        <f t="shared" si="28"/>
        <v>765158.95679999993</v>
      </c>
      <c r="J114" s="104">
        <f t="shared" si="34"/>
        <v>0</v>
      </c>
      <c r="K114" s="213">
        <v>0.26829999999999998</v>
      </c>
      <c r="L114" s="104">
        <f t="shared" si="19"/>
        <v>359405.02119999996</v>
      </c>
      <c r="M114" s="214">
        <f>IF(VLOOKUP($B$2:$B$209,Netvolumenmål!$B$3:$AN$210,38,FALSE)&lt;Netvolumenmål!$AD$215,VLOOKUP($B$2:$B$209,Netvolumenmål!$B$3:$AN$210,38,FALSE)-Netvolumenmål!$AD$215,0)</f>
        <v>-5.9638849701180122E-2</v>
      </c>
      <c r="N114" s="215">
        <f>VLOOKUP($B$2:$B$209,Netvolumenmål!$B$3:$AN$210,39,FALSE)*0.75</f>
        <v>-2.5419568713885499E-2</v>
      </c>
      <c r="O114" s="216">
        <f t="shared" si="29"/>
        <v>0.24288043128611447</v>
      </c>
      <c r="P114" s="12">
        <f t="shared" si="30"/>
        <v>325353.88205535267</v>
      </c>
      <c r="Q114" s="70">
        <f t="shared" si="31"/>
        <v>6.0720107821528618E-2</v>
      </c>
      <c r="R114" s="73">
        <f t="shared" si="32"/>
        <v>0.05</v>
      </c>
      <c r="S114" s="103">
        <f t="shared" si="33"/>
        <v>66978.2</v>
      </c>
    </row>
    <row r="115" spans="1:19" x14ac:dyDescent="0.25">
      <c r="A115" s="17" t="s">
        <v>484</v>
      </c>
      <c r="B115" s="137" t="s">
        <v>328</v>
      </c>
      <c r="C115" s="84">
        <v>8473705.8760000002</v>
      </c>
      <c r="D115" s="213">
        <v>0.19339999999999999</v>
      </c>
      <c r="E115" s="103">
        <f t="shared" si="22"/>
        <v>1638814.7164183999</v>
      </c>
      <c r="F115" s="175">
        <v>37080</v>
      </c>
      <c r="G115" s="213">
        <v>0.19070000000000001</v>
      </c>
      <c r="H115" s="103">
        <f t="shared" si="27"/>
        <v>1615935.7105532002</v>
      </c>
      <c r="I115" s="44">
        <f t="shared" si="28"/>
        <v>6857770.1654468002</v>
      </c>
      <c r="J115" s="104">
        <f t="shared" si="34"/>
        <v>0</v>
      </c>
      <c r="K115" s="213">
        <v>3.49E-2</v>
      </c>
      <c r="L115" s="104">
        <f t="shared" si="19"/>
        <v>295732.33507239999</v>
      </c>
      <c r="M115" s="214">
        <f>IF(VLOOKUP($B$2:$B$209,Netvolumenmål!$B$3:$AN$210,38,FALSE)&lt;Netvolumenmål!$AD$215,VLOOKUP($B$2:$B$209,Netvolumenmål!$B$3:$AN$210,38,FALSE)-Netvolumenmål!$AD$215,0)</f>
        <v>0</v>
      </c>
      <c r="N115" s="215">
        <f>VLOOKUP($B$2:$B$209,Netvolumenmål!$B$3:$AN$210,39,FALSE)*0.75</f>
        <v>0</v>
      </c>
      <c r="O115" s="216">
        <f t="shared" si="29"/>
        <v>3.49E-2</v>
      </c>
      <c r="P115" s="12">
        <f t="shared" si="30"/>
        <v>295732.33507239999</v>
      </c>
      <c r="Q115" s="70">
        <f t="shared" si="31"/>
        <v>8.7250000000000001E-3</v>
      </c>
      <c r="R115" s="73">
        <f t="shared" si="32"/>
        <v>0</v>
      </c>
      <c r="S115" s="103">
        <f t="shared" si="33"/>
        <v>0</v>
      </c>
    </row>
    <row r="116" spans="1:19" x14ac:dyDescent="0.25">
      <c r="A116" s="17" t="s">
        <v>41</v>
      </c>
      <c r="B116" s="137" t="s">
        <v>329</v>
      </c>
      <c r="C116" s="84">
        <v>1291485</v>
      </c>
      <c r="D116" s="213">
        <v>0.18509999999999999</v>
      </c>
      <c r="E116" s="103">
        <f t="shared" si="22"/>
        <v>239053.87349999999</v>
      </c>
      <c r="F116" s="176"/>
      <c r="G116" s="213">
        <v>0.18509999999999999</v>
      </c>
      <c r="H116" s="103">
        <f t="shared" si="27"/>
        <v>239053.87349999999</v>
      </c>
      <c r="I116" s="44">
        <f t="shared" si="28"/>
        <v>1052431.1265</v>
      </c>
      <c r="J116" s="104">
        <f t="shared" si="34"/>
        <v>0</v>
      </c>
      <c r="K116" s="213">
        <v>2.8799999999999999E-2</v>
      </c>
      <c r="L116" s="104">
        <f t="shared" si="19"/>
        <v>37194.767999999996</v>
      </c>
      <c r="M116" s="214">
        <f>IF(VLOOKUP($B$2:$B$209,Netvolumenmål!$B$3:$AN$210,38,FALSE)&lt;Netvolumenmål!$AD$215,VLOOKUP($B$2:$B$209,Netvolumenmål!$B$3:$AN$210,38,FALSE)-Netvolumenmål!$AD$215,0)</f>
        <v>-2.9488026186038213E-3</v>
      </c>
      <c r="N116" s="215">
        <f>VLOOKUP($B$2:$B$209,Netvolumenmål!$B$3:$AN$210,39,FALSE)*0.75</f>
        <v>-1.2568533961144139E-3</v>
      </c>
      <c r="O116" s="216">
        <f t="shared" si="29"/>
        <v>2.7543146603885585E-2</v>
      </c>
      <c r="P116" s="12">
        <f t="shared" si="30"/>
        <v>35571.560691719176</v>
      </c>
      <c r="Q116" s="70">
        <f t="shared" si="31"/>
        <v>6.8857866509713962E-3</v>
      </c>
      <c r="R116" s="73">
        <f t="shared" si="32"/>
        <v>0</v>
      </c>
      <c r="S116" s="103">
        <f t="shared" si="33"/>
        <v>0</v>
      </c>
    </row>
    <row r="117" spans="1:19" x14ac:dyDescent="0.25">
      <c r="A117" s="17" t="s">
        <v>330</v>
      </c>
      <c r="B117" s="137" t="s">
        <v>331</v>
      </c>
      <c r="C117" s="84">
        <v>949447</v>
      </c>
      <c r="D117" s="213">
        <v>0</v>
      </c>
      <c r="E117" s="103">
        <f t="shared" si="22"/>
        <v>0</v>
      </c>
      <c r="F117" s="176"/>
      <c r="G117" s="213">
        <v>0</v>
      </c>
      <c r="H117" s="103">
        <f t="shared" si="27"/>
        <v>0</v>
      </c>
      <c r="I117" s="44">
        <f>1.0782*C117</f>
        <v>1023693.7554</v>
      </c>
      <c r="J117" s="104">
        <f t="shared" si="34"/>
        <v>73487.197800000082</v>
      </c>
      <c r="K117" s="213">
        <v>0</v>
      </c>
      <c r="L117" s="104">
        <f t="shared" si="19"/>
        <v>0</v>
      </c>
      <c r="M117" s="214">
        <f>IF(VLOOKUP($B$2:$B$209,Netvolumenmål!$B$3:$AN$210,38,FALSE)&lt;Netvolumenmål!$AD$215,VLOOKUP($B$2:$B$209,Netvolumenmål!$B$3:$AN$210,38,FALSE)-Netvolumenmål!$AD$215,0)</f>
        <v>0</v>
      </c>
      <c r="N117" s="215">
        <f>VLOOKUP($B$2:$B$209,Netvolumenmål!$B$3:$AN$210,39,FALSE)*0.75</f>
        <v>0</v>
      </c>
      <c r="O117" s="216">
        <f t="shared" si="29"/>
        <v>0</v>
      </c>
      <c r="P117" s="12">
        <f t="shared" si="30"/>
        <v>0</v>
      </c>
      <c r="Q117" s="70">
        <f t="shared" si="31"/>
        <v>0</v>
      </c>
      <c r="R117" s="73">
        <f t="shared" si="32"/>
        <v>0</v>
      </c>
      <c r="S117" s="103">
        <f t="shared" si="33"/>
        <v>0</v>
      </c>
    </row>
    <row r="118" spans="1:19" x14ac:dyDescent="0.25">
      <c r="A118" s="17" t="s">
        <v>332</v>
      </c>
      <c r="B118" s="137" t="s">
        <v>333</v>
      </c>
      <c r="C118" s="84">
        <v>3926774</v>
      </c>
      <c r="D118" s="213">
        <v>0.1195</v>
      </c>
      <c r="E118" s="103">
        <f t="shared" si="22"/>
        <v>469249.49299999996</v>
      </c>
      <c r="F118" s="176"/>
      <c r="G118" s="213">
        <v>0.1195</v>
      </c>
      <c r="H118" s="103">
        <f t="shared" si="27"/>
        <v>469249.49299999996</v>
      </c>
      <c r="I118" s="44">
        <f t="shared" si="28"/>
        <v>3457524.5070000002</v>
      </c>
      <c r="J118" s="104">
        <f t="shared" si="34"/>
        <v>0</v>
      </c>
      <c r="K118" s="213">
        <v>0</v>
      </c>
      <c r="L118" s="104">
        <f t="shared" si="19"/>
        <v>0</v>
      </c>
      <c r="M118" s="214">
        <f>IF(VLOOKUP($B$2:$B$209,Netvolumenmål!$B$3:$AN$210,38,FALSE)&lt;Netvolumenmål!$AD$215,VLOOKUP($B$2:$B$209,Netvolumenmål!$B$3:$AN$210,38,FALSE)-Netvolumenmål!$AD$215,0)</f>
        <v>0</v>
      </c>
      <c r="N118" s="215">
        <f>VLOOKUP($B$2:$B$209,Netvolumenmål!$B$3:$AN$210,39,FALSE)*0.75</f>
        <v>0</v>
      </c>
      <c r="O118" s="216">
        <f t="shared" si="29"/>
        <v>0</v>
      </c>
      <c r="P118" s="12">
        <f t="shared" si="30"/>
        <v>0</v>
      </c>
      <c r="Q118" s="70">
        <f t="shared" si="31"/>
        <v>0</v>
      </c>
      <c r="R118" s="73">
        <f t="shared" si="32"/>
        <v>0</v>
      </c>
      <c r="S118" s="103">
        <f t="shared" si="33"/>
        <v>0</v>
      </c>
    </row>
    <row r="119" spans="1:19" x14ac:dyDescent="0.25">
      <c r="A119" s="17" t="s">
        <v>42</v>
      </c>
      <c r="B119" s="137" t="s">
        <v>334</v>
      </c>
      <c r="C119" s="84">
        <v>2220973</v>
      </c>
      <c r="D119" s="213">
        <v>0.26690000000000003</v>
      </c>
      <c r="E119" s="103">
        <f t="shared" si="22"/>
        <v>592777.69370000006</v>
      </c>
      <c r="F119" s="176"/>
      <c r="G119" s="213">
        <v>0.26690000000000003</v>
      </c>
      <c r="H119" s="103">
        <f t="shared" si="27"/>
        <v>592777.69370000006</v>
      </c>
      <c r="I119" s="44">
        <f t="shared" si="28"/>
        <v>1628195.3062999998</v>
      </c>
      <c r="J119" s="104">
        <f t="shared" si="34"/>
        <v>0</v>
      </c>
      <c r="K119" s="213">
        <v>0.1057</v>
      </c>
      <c r="L119" s="104">
        <f t="shared" si="19"/>
        <v>234756.8461</v>
      </c>
      <c r="M119" s="214">
        <f>IF(VLOOKUP($B$2:$B$209,Netvolumenmål!$B$3:$AN$210,38,FALSE)&lt;Netvolumenmål!$AD$215,VLOOKUP($B$2:$B$209,Netvolumenmål!$B$3:$AN$210,38,FALSE)-Netvolumenmål!$AD$215,0)</f>
        <v>0</v>
      </c>
      <c r="N119" s="215">
        <f>VLOOKUP($B$2:$B$209,Netvolumenmål!$B$3:$AN$210,39,FALSE)*0.75</f>
        <v>0</v>
      </c>
      <c r="O119" s="216">
        <f t="shared" si="29"/>
        <v>0.1057</v>
      </c>
      <c r="P119" s="12">
        <f t="shared" si="30"/>
        <v>234756.8461</v>
      </c>
      <c r="Q119" s="70">
        <f t="shared" si="31"/>
        <v>2.6425000000000001E-2</v>
      </c>
      <c r="R119" s="73">
        <f t="shared" si="32"/>
        <v>2.6425000000000001E-2</v>
      </c>
      <c r="S119" s="103">
        <f t="shared" si="33"/>
        <v>58689.211524999999</v>
      </c>
    </row>
    <row r="120" spans="1:19" x14ac:dyDescent="0.25">
      <c r="A120" s="17" t="s">
        <v>53</v>
      </c>
      <c r="B120" s="137" t="s">
        <v>335</v>
      </c>
      <c r="C120" s="84">
        <v>16887221</v>
      </c>
      <c r="D120" s="213">
        <v>0.50390000000000001</v>
      </c>
      <c r="E120" s="103">
        <f t="shared" si="22"/>
        <v>8509470.6619000006</v>
      </c>
      <c r="F120" s="176"/>
      <c r="G120" s="213">
        <v>0.50390000000000001</v>
      </c>
      <c r="H120" s="103">
        <f t="shared" si="27"/>
        <v>8509470.6619000006</v>
      </c>
      <c r="I120" s="44">
        <f t="shared" si="28"/>
        <v>8377750.3380999994</v>
      </c>
      <c r="J120" s="104">
        <f t="shared" si="34"/>
        <v>0</v>
      </c>
      <c r="K120" s="213">
        <v>0.3483</v>
      </c>
      <c r="L120" s="104">
        <f t="shared" si="19"/>
        <v>5881819.0742999995</v>
      </c>
      <c r="M120" s="214">
        <f>IF(VLOOKUP($B$2:$B$209,Netvolumenmål!$B$3:$AN$210,38,FALSE)&lt;Netvolumenmål!$AD$215,VLOOKUP($B$2:$B$209,Netvolumenmål!$B$3:$AN$210,38,FALSE)-Netvolumenmål!$AD$215,0)</f>
        <v>0</v>
      </c>
      <c r="N120" s="215">
        <f>VLOOKUP($B$2:$B$209,Netvolumenmål!$B$3:$AN$210,39,FALSE)*0.75</f>
        <v>0</v>
      </c>
      <c r="O120" s="216">
        <f t="shared" si="29"/>
        <v>0.3483</v>
      </c>
      <c r="P120" s="12">
        <f t="shared" si="30"/>
        <v>5881819.0742999995</v>
      </c>
      <c r="Q120" s="70">
        <f t="shared" si="31"/>
        <v>8.7075E-2</v>
      </c>
      <c r="R120" s="73">
        <f t="shared" si="32"/>
        <v>0.05</v>
      </c>
      <c r="S120" s="103">
        <f t="shared" si="33"/>
        <v>844361.05</v>
      </c>
    </row>
    <row r="121" spans="1:19" x14ac:dyDescent="0.25">
      <c r="A121" s="17" t="s">
        <v>43</v>
      </c>
      <c r="B121" s="137" t="s">
        <v>336</v>
      </c>
      <c r="C121" s="84">
        <v>18121673</v>
      </c>
      <c r="D121" s="213">
        <v>0.36209999999999998</v>
      </c>
      <c r="E121" s="103">
        <f t="shared" si="22"/>
        <v>6561857.7933</v>
      </c>
      <c r="F121" s="176"/>
      <c r="G121" s="213">
        <v>0.36209999999999998</v>
      </c>
      <c r="H121" s="103">
        <f t="shared" si="27"/>
        <v>6561857.7933</v>
      </c>
      <c r="I121" s="44">
        <f t="shared" si="28"/>
        <v>11559815.206700001</v>
      </c>
      <c r="J121" s="104">
        <f t="shared" si="34"/>
        <v>0</v>
      </c>
      <c r="K121" s="213">
        <v>0.20580000000000001</v>
      </c>
      <c r="L121" s="104">
        <f t="shared" si="19"/>
        <v>3729440.3034000001</v>
      </c>
      <c r="M121" s="214">
        <f>IF(VLOOKUP($B$2:$B$209,Netvolumenmål!$B$3:$AN$210,38,FALSE)&lt;Netvolumenmål!$AD$215,VLOOKUP($B$2:$B$209,Netvolumenmål!$B$3:$AN$210,38,FALSE)-Netvolumenmål!$AD$215,0)</f>
        <v>0</v>
      </c>
      <c r="N121" s="215">
        <f>VLOOKUP($B$2:$B$209,Netvolumenmål!$B$3:$AN$210,39,FALSE)*0.75</f>
        <v>0</v>
      </c>
      <c r="O121" s="216">
        <f t="shared" si="29"/>
        <v>0.20580000000000001</v>
      </c>
      <c r="P121" s="12">
        <f t="shared" si="30"/>
        <v>3729440.3034000001</v>
      </c>
      <c r="Q121" s="70">
        <f t="shared" si="31"/>
        <v>5.1450000000000003E-2</v>
      </c>
      <c r="R121" s="73">
        <f t="shared" si="32"/>
        <v>0.05</v>
      </c>
      <c r="S121" s="103">
        <f t="shared" si="33"/>
        <v>906083.65</v>
      </c>
    </row>
    <row r="122" spans="1:19" x14ac:dyDescent="0.25">
      <c r="A122" s="17" t="s">
        <v>337</v>
      </c>
      <c r="B122" s="137" t="s">
        <v>338</v>
      </c>
      <c r="C122" s="84">
        <v>1881531</v>
      </c>
      <c r="D122" s="213">
        <v>0.20899999999999999</v>
      </c>
      <c r="E122" s="103">
        <f t="shared" si="22"/>
        <v>393239.97899999999</v>
      </c>
      <c r="F122" s="176"/>
      <c r="G122" s="213">
        <v>0.20899999999999999</v>
      </c>
      <c r="H122" s="103">
        <f t="shared" si="27"/>
        <v>393239.97899999999</v>
      </c>
      <c r="I122" s="44">
        <f t="shared" si="28"/>
        <v>1488291.0209999999</v>
      </c>
      <c r="J122" s="104">
        <f t="shared" si="34"/>
        <v>0</v>
      </c>
      <c r="K122" s="213">
        <v>4.7899999999999998E-2</v>
      </c>
      <c r="L122" s="104">
        <f t="shared" si="19"/>
        <v>90125.334900000002</v>
      </c>
      <c r="M122" s="214">
        <f>IF(VLOOKUP($B$2:$B$209,Netvolumenmål!$B$3:$AN$210,38,FALSE)&lt;Netvolumenmål!$AD$215,VLOOKUP($B$2:$B$209,Netvolumenmål!$B$3:$AN$210,38,FALSE)-Netvolumenmål!$AD$215,0)</f>
        <v>0</v>
      </c>
      <c r="N122" s="215">
        <f>VLOOKUP($B$2:$B$209,Netvolumenmål!$B$3:$AN$210,39,FALSE)*0.75</f>
        <v>0</v>
      </c>
      <c r="O122" s="216">
        <f t="shared" si="29"/>
        <v>4.7899999999999998E-2</v>
      </c>
      <c r="P122" s="12">
        <f t="shared" si="30"/>
        <v>90125.334900000002</v>
      </c>
      <c r="Q122" s="70">
        <f t="shared" si="31"/>
        <v>1.1975E-2</v>
      </c>
      <c r="R122" s="73">
        <f t="shared" si="32"/>
        <v>1.1975E-2</v>
      </c>
      <c r="S122" s="103">
        <f t="shared" si="33"/>
        <v>22531.333725</v>
      </c>
    </row>
    <row r="123" spans="1:19" x14ac:dyDescent="0.25">
      <c r="A123" s="17" t="s">
        <v>339</v>
      </c>
      <c r="B123" s="137" t="s">
        <v>340</v>
      </c>
      <c r="C123" s="84">
        <v>3017114.4257499999</v>
      </c>
      <c r="D123" s="213">
        <v>0.58487449999999996</v>
      </c>
      <c r="E123" s="103">
        <f t="shared" si="22"/>
        <v>1764633.2912033182</v>
      </c>
      <c r="F123" s="84">
        <v>248846</v>
      </c>
      <c r="G123" s="213">
        <v>0.51970000000000005</v>
      </c>
      <c r="H123" s="103">
        <f t="shared" si="27"/>
        <v>1567994.3670622751</v>
      </c>
      <c r="I123" s="44">
        <f t="shared" si="28"/>
        <v>1449120.0586877249</v>
      </c>
      <c r="J123" s="104">
        <f t="shared" si="34"/>
        <v>0</v>
      </c>
      <c r="K123" s="213">
        <v>0.36559999999999998</v>
      </c>
      <c r="L123" s="104">
        <f t="shared" ref="L123:L183" si="35">K123*C123</f>
        <v>1103057.0340541999</v>
      </c>
      <c r="M123" s="214">
        <f>IF(VLOOKUP($B$2:$B$209,Netvolumenmål!$B$3:$AN$210,38,FALSE)&lt;Netvolumenmål!$AD$215,VLOOKUP($B$2:$B$209,Netvolumenmål!$B$3:$AN$210,38,FALSE)-Netvolumenmål!$AD$215,0)</f>
        <v>0</v>
      </c>
      <c r="N123" s="215">
        <f>VLOOKUP($B$2:$B$209,Netvolumenmål!$B$3:$AN$210,39,FALSE)*0.75</f>
        <v>0</v>
      </c>
      <c r="O123" s="216">
        <f t="shared" si="29"/>
        <v>0.36559999999999998</v>
      </c>
      <c r="P123" s="12">
        <f t="shared" si="30"/>
        <v>1103057.0340541999</v>
      </c>
      <c r="Q123" s="70">
        <f t="shared" si="31"/>
        <v>9.1399999999999995E-2</v>
      </c>
      <c r="R123" s="73">
        <f t="shared" si="32"/>
        <v>0.05</v>
      </c>
      <c r="S123" s="103">
        <f t="shared" si="33"/>
        <v>150855.7212875</v>
      </c>
    </row>
    <row r="124" spans="1:19" x14ac:dyDescent="0.25">
      <c r="A124" s="17" t="s">
        <v>341</v>
      </c>
      <c r="B124" s="137" t="s">
        <v>342</v>
      </c>
      <c r="C124" s="84">
        <v>1539298</v>
      </c>
      <c r="D124" s="213">
        <v>0.17710000000000001</v>
      </c>
      <c r="E124" s="103">
        <f t="shared" ref="E124:E184" si="36">C124*D124</f>
        <v>272609.67580000003</v>
      </c>
      <c r="F124" s="176"/>
      <c r="G124" s="213">
        <v>0.17710000000000001</v>
      </c>
      <c r="H124" s="103">
        <f t="shared" si="27"/>
        <v>272609.67580000003</v>
      </c>
      <c r="I124" s="44">
        <f t="shared" si="28"/>
        <v>1266688.3241999999</v>
      </c>
      <c r="J124" s="104">
        <f t="shared" si="34"/>
        <v>0</v>
      </c>
      <c r="K124" s="213">
        <v>2.3099999999999999E-2</v>
      </c>
      <c r="L124" s="104">
        <f t="shared" si="35"/>
        <v>35557.783799999997</v>
      </c>
      <c r="M124" s="214">
        <f>IF(VLOOKUP($B$2:$B$209,Netvolumenmål!$B$3:$AN$210,38,FALSE)&lt;Netvolumenmål!$AD$215,VLOOKUP($B$2:$B$209,Netvolumenmål!$B$3:$AN$210,38,FALSE)-Netvolumenmål!$AD$215,0)</f>
        <v>-5.5013843725037329E-2</v>
      </c>
      <c r="N124" s="215">
        <f>VLOOKUP($B$2:$B$209,Netvolumenmål!$B$3:$AN$210,39,FALSE)*0.75</f>
        <v>-2.3448275541704037E-2</v>
      </c>
      <c r="O124" s="216">
        <f t="shared" si="29"/>
        <v>0</v>
      </c>
      <c r="P124" s="12">
        <f t="shared" si="30"/>
        <v>0</v>
      </c>
      <c r="Q124" s="70">
        <f t="shared" si="31"/>
        <v>0</v>
      </c>
      <c r="R124" s="73">
        <f t="shared" si="32"/>
        <v>0</v>
      </c>
      <c r="S124" s="103">
        <f t="shared" si="33"/>
        <v>0</v>
      </c>
    </row>
    <row r="125" spans="1:19" x14ac:dyDescent="0.25">
      <c r="A125" s="17" t="s">
        <v>343</v>
      </c>
      <c r="B125" s="137" t="s">
        <v>344</v>
      </c>
      <c r="C125" s="84">
        <v>861430</v>
      </c>
      <c r="D125" s="213">
        <v>3.2399999999999998E-2</v>
      </c>
      <c r="E125" s="103">
        <f t="shared" si="36"/>
        <v>27910.331999999999</v>
      </c>
      <c r="F125" s="176"/>
      <c r="G125" s="213">
        <v>3.2399999999999998E-2</v>
      </c>
      <c r="H125" s="103">
        <f t="shared" si="27"/>
        <v>27910.331999999999</v>
      </c>
      <c r="I125" s="44">
        <f t="shared" si="28"/>
        <v>833519.66799999995</v>
      </c>
      <c r="J125" s="104">
        <f t="shared" si="34"/>
        <v>0</v>
      </c>
      <c r="K125" s="213">
        <v>0</v>
      </c>
      <c r="L125" s="104">
        <f t="shared" si="35"/>
        <v>0</v>
      </c>
      <c r="M125" s="214">
        <f>IF(VLOOKUP($B$2:$B$209,Netvolumenmål!$B$3:$AN$210,38,FALSE)&lt;Netvolumenmål!$AD$215,VLOOKUP($B$2:$B$209,Netvolumenmål!$B$3:$AN$210,38,FALSE)-Netvolumenmål!$AD$215,0)</f>
        <v>0</v>
      </c>
      <c r="N125" s="215">
        <f>VLOOKUP($B$2:$B$209,Netvolumenmål!$B$3:$AN$210,39,FALSE)*0.75</f>
        <v>0</v>
      </c>
      <c r="O125" s="216">
        <f t="shared" si="29"/>
        <v>0</v>
      </c>
      <c r="P125" s="12">
        <f t="shared" si="30"/>
        <v>0</v>
      </c>
      <c r="Q125" s="70">
        <f t="shared" si="31"/>
        <v>0</v>
      </c>
      <c r="R125" s="73">
        <f t="shared" si="32"/>
        <v>0</v>
      </c>
      <c r="S125" s="103">
        <f t="shared" si="33"/>
        <v>0</v>
      </c>
    </row>
    <row r="126" spans="1:19" x14ac:dyDescent="0.25">
      <c r="A126" s="17" t="s">
        <v>345</v>
      </c>
      <c r="B126" s="137" t="s">
        <v>346</v>
      </c>
      <c r="C126" s="84">
        <v>6558849</v>
      </c>
      <c r="D126" s="213">
        <v>0.42480000000000001</v>
      </c>
      <c r="E126" s="103">
        <f t="shared" si="36"/>
        <v>2786199.0552000003</v>
      </c>
      <c r="F126" s="176"/>
      <c r="G126" s="213">
        <v>0.42480000000000001</v>
      </c>
      <c r="H126" s="103">
        <f t="shared" si="27"/>
        <v>2786199.0552000003</v>
      </c>
      <c r="I126" s="44">
        <f t="shared" si="28"/>
        <v>3772649.9447999997</v>
      </c>
      <c r="J126" s="104">
        <f t="shared" si="34"/>
        <v>0</v>
      </c>
      <c r="K126" s="213">
        <v>0.2636</v>
      </c>
      <c r="L126" s="104">
        <f t="shared" si="35"/>
        <v>1728912.5963999999</v>
      </c>
      <c r="M126" s="214">
        <f>IF(VLOOKUP($B$2:$B$209,Netvolumenmål!$B$3:$AN$210,38,FALSE)&lt;Netvolumenmål!$AD$215,VLOOKUP($B$2:$B$209,Netvolumenmål!$B$3:$AN$210,38,FALSE)-Netvolumenmål!$AD$215,0)</f>
        <v>0</v>
      </c>
      <c r="N126" s="215">
        <f>VLOOKUP($B$2:$B$209,Netvolumenmål!$B$3:$AN$210,39,FALSE)*0.75</f>
        <v>0</v>
      </c>
      <c r="O126" s="216">
        <f t="shared" si="29"/>
        <v>0.2636</v>
      </c>
      <c r="P126" s="12">
        <f t="shared" si="30"/>
        <v>1728912.5963999999</v>
      </c>
      <c r="Q126" s="70">
        <f t="shared" si="31"/>
        <v>6.59E-2</v>
      </c>
      <c r="R126" s="73">
        <f t="shared" si="32"/>
        <v>0.05</v>
      </c>
      <c r="S126" s="103">
        <f t="shared" si="33"/>
        <v>327942.45</v>
      </c>
    </row>
    <row r="127" spans="1:19" x14ac:dyDescent="0.25">
      <c r="A127" s="17" t="s">
        <v>347</v>
      </c>
      <c r="B127" s="137" t="s">
        <v>348</v>
      </c>
      <c r="C127" s="84">
        <v>6099469</v>
      </c>
      <c r="D127" s="213">
        <v>0.1883</v>
      </c>
      <c r="E127" s="103">
        <f>C127*D127</f>
        <v>1148530.0127000001</v>
      </c>
      <c r="F127" s="176"/>
      <c r="G127" s="213">
        <v>0.1883</v>
      </c>
      <c r="H127" s="103">
        <f t="shared" si="27"/>
        <v>1148530.0127000001</v>
      </c>
      <c r="I127" s="44">
        <f t="shared" si="28"/>
        <v>4950938.9873000002</v>
      </c>
      <c r="J127" s="104">
        <f t="shared" si="34"/>
        <v>0</v>
      </c>
      <c r="K127" s="213">
        <v>2.5700000000000001E-2</v>
      </c>
      <c r="L127" s="104">
        <f t="shared" si="35"/>
        <v>156756.35330000002</v>
      </c>
      <c r="M127" s="214">
        <f>IF(VLOOKUP($B$2:$B$209,Netvolumenmål!$B$3:$AN$210,38,FALSE)&lt;Netvolumenmål!$AD$215,VLOOKUP($B$2:$B$209,Netvolumenmål!$B$3:$AN$210,38,FALSE)-Netvolumenmål!$AD$215,0)</f>
        <v>0</v>
      </c>
      <c r="N127" s="215">
        <f>VLOOKUP($B$2:$B$209,Netvolumenmål!$B$3:$AN$210,39,FALSE)*0.75</f>
        <v>0</v>
      </c>
      <c r="O127" s="216">
        <f t="shared" si="29"/>
        <v>2.5700000000000001E-2</v>
      </c>
      <c r="P127" s="12">
        <f t="shared" si="30"/>
        <v>156756.35330000002</v>
      </c>
      <c r="Q127" s="70">
        <f t="shared" si="31"/>
        <v>6.4250000000000002E-3</v>
      </c>
      <c r="R127" s="73">
        <f t="shared" si="32"/>
        <v>0</v>
      </c>
      <c r="S127" s="103">
        <f t="shared" si="33"/>
        <v>0</v>
      </c>
    </row>
    <row r="128" spans="1:19" x14ac:dyDescent="0.25">
      <c r="A128" s="17" t="s">
        <v>485</v>
      </c>
      <c r="B128" s="137" t="s">
        <v>349</v>
      </c>
      <c r="C128" s="84">
        <v>3824933</v>
      </c>
      <c r="D128" s="213">
        <v>0.40960000000000002</v>
      </c>
      <c r="E128" s="103">
        <f t="shared" si="36"/>
        <v>1566692.5568000001</v>
      </c>
      <c r="F128" s="176"/>
      <c r="G128" s="213">
        <v>0.40960000000000002</v>
      </c>
      <c r="H128" s="103">
        <f t="shared" si="27"/>
        <v>1566692.5568000001</v>
      </c>
      <c r="I128" s="44">
        <f t="shared" si="28"/>
        <v>2258240.4431999996</v>
      </c>
      <c r="J128" s="104">
        <f t="shared" si="34"/>
        <v>0</v>
      </c>
      <c r="K128" s="213">
        <v>0.25340000000000001</v>
      </c>
      <c r="L128" s="104">
        <f t="shared" si="35"/>
        <v>969238.02220000001</v>
      </c>
      <c r="M128" s="214">
        <f>IF(VLOOKUP($B$2:$B$209,Netvolumenmål!$B$3:$AN$210,38,FALSE)&lt;Netvolumenmål!$AD$215,VLOOKUP($B$2:$B$209,Netvolumenmål!$B$3:$AN$210,38,FALSE)-Netvolumenmål!$AD$215,0)</f>
        <v>0</v>
      </c>
      <c r="N128" s="215">
        <f>VLOOKUP($B$2:$B$209,Netvolumenmål!$B$3:$AN$210,39,FALSE)*0.75</f>
        <v>0</v>
      </c>
      <c r="O128" s="216">
        <f t="shared" si="29"/>
        <v>0.25340000000000001</v>
      </c>
      <c r="P128" s="12">
        <f t="shared" si="30"/>
        <v>969238.02220000001</v>
      </c>
      <c r="Q128" s="70">
        <f t="shared" si="31"/>
        <v>6.3350000000000004E-2</v>
      </c>
      <c r="R128" s="73">
        <f t="shared" si="32"/>
        <v>0.05</v>
      </c>
      <c r="S128" s="103">
        <f t="shared" si="33"/>
        <v>191246.65000000002</v>
      </c>
    </row>
    <row r="129" spans="1:19" x14ac:dyDescent="0.25">
      <c r="A129" s="17" t="s">
        <v>350</v>
      </c>
      <c r="B129" s="137" t="s">
        <v>351</v>
      </c>
      <c r="C129" s="84">
        <v>749753</v>
      </c>
      <c r="D129" s="213">
        <v>1.78E-2</v>
      </c>
      <c r="E129" s="103">
        <f t="shared" si="36"/>
        <v>13345.6034</v>
      </c>
      <c r="F129" s="176"/>
      <c r="G129" s="213">
        <v>1.78E-2</v>
      </c>
      <c r="H129" s="103">
        <f t="shared" si="27"/>
        <v>13345.6034</v>
      </c>
      <c r="I129" s="44">
        <f t="shared" si="28"/>
        <v>736407.39659999998</v>
      </c>
      <c r="J129" s="104">
        <f t="shared" si="34"/>
        <v>0</v>
      </c>
      <c r="K129" s="213">
        <v>0</v>
      </c>
      <c r="L129" s="104">
        <f t="shared" si="35"/>
        <v>0</v>
      </c>
      <c r="M129" s="214">
        <f>IF(VLOOKUP($B$2:$B$209,Netvolumenmål!$B$3:$AN$210,38,FALSE)&lt;Netvolumenmål!$AD$215,VLOOKUP($B$2:$B$209,Netvolumenmål!$B$3:$AN$210,38,FALSE)-Netvolumenmål!$AD$215,0)</f>
        <v>0</v>
      </c>
      <c r="N129" s="215">
        <f>VLOOKUP($B$2:$B$209,Netvolumenmål!$B$3:$AN$210,39,FALSE)*0.75</f>
        <v>0</v>
      </c>
      <c r="O129" s="216">
        <f t="shared" si="29"/>
        <v>0</v>
      </c>
      <c r="P129" s="12">
        <f t="shared" si="30"/>
        <v>0</v>
      </c>
      <c r="Q129" s="70">
        <f t="shared" si="31"/>
        <v>0</v>
      </c>
      <c r="R129" s="73">
        <f t="shared" si="32"/>
        <v>0</v>
      </c>
      <c r="S129" s="103">
        <f t="shared" si="33"/>
        <v>0</v>
      </c>
    </row>
    <row r="130" spans="1:19" x14ac:dyDescent="0.25">
      <c r="A130" s="17" t="s">
        <v>44</v>
      </c>
      <c r="B130" s="137" t="s">
        <v>352</v>
      </c>
      <c r="C130" s="84">
        <v>6756348</v>
      </c>
      <c r="D130" s="213">
        <v>0.31850000000000001</v>
      </c>
      <c r="E130" s="103">
        <f t="shared" si="36"/>
        <v>2151896.838</v>
      </c>
      <c r="F130" s="176"/>
      <c r="G130" s="213">
        <v>0.31850000000000001</v>
      </c>
      <c r="H130" s="103">
        <f t="shared" si="27"/>
        <v>2151896.838</v>
      </c>
      <c r="I130" s="44">
        <f t="shared" si="28"/>
        <v>4604451.1620000005</v>
      </c>
      <c r="J130" s="104">
        <f t="shared" si="34"/>
        <v>0</v>
      </c>
      <c r="K130" s="213">
        <v>0.16220000000000001</v>
      </c>
      <c r="L130" s="104">
        <f t="shared" si="35"/>
        <v>1095879.6456000002</v>
      </c>
      <c r="M130" s="214">
        <f>IF(VLOOKUP($B$2:$B$209,Netvolumenmål!$B$3:$AN$210,38,FALSE)&lt;Netvolumenmål!$AD$215,VLOOKUP($B$2:$B$209,Netvolumenmål!$B$3:$AN$210,38,FALSE)-Netvolumenmål!$AD$215,0)</f>
        <v>0</v>
      </c>
      <c r="N130" s="215">
        <f>VLOOKUP($B$2:$B$209,Netvolumenmål!$B$3:$AN$210,39,FALSE)*0.75</f>
        <v>0</v>
      </c>
      <c r="O130" s="216">
        <f t="shared" si="29"/>
        <v>0.16220000000000001</v>
      </c>
      <c r="P130" s="12">
        <f t="shared" si="30"/>
        <v>1095879.6456000002</v>
      </c>
      <c r="Q130" s="70">
        <f t="shared" si="31"/>
        <v>4.0550000000000003E-2</v>
      </c>
      <c r="R130" s="73">
        <f t="shared" si="32"/>
        <v>4.0550000000000003E-2</v>
      </c>
      <c r="S130" s="103">
        <f t="shared" si="33"/>
        <v>273969.91140000004</v>
      </c>
    </row>
    <row r="131" spans="1:19" x14ac:dyDescent="0.25">
      <c r="A131" s="17" t="s">
        <v>60</v>
      </c>
      <c r="B131" s="137" t="s">
        <v>353</v>
      </c>
      <c r="C131" s="84">
        <v>15330736</v>
      </c>
      <c r="D131" s="213">
        <v>0.34310000000000002</v>
      </c>
      <c r="E131" s="103">
        <f t="shared" si="36"/>
        <v>5259975.5216000006</v>
      </c>
      <c r="F131" s="84">
        <v>275799</v>
      </c>
      <c r="G131" s="213">
        <v>0.33079999999999998</v>
      </c>
      <c r="H131" s="103">
        <f t="shared" si="27"/>
        <v>5071407.4687999999</v>
      </c>
      <c r="I131" s="44">
        <f t="shared" si="28"/>
        <v>10259328.531199999</v>
      </c>
      <c r="J131" s="104">
        <f t="shared" si="34"/>
        <v>0</v>
      </c>
      <c r="K131" s="213">
        <v>0.17080000000000001</v>
      </c>
      <c r="L131" s="104">
        <f t="shared" si="35"/>
        <v>2618489.7088000001</v>
      </c>
      <c r="M131" s="214">
        <f>IF(VLOOKUP($B$2:$B$209,Netvolumenmål!$B$3:$AN$210,38,FALSE)&lt;Netvolumenmål!$AD$215,VLOOKUP($B$2:$B$209,Netvolumenmål!$B$3:$AN$210,38,FALSE)-Netvolumenmål!$AD$215,0)</f>
        <v>0</v>
      </c>
      <c r="N131" s="215">
        <f>VLOOKUP($B$2:$B$209,Netvolumenmål!$B$3:$AN$210,39,FALSE)*0.75</f>
        <v>0</v>
      </c>
      <c r="O131" s="216">
        <f t="shared" si="29"/>
        <v>0.17080000000000001</v>
      </c>
      <c r="P131" s="12">
        <f t="shared" si="30"/>
        <v>2618489.7088000001</v>
      </c>
      <c r="Q131" s="70">
        <f t="shared" si="31"/>
        <v>4.2700000000000002E-2</v>
      </c>
      <c r="R131" s="73">
        <f t="shared" si="32"/>
        <v>4.2700000000000002E-2</v>
      </c>
      <c r="S131" s="103">
        <f t="shared" si="33"/>
        <v>654622.42720000003</v>
      </c>
    </row>
    <row r="132" spans="1:19" x14ac:dyDescent="0.25">
      <c r="A132" s="17" t="s">
        <v>354</v>
      </c>
      <c r="B132" s="137" t="s">
        <v>355</v>
      </c>
      <c r="C132" s="84">
        <v>855762</v>
      </c>
      <c r="D132" s="213">
        <v>0.15690000000000001</v>
      </c>
      <c r="E132" s="103">
        <f t="shared" si="36"/>
        <v>134269.05780000001</v>
      </c>
      <c r="F132" s="176"/>
      <c r="G132" s="213">
        <v>0.15690000000000001</v>
      </c>
      <c r="H132" s="103">
        <f t="shared" si="27"/>
        <v>134269.05780000001</v>
      </c>
      <c r="I132" s="44">
        <f t="shared" si="28"/>
        <v>721492.94219999993</v>
      </c>
      <c r="J132" s="104">
        <f t="shared" si="34"/>
        <v>0</v>
      </c>
      <c r="K132" s="213">
        <v>3.8E-3</v>
      </c>
      <c r="L132" s="104">
        <f t="shared" si="35"/>
        <v>3251.8955999999998</v>
      </c>
      <c r="M132" s="214">
        <f>IF(VLOOKUP($B$2:$B$209,Netvolumenmål!$B$3:$AN$210,38,FALSE)&lt;Netvolumenmål!$AD$215,VLOOKUP($B$2:$B$209,Netvolumenmål!$B$3:$AN$210,38,FALSE)-Netvolumenmål!$AD$215,0)</f>
        <v>0</v>
      </c>
      <c r="N132" s="215">
        <f>VLOOKUP($B$2:$B$209,Netvolumenmål!$B$3:$AN$210,39,FALSE)*0.75</f>
        <v>0</v>
      </c>
      <c r="O132" s="216">
        <f t="shared" si="29"/>
        <v>3.8E-3</v>
      </c>
      <c r="P132" s="12">
        <f t="shared" si="30"/>
        <v>3251.8955999999998</v>
      </c>
      <c r="Q132" s="70">
        <f t="shared" si="31"/>
        <v>9.5E-4</v>
      </c>
      <c r="R132" s="73">
        <f t="shared" si="32"/>
        <v>0</v>
      </c>
      <c r="S132" s="103">
        <f t="shared" si="33"/>
        <v>0</v>
      </c>
    </row>
    <row r="133" spans="1:19" x14ac:dyDescent="0.25">
      <c r="A133" s="17" t="s">
        <v>356</v>
      </c>
      <c r="B133" s="137" t="s">
        <v>357</v>
      </c>
      <c r="C133" s="84">
        <v>2548995</v>
      </c>
      <c r="D133" s="213">
        <v>0.47520000000000001</v>
      </c>
      <c r="E133" s="103">
        <f t="shared" si="36"/>
        <v>1211282.4240000001</v>
      </c>
      <c r="F133" s="176"/>
      <c r="G133" s="213">
        <v>0.47520000000000001</v>
      </c>
      <c r="H133" s="103">
        <f t="shared" si="27"/>
        <v>1211282.4240000001</v>
      </c>
      <c r="I133" s="44">
        <f t="shared" si="28"/>
        <v>1337712.5759999999</v>
      </c>
      <c r="J133" s="104">
        <f t="shared" si="34"/>
        <v>0</v>
      </c>
      <c r="K133" s="213">
        <v>0.31740000000000002</v>
      </c>
      <c r="L133" s="104">
        <f t="shared" si="35"/>
        <v>809051.01300000004</v>
      </c>
      <c r="M133" s="214">
        <f>IF(VLOOKUP($B$2:$B$209,Netvolumenmål!$B$3:$AN$210,38,FALSE)&lt;Netvolumenmål!$AD$215,VLOOKUP($B$2:$B$209,Netvolumenmål!$B$3:$AN$210,38,FALSE)-Netvolumenmål!$AD$215,0)</f>
        <v>0</v>
      </c>
      <c r="N133" s="215">
        <f>VLOOKUP($B$2:$B$209,Netvolumenmål!$B$3:$AN$210,39,FALSE)*0.75</f>
        <v>0</v>
      </c>
      <c r="O133" s="216">
        <f t="shared" si="29"/>
        <v>0.31740000000000002</v>
      </c>
      <c r="P133" s="12">
        <f t="shared" si="30"/>
        <v>809051.01300000004</v>
      </c>
      <c r="Q133" s="70">
        <f t="shared" si="31"/>
        <v>7.9350000000000004E-2</v>
      </c>
      <c r="R133" s="73">
        <f t="shared" si="32"/>
        <v>0.05</v>
      </c>
      <c r="S133" s="103">
        <f t="shared" si="33"/>
        <v>127449.75</v>
      </c>
    </row>
    <row r="134" spans="1:19" x14ac:dyDescent="0.25">
      <c r="A134" s="17" t="s">
        <v>358</v>
      </c>
      <c r="B134" s="137" t="s">
        <v>359</v>
      </c>
      <c r="C134" s="84">
        <v>1871339</v>
      </c>
      <c r="D134" s="213">
        <v>0.50570000000000004</v>
      </c>
      <c r="E134" s="103">
        <f t="shared" si="36"/>
        <v>946336.13230000006</v>
      </c>
      <c r="F134" s="176"/>
      <c r="G134" s="213">
        <v>0.50570000000000004</v>
      </c>
      <c r="H134" s="103">
        <f t="shared" si="27"/>
        <v>946336.13230000006</v>
      </c>
      <c r="I134" s="44">
        <f t="shared" si="28"/>
        <v>925002.86769999994</v>
      </c>
      <c r="J134" s="104">
        <f t="shared" si="34"/>
        <v>0</v>
      </c>
      <c r="K134" s="213">
        <v>0.34939999999999999</v>
      </c>
      <c r="L134" s="104">
        <f t="shared" si="35"/>
        <v>653845.84659999993</v>
      </c>
      <c r="M134" s="214">
        <f>IF(VLOOKUP($B$2:$B$209,Netvolumenmål!$B$3:$AN$210,38,FALSE)&lt;Netvolumenmål!$AD$215,VLOOKUP($B$2:$B$209,Netvolumenmål!$B$3:$AN$210,38,FALSE)-Netvolumenmål!$AD$215,0)</f>
        <v>0</v>
      </c>
      <c r="N134" s="215">
        <f>VLOOKUP($B$2:$B$209,Netvolumenmål!$B$3:$AN$210,39,FALSE)*0.75</f>
        <v>0</v>
      </c>
      <c r="O134" s="216">
        <f t="shared" si="29"/>
        <v>0.34939999999999999</v>
      </c>
      <c r="P134" s="12">
        <f t="shared" si="30"/>
        <v>653845.84659999993</v>
      </c>
      <c r="Q134" s="70">
        <f t="shared" si="31"/>
        <v>8.7349999999999997E-2</v>
      </c>
      <c r="R134" s="73">
        <f t="shared" si="32"/>
        <v>0.05</v>
      </c>
      <c r="S134" s="103">
        <f t="shared" si="33"/>
        <v>93566.950000000012</v>
      </c>
    </row>
    <row r="135" spans="1:19" x14ac:dyDescent="0.25">
      <c r="A135" s="17" t="s">
        <v>360</v>
      </c>
      <c r="B135" s="137" t="s">
        <v>361</v>
      </c>
      <c r="C135" s="84">
        <v>2865510</v>
      </c>
      <c r="D135" s="213">
        <v>0.21529999999999999</v>
      </c>
      <c r="E135" s="103">
        <f t="shared" si="36"/>
        <v>616944.30299999996</v>
      </c>
      <c r="F135" s="176"/>
      <c r="G135" s="213">
        <v>0.21529999999999999</v>
      </c>
      <c r="H135" s="103">
        <f t="shared" si="27"/>
        <v>616944.30299999996</v>
      </c>
      <c r="I135" s="44">
        <f t="shared" si="28"/>
        <v>2248565.6970000002</v>
      </c>
      <c r="J135" s="104">
        <f t="shared" si="34"/>
        <v>0</v>
      </c>
      <c r="K135" s="213">
        <v>6.13E-2</v>
      </c>
      <c r="L135" s="104">
        <f t="shared" si="35"/>
        <v>175655.76300000001</v>
      </c>
      <c r="M135" s="214">
        <f>IF(VLOOKUP($B$2:$B$209,Netvolumenmål!$B$3:$AN$210,38,FALSE)&lt;Netvolumenmål!$AD$215,VLOOKUP($B$2:$B$209,Netvolumenmål!$B$3:$AN$210,38,FALSE)-Netvolumenmål!$AD$215,0)</f>
        <v>-8.3358877403317405E-3</v>
      </c>
      <c r="N135" s="215">
        <f>VLOOKUP($B$2:$B$209,Netvolumenmål!$B$3:$AN$210,39,FALSE)*0.75</f>
        <v>-3.5529637521228962E-3</v>
      </c>
      <c r="O135" s="216">
        <f t="shared" si="29"/>
        <v>5.7747036247877102E-2</v>
      </c>
      <c r="P135" s="12">
        <f t="shared" si="30"/>
        <v>165474.70983865432</v>
      </c>
      <c r="Q135" s="70">
        <f t="shared" si="31"/>
        <v>1.4436759061969276E-2</v>
      </c>
      <c r="R135" s="73">
        <f t="shared" si="32"/>
        <v>1.4436759061969276E-2</v>
      </c>
      <c r="S135" s="103">
        <f t="shared" si="33"/>
        <v>41368.677459663581</v>
      </c>
    </row>
    <row r="136" spans="1:19" x14ac:dyDescent="0.25">
      <c r="A136" s="17" t="s">
        <v>63</v>
      </c>
      <c r="B136" s="137" t="s">
        <v>362</v>
      </c>
      <c r="C136" s="84">
        <v>1284185</v>
      </c>
      <c r="D136" s="213">
        <v>0.29830000000000001</v>
      </c>
      <c r="E136" s="103">
        <f t="shared" si="36"/>
        <v>383072.38550000003</v>
      </c>
      <c r="F136" s="176"/>
      <c r="G136" s="213">
        <v>0.29830000000000001</v>
      </c>
      <c r="H136" s="103">
        <f t="shared" si="27"/>
        <v>383072.38550000003</v>
      </c>
      <c r="I136" s="44">
        <f t="shared" si="28"/>
        <v>901112.61449999991</v>
      </c>
      <c r="J136" s="104">
        <f t="shared" si="34"/>
        <v>0</v>
      </c>
      <c r="K136" s="213">
        <v>0.13730000000000001</v>
      </c>
      <c r="L136" s="104">
        <f t="shared" si="35"/>
        <v>176318.6005</v>
      </c>
      <c r="M136" s="214">
        <f>IF(VLOOKUP($B$2:$B$209,Netvolumenmål!$B$3:$AN$210,38,FALSE)&lt;Netvolumenmål!$AD$215,VLOOKUP($B$2:$B$209,Netvolumenmål!$B$3:$AN$210,38,FALSE)-Netvolumenmål!$AD$215,0)</f>
        <v>0</v>
      </c>
      <c r="N136" s="215">
        <f>VLOOKUP($B$2:$B$209,Netvolumenmål!$B$3:$AN$210,39,FALSE)*0.75</f>
        <v>0</v>
      </c>
      <c r="O136" s="216">
        <f t="shared" si="29"/>
        <v>0.13730000000000001</v>
      </c>
      <c r="P136" s="12">
        <f t="shared" si="30"/>
        <v>176318.6005</v>
      </c>
      <c r="Q136" s="70">
        <f t="shared" si="31"/>
        <v>3.4325000000000001E-2</v>
      </c>
      <c r="R136" s="73">
        <f t="shared" si="32"/>
        <v>3.4325000000000001E-2</v>
      </c>
      <c r="S136" s="103">
        <f t="shared" si="33"/>
        <v>44079.650125</v>
      </c>
    </row>
    <row r="137" spans="1:19" x14ac:dyDescent="0.25">
      <c r="A137" s="17" t="s">
        <v>363</v>
      </c>
      <c r="B137" s="137" t="s">
        <v>364</v>
      </c>
      <c r="C137" s="84">
        <v>4784552</v>
      </c>
      <c r="D137" s="213">
        <v>0.2903</v>
      </c>
      <c r="E137" s="103">
        <f t="shared" si="36"/>
        <v>1388955.4456</v>
      </c>
      <c r="F137" s="84">
        <v>188615</v>
      </c>
      <c r="G137" s="213">
        <v>0.26400000000000001</v>
      </c>
      <c r="H137" s="103">
        <f t="shared" si="27"/>
        <v>1263121.7280000001</v>
      </c>
      <c r="I137" s="44">
        <f t="shared" si="28"/>
        <v>3521430.2719999999</v>
      </c>
      <c r="J137" s="104">
        <f t="shared" si="34"/>
        <v>0</v>
      </c>
      <c r="K137" s="213">
        <v>0.1028</v>
      </c>
      <c r="L137" s="104">
        <f t="shared" si="35"/>
        <v>491851.94560000004</v>
      </c>
      <c r="M137" s="214">
        <f>IF(VLOOKUP($B$2:$B$209,Netvolumenmål!$B$3:$AN$210,38,FALSE)&lt;Netvolumenmål!$AD$215,VLOOKUP($B$2:$B$209,Netvolumenmål!$B$3:$AN$210,38,FALSE)-Netvolumenmål!$AD$215,0)</f>
        <v>0</v>
      </c>
      <c r="N137" s="215">
        <f>VLOOKUP($B$2:$B$209,Netvolumenmål!$B$3:$AN$210,39,FALSE)*0.75</f>
        <v>0</v>
      </c>
      <c r="O137" s="216">
        <f t="shared" si="29"/>
        <v>0.1028</v>
      </c>
      <c r="P137" s="12">
        <f t="shared" si="30"/>
        <v>491851.94560000004</v>
      </c>
      <c r="Q137" s="70">
        <f t="shared" si="31"/>
        <v>2.5700000000000001E-2</v>
      </c>
      <c r="R137" s="73">
        <f t="shared" si="32"/>
        <v>2.5700000000000001E-2</v>
      </c>
      <c r="S137" s="103">
        <f t="shared" si="33"/>
        <v>122962.98640000001</v>
      </c>
    </row>
    <row r="138" spans="1:19" x14ac:dyDescent="0.25">
      <c r="A138" s="17" t="s">
        <v>46</v>
      </c>
      <c r="B138" s="137" t="s">
        <v>365</v>
      </c>
      <c r="C138" s="84">
        <v>4497373</v>
      </c>
      <c r="D138" s="213">
        <v>0.4556</v>
      </c>
      <c r="E138" s="103">
        <f t="shared" si="36"/>
        <v>2049003.1388000001</v>
      </c>
      <c r="F138" s="176"/>
      <c r="G138" s="213">
        <v>0.4556</v>
      </c>
      <c r="H138" s="103">
        <f t="shared" si="27"/>
        <v>2049003.1388000001</v>
      </c>
      <c r="I138" s="44">
        <f t="shared" si="28"/>
        <v>2448369.8612000002</v>
      </c>
      <c r="J138" s="104">
        <f t="shared" si="34"/>
        <v>0</v>
      </c>
      <c r="K138" s="213">
        <v>0.29930000000000001</v>
      </c>
      <c r="L138" s="104">
        <f t="shared" si="35"/>
        <v>1346063.7389</v>
      </c>
      <c r="M138" s="214">
        <f>IF(VLOOKUP($B$2:$B$209,Netvolumenmål!$B$3:$AN$210,38,FALSE)&lt;Netvolumenmål!$AD$215,VLOOKUP($B$2:$B$209,Netvolumenmål!$B$3:$AN$210,38,FALSE)-Netvolumenmål!$AD$215,0)</f>
        <v>-7.0514607050200476E-2</v>
      </c>
      <c r="N138" s="215">
        <f>VLOOKUP($B$2:$B$209,Netvolumenmål!$B$3:$AN$210,39,FALSE)*0.75</f>
        <v>-3.0055088389971698E-2</v>
      </c>
      <c r="O138" s="216">
        <f t="shared" si="29"/>
        <v>0.26924491161002834</v>
      </c>
      <c r="P138" s="12">
        <f t="shared" si="30"/>
        <v>1210894.795862328</v>
      </c>
      <c r="Q138" s="70">
        <f t="shared" si="31"/>
        <v>6.7311227902507084E-2</v>
      </c>
      <c r="R138" s="73">
        <f t="shared" si="32"/>
        <v>0.05</v>
      </c>
      <c r="S138" s="103">
        <f t="shared" si="33"/>
        <v>224868.65000000002</v>
      </c>
    </row>
    <row r="139" spans="1:19" x14ac:dyDescent="0.25">
      <c r="A139" s="17" t="s">
        <v>366</v>
      </c>
      <c r="B139" s="137" t="s">
        <v>367</v>
      </c>
      <c r="C139" s="84">
        <v>1805062</v>
      </c>
      <c r="D139" s="213">
        <v>0.38129999999999997</v>
      </c>
      <c r="E139" s="103">
        <f t="shared" si="36"/>
        <v>688270.14059999993</v>
      </c>
      <c r="F139" s="176"/>
      <c r="G139" s="213">
        <v>0.38129999999999997</v>
      </c>
      <c r="H139" s="103">
        <f t="shared" si="27"/>
        <v>688270.14059999993</v>
      </c>
      <c r="I139" s="44">
        <f t="shared" si="28"/>
        <v>1116791.8594</v>
      </c>
      <c r="J139" s="104">
        <f t="shared" si="34"/>
        <v>0</v>
      </c>
      <c r="K139" s="213">
        <v>0.22509999999999999</v>
      </c>
      <c r="L139" s="104">
        <f t="shared" si="35"/>
        <v>406319.45620000002</v>
      </c>
      <c r="M139" s="214">
        <f>IF(VLOOKUP($B$2:$B$209,Netvolumenmål!$B$3:$AN$210,38,FALSE)&lt;Netvolumenmål!$AD$215,VLOOKUP($B$2:$B$209,Netvolumenmål!$B$3:$AN$210,38,FALSE)-Netvolumenmål!$AD$215,0)</f>
        <v>0</v>
      </c>
      <c r="N139" s="215">
        <f>VLOOKUP($B$2:$B$209,Netvolumenmål!$B$3:$AN$210,39,FALSE)*0.75</f>
        <v>0</v>
      </c>
      <c r="O139" s="216">
        <f t="shared" si="29"/>
        <v>0.22509999999999999</v>
      </c>
      <c r="P139" s="12">
        <f t="shared" si="30"/>
        <v>406319.45620000002</v>
      </c>
      <c r="Q139" s="70">
        <f t="shared" si="31"/>
        <v>5.6274999999999999E-2</v>
      </c>
      <c r="R139" s="73">
        <f t="shared" si="32"/>
        <v>0.05</v>
      </c>
      <c r="S139" s="103">
        <f t="shared" si="33"/>
        <v>90253.1</v>
      </c>
    </row>
    <row r="140" spans="1:19" x14ac:dyDescent="0.25">
      <c r="A140" s="17" t="s">
        <v>47</v>
      </c>
      <c r="B140" s="137" t="s">
        <v>368</v>
      </c>
      <c r="C140" s="84">
        <v>1100515</v>
      </c>
      <c r="D140" s="213">
        <v>0.2344</v>
      </c>
      <c r="E140" s="103">
        <f t="shared" si="36"/>
        <v>257960.71599999999</v>
      </c>
      <c r="F140" s="176"/>
      <c r="G140" s="213">
        <v>0.2344</v>
      </c>
      <c r="H140" s="103">
        <f t="shared" si="27"/>
        <v>257960.71599999999</v>
      </c>
      <c r="I140" s="44">
        <f t="shared" si="28"/>
        <v>842554.28399999999</v>
      </c>
      <c r="J140" s="104">
        <f t="shared" si="34"/>
        <v>0</v>
      </c>
      <c r="K140" s="213">
        <v>7.7200000000000005E-2</v>
      </c>
      <c r="L140" s="104">
        <f t="shared" si="35"/>
        <v>84959.758000000002</v>
      </c>
      <c r="M140" s="214">
        <f>IF(VLOOKUP($B$2:$B$209,Netvolumenmål!$B$3:$AN$210,38,FALSE)&lt;Netvolumenmål!$AD$215,VLOOKUP($B$2:$B$209,Netvolumenmål!$B$3:$AN$210,38,FALSE)-Netvolumenmål!$AD$215,0)</f>
        <v>0</v>
      </c>
      <c r="N140" s="215">
        <f>VLOOKUP($B$2:$B$209,Netvolumenmål!$B$3:$AN$210,39,FALSE)*0.75</f>
        <v>0</v>
      </c>
      <c r="O140" s="216">
        <f t="shared" si="29"/>
        <v>7.7200000000000005E-2</v>
      </c>
      <c r="P140" s="12">
        <f t="shared" si="30"/>
        <v>84959.758000000002</v>
      </c>
      <c r="Q140" s="70">
        <f t="shared" si="31"/>
        <v>1.9300000000000001E-2</v>
      </c>
      <c r="R140" s="73">
        <f t="shared" si="32"/>
        <v>1.9300000000000001E-2</v>
      </c>
      <c r="S140" s="103">
        <f t="shared" si="33"/>
        <v>21239.9395</v>
      </c>
    </row>
    <row r="141" spans="1:19" x14ac:dyDescent="0.25">
      <c r="A141" s="17" t="s">
        <v>369</v>
      </c>
      <c r="B141" s="137" t="s">
        <v>370</v>
      </c>
      <c r="C141" s="84">
        <v>1546318</v>
      </c>
      <c r="D141" s="213">
        <v>4.9399999999999999E-2</v>
      </c>
      <c r="E141" s="103">
        <f t="shared" si="36"/>
        <v>76388.109200000006</v>
      </c>
      <c r="F141" s="176"/>
      <c r="G141" s="213">
        <v>4.9399999999999999E-2</v>
      </c>
      <c r="H141" s="103">
        <f t="shared" si="27"/>
        <v>76388.109200000006</v>
      </c>
      <c r="I141" s="44">
        <f>IF(G141&gt;0,C141-H141,"Over fronten")</f>
        <v>1469929.8907999999</v>
      </c>
      <c r="J141" s="104">
        <f t="shared" si="34"/>
        <v>0</v>
      </c>
      <c r="K141" s="213">
        <v>0</v>
      </c>
      <c r="L141" s="104">
        <f t="shared" si="35"/>
        <v>0</v>
      </c>
      <c r="M141" s="214">
        <f>IF(VLOOKUP($B$2:$B$209,Netvolumenmål!$B$3:$AN$210,38,FALSE)&lt;Netvolumenmål!$AD$215,VLOOKUP($B$2:$B$209,Netvolumenmål!$B$3:$AN$210,38,FALSE)-Netvolumenmål!$AD$215,0)</f>
        <v>-7.5339002020107376E-3</v>
      </c>
      <c r="N141" s="215">
        <f>VLOOKUP($B$2:$B$209,Netvolumenmål!$B$3:$AN$210,39,FALSE)*0.75</f>
        <v>-3.2111366136020271E-3</v>
      </c>
      <c r="O141" s="216">
        <f t="shared" si="29"/>
        <v>0</v>
      </c>
      <c r="P141" s="12">
        <f t="shared" si="30"/>
        <v>0</v>
      </c>
      <c r="Q141" s="70">
        <f t="shared" si="31"/>
        <v>0</v>
      </c>
      <c r="R141" s="73">
        <f t="shared" si="32"/>
        <v>0</v>
      </c>
      <c r="S141" s="103">
        <f t="shared" si="33"/>
        <v>0</v>
      </c>
    </row>
    <row r="142" spans="1:19" x14ac:dyDescent="0.25">
      <c r="A142" s="17" t="s">
        <v>371</v>
      </c>
      <c r="B142" s="137" t="s">
        <v>372</v>
      </c>
      <c r="C142" s="84">
        <v>2494859</v>
      </c>
      <c r="D142" s="213">
        <v>0.27679999999999999</v>
      </c>
      <c r="E142" s="103">
        <f t="shared" si="36"/>
        <v>690576.97120000003</v>
      </c>
      <c r="F142" s="176"/>
      <c r="G142" s="213">
        <v>0.27679999999999999</v>
      </c>
      <c r="H142" s="103">
        <f>G142*C142</f>
        <v>690576.97120000003</v>
      </c>
      <c r="I142" s="44">
        <f t="shared" si="28"/>
        <v>1804282.0288</v>
      </c>
      <c r="J142" s="104">
        <f t="shared" si="34"/>
        <v>0</v>
      </c>
      <c r="K142" s="213">
        <v>0.1197</v>
      </c>
      <c r="L142" s="104">
        <f t="shared" si="35"/>
        <v>298634.62229999999</v>
      </c>
      <c r="M142" s="214">
        <f>IF(VLOOKUP($B$2:$B$209,Netvolumenmål!$B$3:$AN$210,38,FALSE)&lt;Netvolumenmål!$AD$215,VLOOKUP($B$2:$B$209,Netvolumenmål!$B$3:$AN$210,38,FALSE)-Netvolumenmål!$AD$215,0)</f>
        <v>0</v>
      </c>
      <c r="N142" s="215">
        <f>VLOOKUP($B$2:$B$209,Netvolumenmål!$B$3:$AN$210,39,FALSE)*0.75</f>
        <v>0</v>
      </c>
      <c r="O142" s="216">
        <f t="shared" si="29"/>
        <v>0.1197</v>
      </c>
      <c r="P142" s="12">
        <f t="shared" si="30"/>
        <v>298634.62229999999</v>
      </c>
      <c r="Q142" s="70">
        <f t="shared" si="31"/>
        <v>2.9925E-2</v>
      </c>
      <c r="R142" s="73">
        <f t="shared" si="32"/>
        <v>2.9925E-2</v>
      </c>
      <c r="S142" s="103">
        <f t="shared" si="33"/>
        <v>74658.655574999997</v>
      </c>
    </row>
    <row r="143" spans="1:19" x14ac:dyDescent="0.25">
      <c r="A143" s="17" t="s">
        <v>49</v>
      </c>
      <c r="B143" s="137" t="s">
        <v>373</v>
      </c>
      <c r="C143" s="84">
        <v>1131420</v>
      </c>
      <c r="D143" s="213">
        <v>0.29799999999999999</v>
      </c>
      <c r="E143" s="103">
        <f t="shared" si="36"/>
        <v>337163.16</v>
      </c>
      <c r="F143" s="176"/>
      <c r="G143" s="213">
        <v>0.29799999999999999</v>
      </c>
      <c r="H143" s="103">
        <f t="shared" si="27"/>
        <v>337163.16</v>
      </c>
      <c r="I143" s="44">
        <f t="shared" si="28"/>
        <v>794256.84000000008</v>
      </c>
      <c r="J143" s="104">
        <f t="shared" si="34"/>
        <v>0</v>
      </c>
      <c r="K143" s="213">
        <v>0.14599999999999999</v>
      </c>
      <c r="L143" s="104">
        <f t="shared" si="35"/>
        <v>165187.31999999998</v>
      </c>
      <c r="M143" s="214">
        <f>IF(VLOOKUP($B$2:$B$209,Netvolumenmål!$B$3:$AN$210,38,FALSE)&lt;Netvolumenmål!$AD$215,VLOOKUP($B$2:$B$209,Netvolumenmål!$B$3:$AN$210,38,FALSE)-Netvolumenmål!$AD$215,0)</f>
        <v>0</v>
      </c>
      <c r="N143" s="215">
        <f>VLOOKUP($B$2:$B$209,Netvolumenmål!$B$3:$AN$210,39,FALSE)*0.75</f>
        <v>0</v>
      </c>
      <c r="O143" s="216">
        <f t="shared" si="29"/>
        <v>0.14599999999999999</v>
      </c>
      <c r="P143" s="12">
        <f t="shared" si="30"/>
        <v>165187.31999999998</v>
      </c>
      <c r="Q143" s="70">
        <f t="shared" si="31"/>
        <v>3.6499999999999998E-2</v>
      </c>
      <c r="R143" s="73">
        <f t="shared" si="32"/>
        <v>3.6499999999999998E-2</v>
      </c>
      <c r="S143" s="103">
        <f t="shared" si="33"/>
        <v>41296.829999999994</v>
      </c>
    </row>
    <row r="144" spans="1:19" x14ac:dyDescent="0.25">
      <c r="A144" s="17" t="s">
        <v>486</v>
      </c>
      <c r="B144" s="137" t="s">
        <v>374</v>
      </c>
      <c r="C144" s="84">
        <v>1678384</v>
      </c>
      <c r="D144" s="213">
        <v>0.38540000000000002</v>
      </c>
      <c r="E144" s="103">
        <f t="shared" si="36"/>
        <v>646849.1936</v>
      </c>
      <c r="F144" s="176"/>
      <c r="G144" s="213">
        <v>0.38540000000000002</v>
      </c>
      <c r="H144" s="103">
        <f t="shared" si="27"/>
        <v>646849.1936</v>
      </c>
      <c r="I144" s="44">
        <f t="shared" si="28"/>
        <v>1031534.8064</v>
      </c>
      <c r="J144" s="104">
        <f t="shared" si="34"/>
        <v>0</v>
      </c>
      <c r="K144" s="213">
        <v>0.22420000000000001</v>
      </c>
      <c r="L144" s="104">
        <f t="shared" si="35"/>
        <v>376293.69280000002</v>
      </c>
      <c r="M144" s="214">
        <f>IF(VLOOKUP($B$2:$B$209,Netvolumenmål!$B$3:$AN$210,38,FALSE)&lt;Netvolumenmål!$AD$215,VLOOKUP($B$2:$B$209,Netvolumenmål!$B$3:$AN$210,38,FALSE)-Netvolumenmål!$AD$215,0)</f>
        <v>0</v>
      </c>
      <c r="N144" s="215">
        <f>VLOOKUP($B$2:$B$209,Netvolumenmål!$B$3:$AN$210,39,FALSE)*0.75</f>
        <v>0</v>
      </c>
      <c r="O144" s="216">
        <f t="shared" si="29"/>
        <v>0.22420000000000001</v>
      </c>
      <c r="P144" s="12">
        <f t="shared" si="30"/>
        <v>376293.69280000002</v>
      </c>
      <c r="Q144" s="70">
        <f t="shared" si="31"/>
        <v>5.6050000000000003E-2</v>
      </c>
      <c r="R144" s="73">
        <f t="shared" si="32"/>
        <v>0.05</v>
      </c>
      <c r="S144" s="103">
        <f t="shared" si="33"/>
        <v>83919.200000000012</v>
      </c>
    </row>
    <row r="145" spans="1:19" x14ac:dyDescent="0.25">
      <c r="A145" s="17" t="s">
        <v>487</v>
      </c>
      <c r="B145" s="137" t="s">
        <v>375</v>
      </c>
      <c r="C145" s="84">
        <v>19732</v>
      </c>
      <c r="D145" s="213">
        <v>5.6599999999999998E-2</v>
      </c>
      <c r="E145" s="103">
        <f t="shared" si="36"/>
        <v>1116.8311999999999</v>
      </c>
      <c r="F145" s="176"/>
      <c r="G145" s="213">
        <v>5.6599999999999998E-2</v>
      </c>
      <c r="H145" s="103">
        <f t="shared" si="27"/>
        <v>1116.8311999999999</v>
      </c>
      <c r="I145" s="44">
        <f t="shared" si="28"/>
        <v>18615.168799999999</v>
      </c>
      <c r="J145" s="104">
        <f t="shared" si="34"/>
        <v>0</v>
      </c>
      <c r="K145" s="213">
        <v>0</v>
      </c>
      <c r="L145" s="104">
        <f t="shared" si="35"/>
        <v>0</v>
      </c>
      <c r="M145" s="214">
        <f>IF(VLOOKUP($B$2:$B$209,Netvolumenmål!$B$3:$AN$210,38,FALSE)&lt;Netvolumenmål!$AD$215,VLOOKUP($B$2:$B$209,Netvolumenmål!$B$3:$AN$210,38,FALSE)-Netvolumenmål!$AD$215,0)</f>
        <v>0</v>
      </c>
      <c r="N145" s="215">
        <f>VLOOKUP($B$2:$B$209,Netvolumenmål!$B$3:$AN$210,39,FALSE)*0.75</f>
        <v>0</v>
      </c>
      <c r="O145" s="216">
        <f t="shared" si="29"/>
        <v>0</v>
      </c>
      <c r="P145" s="12">
        <f t="shared" si="30"/>
        <v>0</v>
      </c>
      <c r="Q145" s="70">
        <f t="shared" si="31"/>
        <v>0</v>
      </c>
      <c r="R145" s="73">
        <f t="shared" si="32"/>
        <v>0</v>
      </c>
      <c r="S145" s="103">
        <f t="shared" si="33"/>
        <v>0</v>
      </c>
    </row>
    <row r="146" spans="1:19" x14ac:dyDescent="0.25">
      <c r="A146" s="17" t="s">
        <v>376</v>
      </c>
      <c r="B146" s="137" t="s">
        <v>377</v>
      </c>
      <c r="C146" s="84">
        <v>15036159</v>
      </c>
      <c r="D146" s="213">
        <v>0.18390000000000001</v>
      </c>
      <c r="E146" s="103">
        <f t="shared" si="36"/>
        <v>2765149.6401</v>
      </c>
      <c r="F146" s="84">
        <v>405654</v>
      </c>
      <c r="G146" s="213">
        <v>0.16650000000000001</v>
      </c>
      <c r="H146" s="103">
        <f t="shared" ref="H146:H204" si="37">G146*C146</f>
        <v>2503520.4735000003</v>
      </c>
      <c r="I146" s="44">
        <f t="shared" ref="I146:I204" si="38">IF(G146&gt;0,C146-H146,"Over fronten")</f>
        <v>12532638.5265</v>
      </c>
      <c r="J146" s="104">
        <f t="shared" si="34"/>
        <v>0</v>
      </c>
      <c r="K146" s="213">
        <v>5.3E-3</v>
      </c>
      <c r="L146" s="104">
        <f t="shared" si="35"/>
        <v>79691.642699999997</v>
      </c>
      <c r="M146" s="214">
        <f>IF(VLOOKUP($B$2:$B$209,Netvolumenmål!$B$3:$AN$210,38,FALSE)&lt;Netvolumenmål!$AD$215,VLOOKUP($B$2:$B$209,Netvolumenmål!$B$3:$AN$210,38,FALSE)-Netvolumenmål!$AD$215,0)</f>
        <v>0</v>
      </c>
      <c r="N146" s="215">
        <f>VLOOKUP($B$2:$B$209,Netvolumenmål!$B$3:$AN$210,39,FALSE)*0.75</f>
        <v>0</v>
      </c>
      <c r="O146" s="216">
        <f t="shared" ref="O146:O204" si="39">IF(K146=0,0,IF(K146&lt;-N146,0,K146+N146))</f>
        <v>5.3E-3</v>
      </c>
      <c r="P146" s="12">
        <f t="shared" ref="P146:P204" si="40">O146*C146</f>
        <v>79691.642699999997</v>
      </c>
      <c r="Q146" s="70">
        <f t="shared" ref="Q146:Q204" si="41">O146/4</f>
        <v>1.325E-3</v>
      </c>
      <c r="R146" s="73">
        <f t="shared" ref="R146:R204" si="42">IF(Q146&gt;0.01,IF(Q146&gt;0.05,0.05,Q146),0)</f>
        <v>0</v>
      </c>
      <c r="S146" s="103">
        <f t="shared" ref="S146:S204" si="43">R146*C146</f>
        <v>0</v>
      </c>
    </row>
    <row r="147" spans="1:19" x14ac:dyDescent="0.25">
      <c r="A147" s="17" t="s">
        <v>50</v>
      </c>
      <c r="B147" s="137" t="s">
        <v>378</v>
      </c>
      <c r="C147" s="84">
        <v>8614035</v>
      </c>
      <c r="D147" s="213">
        <v>0.37409999999999999</v>
      </c>
      <c r="E147" s="103">
        <f t="shared" si="36"/>
        <v>3222510.4934999999</v>
      </c>
      <c r="F147" s="175">
        <v>105475</v>
      </c>
      <c r="G147" s="213">
        <v>0.3659</v>
      </c>
      <c r="H147" s="103">
        <f t="shared" si="37"/>
        <v>3151875.4065</v>
      </c>
      <c r="I147" s="44">
        <f t="shared" si="38"/>
        <v>5462159.5934999995</v>
      </c>
      <c r="J147" s="104">
        <f t="shared" si="34"/>
        <v>0</v>
      </c>
      <c r="K147" s="213">
        <v>0.21390000000000001</v>
      </c>
      <c r="L147" s="104">
        <f t="shared" si="35"/>
        <v>1842542.0865</v>
      </c>
      <c r="M147" s="214">
        <f>IF(VLOOKUP($B$2:$B$209,Netvolumenmål!$B$3:$AN$210,38,FALSE)&lt;Netvolumenmål!$AD$215,VLOOKUP($B$2:$B$209,Netvolumenmål!$B$3:$AN$210,38,FALSE)-Netvolumenmål!$AD$215,0)</f>
        <v>0</v>
      </c>
      <c r="N147" s="215">
        <f>VLOOKUP($B$2:$B$209,Netvolumenmål!$B$3:$AN$210,39,FALSE)*0.75</f>
        <v>0</v>
      </c>
      <c r="O147" s="216">
        <f t="shared" si="39"/>
        <v>0.21390000000000001</v>
      </c>
      <c r="P147" s="12">
        <f t="shared" si="40"/>
        <v>1842542.0865</v>
      </c>
      <c r="Q147" s="70">
        <f t="shared" si="41"/>
        <v>5.3475000000000002E-2</v>
      </c>
      <c r="R147" s="73">
        <f t="shared" si="42"/>
        <v>0.05</v>
      </c>
      <c r="S147" s="103">
        <f t="shared" si="43"/>
        <v>430701.75</v>
      </c>
    </row>
    <row r="148" spans="1:19" x14ac:dyDescent="0.25">
      <c r="A148" s="17" t="s">
        <v>51</v>
      </c>
      <c r="B148" s="137" t="s">
        <v>379</v>
      </c>
      <c r="C148" s="84">
        <v>20201013</v>
      </c>
      <c r="D148" s="213">
        <v>0.27360000000000001</v>
      </c>
      <c r="E148" s="103">
        <f t="shared" si="36"/>
        <v>5526997.1568</v>
      </c>
      <c r="F148" s="176"/>
      <c r="G148" s="213">
        <v>0.27360000000000001</v>
      </c>
      <c r="H148" s="103">
        <f t="shared" si="37"/>
        <v>5526997.1568</v>
      </c>
      <c r="I148" s="44">
        <f t="shared" si="38"/>
        <v>14674015.8432</v>
      </c>
      <c r="J148" s="104">
        <f t="shared" si="34"/>
        <v>0</v>
      </c>
      <c r="K148" s="213">
        <v>0.1174</v>
      </c>
      <c r="L148" s="104">
        <f t="shared" si="35"/>
        <v>2371598.9262000001</v>
      </c>
      <c r="M148" s="214">
        <f>IF(VLOOKUP($B$2:$B$209,Netvolumenmål!$B$3:$AN$210,38,FALSE)&lt;Netvolumenmål!$AD$215,VLOOKUP($B$2:$B$209,Netvolumenmål!$B$3:$AN$210,38,FALSE)-Netvolumenmål!$AD$215,0)</f>
        <v>0</v>
      </c>
      <c r="N148" s="215">
        <f>VLOOKUP($B$2:$B$209,Netvolumenmål!$B$3:$AN$210,39,FALSE)*0.75</f>
        <v>0</v>
      </c>
      <c r="O148" s="216">
        <f t="shared" si="39"/>
        <v>0.1174</v>
      </c>
      <c r="P148" s="12">
        <f t="shared" si="40"/>
        <v>2371598.9262000001</v>
      </c>
      <c r="Q148" s="70">
        <f t="shared" si="41"/>
        <v>2.9350000000000001E-2</v>
      </c>
      <c r="R148" s="73">
        <f t="shared" si="42"/>
        <v>2.9350000000000001E-2</v>
      </c>
      <c r="S148" s="103">
        <f t="shared" si="43"/>
        <v>592899.73155000003</v>
      </c>
    </row>
    <row r="149" spans="1:19" x14ac:dyDescent="0.25">
      <c r="A149" s="17" t="s">
        <v>488</v>
      </c>
      <c r="B149" s="137" t="s">
        <v>380</v>
      </c>
      <c r="C149" s="84">
        <v>9186294</v>
      </c>
      <c r="D149" s="213">
        <v>0.30959999999999999</v>
      </c>
      <c r="E149" s="103">
        <f t="shared" si="36"/>
        <v>2844076.6223999998</v>
      </c>
      <c r="F149" s="176">
        <v>0</v>
      </c>
      <c r="G149" s="213">
        <v>0.30959999999999999</v>
      </c>
      <c r="H149" s="103">
        <f t="shared" si="37"/>
        <v>2844076.6223999998</v>
      </c>
      <c r="I149" s="44">
        <f t="shared" si="38"/>
        <v>6342217.3776000002</v>
      </c>
      <c r="J149" s="104">
        <f t="shared" si="34"/>
        <v>0</v>
      </c>
      <c r="K149" s="213">
        <v>0.15329999999999999</v>
      </c>
      <c r="L149" s="104">
        <f t="shared" si="35"/>
        <v>1408258.8702</v>
      </c>
      <c r="M149" s="214">
        <f>IF(VLOOKUP($B$2:$B$209,Netvolumenmål!$B$3:$AN$210,38,FALSE)&lt;Netvolumenmål!$AD$215,VLOOKUP($B$2:$B$209,Netvolumenmål!$B$3:$AN$210,38,FALSE)-Netvolumenmål!$AD$215,0)</f>
        <v>0</v>
      </c>
      <c r="N149" s="215">
        <f>VLOOKUP($B$2:$B$209,Netvolumenmål!$B$3:$AN$210,39,FALSE)*0.75</f>
        <v>0</v>
      </c>
      <c r="O149" s="216">
        <f t="shared" si="39"/>
        <v>0.15329999999999999</v>
      </c>
      <c r="P149" s="12">
        <f t="shared" si="40"/>
        <v>1408258.8702</v>
      </c>
      <c r="Q149" s="70">
        <f t="shared" si="41"/>
        <v>3.8324999999999998E-2</v>
      </c>
      <c r="R149" s="73">
        <f t="shared" si="42"/>
        <v>3.8324999999999998E-2</v>
      </c>
      <c r="S149" s="103">
        <f t="shared" si="43"/>
        <v>352064.71755</v>
      </c>
    </row>
    <row r="150" spans="1:19" x14ac:dyDescent="0.25">
      <c r="A150" s="17" t="s">
        <v>68</v>
      </c>
      <c r="B150" s="137" t="s">
        <v>381</v>
      </c>
      <c r="C150" s="84">
        <v>1860346</v>
      </c>
      <c r="D150" s="213">
        <v>0.249</v>
      </c>
      <c r="E150" s="103">
        <f t="shared" si="36"/>
        <v>463226.15399999998</v>
      </c>
      <c r="F150" s="176">
        <v>0</v>
      </c>
      <c r="G150" s="213">
        <v>0.249</v>
      </c>
      <c r="H150" s="103">
        <f t="shared" si="37"/>
        <v>463226.15399999998</v>
      </c>
      <c r="I150" s="44">
        <f t="shared" si="38"/>
        <v>1397119.8459999999</v>
      </c>
      <c r="J150" s="104">
        <f t="shared" si="34"/>
        <v>0</v>
      </c>
      <c r="K150" s="213">
        <v>9.5000000000000001E-2</v>
      </c>
      <c r="L150" s="104">
        <f t="shared" si="35"/>
        <v>176732.87</v>
      </c>
      <c r="M150" s="214">
        <f>IF(VLOOKUP($B$2:$B$209,Netvolumenmål!$B$3:$AN$210,38,FALSE)&lt;Netvolumenmål!$AD$215,VLOOKUP($B$2:$B$209,Netvolumenmål!$B$3:$AN$210,38,FALSE)-Netvolumenmål!$AD$215,0)</f>
        <v>0</v>
      </c>
      <c r="N150" s="215">
        <f>VLOOKUP($B$2:$B$209,Netvolumenmål!$B$3:$AN$210,39,FALSE)*0.75</f>
        <v>0</v>
      </c>
      <c r="O150" s="216">
        <f t="shared" si="39"/>
        <v>9.5000000000000001E-2</v>
      </c>
      <c r="P150" s="12">
        <f t="shared" si="40"/>
        <v>176732.87</v>
      </c>
      <c r="Q150" s="70">
        <f t="shared" si="41"/>
        <v>2.375E-2</v>
      </c>
      <c r="R150" s="73">
        <f t="shared" si="42"/>
        <v>2.375E-2</v>
      </c>
      <c r="S150" s="103">
        <f t="shared" si="43"/>
        <v>44183.217499999999</v>
      </c>
    </row>
    <row r="151" spans="1:19" x14ac:dyDescent="0.25">
      <c r="A151" s="17" t="s">
        <v>382</v>
      </c>
      <c r="B151" s="137" t="s">
        <v>383</v>
      </c>
      <c r="C151" s="84">
        <v>1540141</v>
      </c>
      <c r="D151" s="213">
        <v>0.40529999999999999</v>
      </c>
      <c r="E151" s="103">
        <f t="shared" si="36"/>
        <v>624219.14729999995</v>
      </c>
      <c r="F151" s="176"/>
      <c r="G151" s="213">
        <v>0.40529999999999999</v>
      </c>
      <c r="H151" s="103">
        <f t="shared" si="37"/>
        <v>624219.14729999995</v>
      </c>
      <c r="I151" s="44">
        <f t="shared" si="38"/>
        <v>915921.85270000005</v>
      </c>
      <c r="J151" s="104">
        <f t="shared" si="34"/>
        <v>0</v>
      </c>
      <c r="K151" s="213">
        <v>0.2427</v>
      </c>
      <c r="L151" s="104">
        <f t="shared" si="35"/>
        <v>373792.22070000001</v>
      </c>
      <c r="M151" s="214">
        <f>IF(VLOOKUP($B$2:$B$209,Netvolumenmål!$B$3:$AN$210,38,FALSE)&lt;Netvolumenmål!$AD$215,VLOOKUP($B$2:$B$209,Netvolumenmål!$B$3:$AN$210,38,FALSE)-Netvolumenmål!$AD$215,0)</f>
        <v>0</v>
      </c>
      <c r="N151" s="215">
        <f>VLOOKUP($B$2:$B$209,Netvolumenmål!$B$3:$AN$210,39,FALSE)*0.75</f>
        <v>0</v>
      </c>
      <c r="O151" s="216">
        <f t="shared" si="39"/>
        <v>0.2427</v>
      </c>
      <c r="P151" s="12">
        <f t="shared" si="40"/>
        <v>373792.22070000001</v>
      </c>
      <c r="Q151" s="70">
        <f t="shared" si="41"/>
        <v>6.0675E-2</v>
      </c>
      <c r="R151" s="73">
        <f t="shared" si="42"/>
        <v>0.05</v>
      </c>
      <c r="S151" s="103">
        <f t="shared" si="43"/>
        <v>77007.05</v>
      </c>
    </row>
    <row r="152" spans="1:19" x14ac:dyDescent="0.25">
      <c r="A152" s="17" t="s">
        <v>69</v>
      </c>
      <c r="B152" s="137" t="s">
        <v>384</v>
      </c>
      <c r="C152" s="84">
        <v>1183003</v>
      </c>
      <c r="D152" s="213">
        <v>0</v>
      </c>
      <c r="E152" s="103">
        <f t="shared" si="36"/>
        <v>0</v>
      </c>
      <c r="F152" s="176"/>
      <c r="G152" s="213">
        <v>0</v>
      </c>
      <c r="H152" s="103">
        <f t="shared" si="37"/>
        <v>0</v>
      </c>
      <c r="I152" s="44">
        <f>1.2005*C152</f>
        <v>1420195.1014999999</v>
      </c>
      <c r="J152" s="104">
        <f t="shared" si="34"/>
        <v>236245.69910000009</v>
      </c>
      <c r="K152" s="213">
        <v>0</v>
      </c>
      <c r="L152" s="104">
        <f t="shared" si="35"/>
        <v>0</v>
      </c>
      <c r="M152" s="214">
        <f>IF(VLOOKUP($B$2:$B$209,Netvolumenmål!$B$3:$AN$210,38,FALSE)&lt;Netvolumenmål!$AD$215,VLOOKUP($B$2:$B$209,Netvolumenmål!$B$3:$AN$210,38,FALSE)-Netvolumenmål!$AD$215,0)</f>
        <v>0</v>
      </c>
      <c r="N152" s="215">
        <f>VLOOKUP($B$2:$B$209,Netvolumenmål!$B$3:$AN$210,39,FALSE)*0.75</f>
        <v>0</v>
      </c>
      <c r="O152" s="216">
        <f t="shared" si="39"/>
        <v>0</v>
      </c>
      <c r="P152" s="12">
        <f t="shared" si="40"/>
        <v>0</v>
      </c>
      <c r="Q152" s="70">
        <f t="shared" si="41"/>
        <v>0</v>
      </c>
      <c r="R152" s="73">
        <f t="shared" si="42"/>
        <v>0</v>
      </c>
      <c r="S152" s="103">
        <f t="shared" si="43"/>
        <v>0</v>
      </c>
    </row>
    <row r="153" spans="1:19" x14ac:dyDescent="0.25">
      <c r="A153" s="17" t="s">
        <v>52</v>
      </c>
      <c r="B153" s="137" t="s">
        <v>385</v>
      </c>
      <c r="C153" s="84">
        <v>7139086</v>
      </c>
      <c r="D153" s="213">
        <v>0.45469999999999999</v>
      </c>
      <c r="E153" s="103">
        <f t="shared" si="36"/>
        <v>3246142.4041999998</v>
      </c>
      <c r="F153" s="176"/>
      <c r="G153" s="213">
        <v>0.45469999999999999</v>
      </c>
      <c r="H153" s="103">
        <f t="shared" si="37"/>
        <v>3246142.4041999998</v>
      </c>
      <c r="I153" s="44">
        <f t="shared" si="38"/>
        <v>3892943.5958000002</v>
      </c>
      <c r="J153" s="104">
        <f t="shared" si="34"/>
        <v>0</v>
      </c>
      <c r="K153" s="213">
        <v>0.29849999999999999</v>
      </c>
      <c r="L153" s="104">
        <f t="shared" si="35"/>
        <v>2131017.1710000001</v>
      </c>
      <c r="M153" s="214">
        <f>IF(VLOOKUP($B$2:$B$209,Netvolumenmål!$B$3:$AN$210,38,FALSE)&lt;Netvolumenmål!$AD$215,VLOOKUP($B$2:$B$209,Netvolumenmål!$B$3:$AN$210,38,FALSE)-Netvolumenmål!$AD$215,0)</f>
        <v>0</v>
      </c>
      <c r="N153" s="215">
        <f>VLOOKUP($B$2:$B$209,Netvolumenmål!$B$3:$AN$210,39,FALSE)*0.75</f>
        <v>0</v>
      </c>
      <c r="O153" s="216">
        <f t="shared" si="39"/>
        <v>0.29849999999999999</v>
      </c>
      <c r="P153" s="12">
        <f t="shared" si="40"/>
        <v>2131017.1710000001</v>
      </c>
      <c r="Q153" s="70">
        <f t="shared" si="41"/>
        <v>7.4624999999999997E-2</v>
      </c>
      <c r="R153" s="73">
        <f t="shared" si="42"/>
        <v>0.05</v>
      </c>
      <c r="S153" s="103">
        <f t="shared" si="43"/>
        <v>356954.30000000005</v>
      </c>
    </row>
    <row r="154" spans="1:19" x14ac:dyDescent="0.25">
      <c r="A154" s="17" t="s">
        <v>386</v>
      </c>
      <c r="B154" s="137" t="s">
        <v>387</v>
      </c>
      <c r="C154" s="84">
        <v>749025</v>
      </c>
      <c r="D154" s="213">
        <v>5.8999999999999997E-2</v>
      </c>
      <c r="E154" s="103">
        <f t="shared" si="36"/>
        <v>44192.474999999999</v>
      </c>
      <c r="F154" s="176"/>
      <c r="G154" s="213">
        <v>5.8999999999999997E-2</v>
      </c>
      <c r="H154" s="103">
        <f t="shared" si="37"/>
        <v>44192.474999999999</v>
      </c>
      <c r="I154" s="44">
        <f t="shared" si="38"/>
        <v>704832.52500000002</v>
      </c>
      <c r="J154" s="104">
        <f t="shared" si="34"/>
        <v>0</v>
      </c>
      <c r="K154" s="213">
        <v>0</v>
      </c>
      <c r="L154" s="104">
        <f t="shared" si="35"/>
        <v>0</v>
      </c>
      <c r="M154" s="214">
        <f>IF(VLOOKUP($B$2:$B$209,Netvolumenmål!$B$3:$AN$210,38,FALSE)&lt;Netvolumenmål!$AD$215,VLOOKUP($B$2:$B$209,Netvolumenmål!$B$3:$AN$210,38,FALSE)-Netvolumenmål!$AD$215,0)</f>
        <v>0</v>
      </c>
      <c r="N154" s="215">
        <f>VLOOKUP($B$2:$B$209,Netvolumenmål!$B$3:$AN$210,39,FALSE)*0.75</f>
        <v>0</v>
      </c>
      <c r="O154" s="216">
        <f t="shared" si="39"/>
        <v>0</v>
      </c>
      <c r="P154" s="12">
        <f t="shared" si="40"/>
        <v>0</v>
      </c>
      <c r="Q154" s="70">
        <f t="shared" si="41"/>
        <v>0</v>
      </c>
      <c r="R154" s="73">
        <f t="shared" si="42"/>
        <v>0</v>
      </c>
      <c r="S154" s="103">
        <f t="shared" si="43"/>
        <v>0</v>
      </c>
    </row>
    <row r="155" spans="1:19" x14ac:dyDescent="0.25">
      <c r="A155" s="17" t="s">
        <v>70</v>
      </c>
      <c r="B155" s="137" t="s">
        <v>388</v>
      </c>
      <c r="C155" s="84">
        <v>14941897</v>
      </c>
      <c r="D155" s="213">
        <v>0.27310000000000001</v>
      </c>
      <c r="E155" s="103">
        <f t="shared" si="36"/>
        <v>4080632.0707</v>
      </c>
      <c r="F155" s="176"/>
      <c r="G155" s="213">
        <v>0.27310000000000001</v>
      </c>
      <c r="H155" s="103">
        <f>G155*C155</f>
        <v>4080632.0707</v>
      </c>
      <c r="I155" s="44">
        <f t="shared" si="38"/>
        <v>10861264.929299999</v>
      </c>
      <c r="J155" s="104">
        <f t="shared" si="34"/>
        <v>0</v>
      </c>
      <c r="K155" s="213">
        <v>0.1104</v>
      </c>
      <c r="L155" s="104">
        <f t="shared" si="35"/>
        <v>1649585.4287999999</v>
      </c>
      <c r="M155" s="214">
        <f>IF(VLOOKUP($B$2:$B$209,Netvolumenmål!$B$3:$AN$210,38,FALSE)&lt;Netvolumenmål!$AD$215,VLOOKUP($B$2:$B$209,Netvolumenmål!$B$3:$AN$210,38,FALSE)-Netvolumenmål!$AD$215,0)</f>
        <v>0</v>
      </c>
      <c r="N155" s="215">
        <f>VLOOKUP($B$2:$B$209,Netvolumenmål!$B$3:$AN$210,39,FALSE)*0.75</f>
        <v>0</v>
      </c>
      <c r="O155" s="216">
        <f t="shared" si="39"/>
        <v>0.1104</v>
      </c>
      <c r="P155" s="12">
        <f t="shared" si="40"/>
        <v>1649585.4287999999</v>
      </c>
      <c r="Q155" s="70">
        <f t="shared" si="41"/>
        <v>2.76E-2</v>
      </c>
      <c r="R155" s="73">
        <f t="shared" si="42"/>
        <v>2.76E-2</v>
      </c>
      <c r="S155" s="103">
        <f t="shared" si="43"/>
        <v>412396.35719999997</v>
      </c>
    </row>
    <row r="156" spans="1:19" x14ac:dyDescent="0.25">
      <c r="A156" s="17" t="s">
        <v>389</v>
      </c>
      <c r="B156" s="137" t="s">
        <v>390</v>
      </c>
      <c r="C156" s="84">
        <v>1897954</v>
      </c>
      <c r="D156" s="213">
        <v>0.25919999999999999</v>
      </c>
      <c r="E156" s="103">
        <f t="shared" si="36"/>
        <v>491949.67679999996</v>
      </c>
      <c r="F156" s="176"/>
      <c r="G156" s="213">
        <v>0.25919999999999999</v>
      </c>
      <c r="H156" s="103">
        <f t="shared" si="37"/>
        <v>491949.67679999996</v>
      </c>
      <c r="I156" s="44">
        <f t="shared" si="38"/>
        <v>1406004.3232</v>
      </c>
      <c r="J156" s="104">
        <f t="shared" si="34"/>
        <v>0</v>
      </c>
      <c r="K156" s="213">
        <v>9.8500000000000004E-2</v>
      </c>
      <c r="L156" s="104">
        <f t="shared" si="35"/>
        <v>186948.46900000001</v>
      </c>
      <c r="M156" s="214">
        <f>IF(VLOOKUP($B$2:$B$209,Netvolumenmål!$B$3:$AN$210,38,FALSE)&lt;Netvolumenmål!$AD$215,VLOOKUP($B$2:$B$209,Netvolumenmål!$B$3:$AN$210,38,FALSE)-Netvolumenmål!$AD$215,0)</f>
        <v>0</v>
      </c>
      <c r="N156" s="215">
        <f>VLOOKUP($B$2:$B$209,Netvolumenmål!$B$3:$AN$210,39,FALSE)*0.75</f>
        <v>0</v>
      </c>
      <c r="O156" s="216">
        <f t="shared" si="39"/>
        <v>9.8500000000000004E-2</v>
      </c>
      <c r="P156" s="12">
        <f t="shared" si="40"/>
        <v>186948.46900000001</v>
      </c>
      <c r="Q156" s="70">
        <f t="shared" si="41"/>
        <v>2.4625000000000001E-2</v>
      </c>
      <c r="R156" s="73">
        <f t="shared" si="42"/>
        <v>2.4625000000000001E-2</v>
      </c>
      <c r="S156" s="103">
        <f t="shared" si="43"/>
        <v>46737.117250000003</v>
      </c>
    </row>
    <row r="157" spans="1:19" x14ac:dyDescent="0.25">
      <c r="A157" s="17" t="s">
        <v>54</v>
      </c>
      <c r="B157" s="137" t="s">
        <v>391</v>
      </c>
      <c r="C157" s="84">
        <v>16586449</v>
      </c>
      <c r="D157" s="213">
        <v>0.22339999999999999</v>
      </c>
      <c r="E157" s="103">
        <f t="shared" si="36"/>
        <v>3705412.7065999997</v>
      </c>
      <c r="F157" s="176"/>
      <c r="G157" s="213">
        <v>0.22339999999999999</v>
      </c>
      <c r="H157" s="103">
        <f t="shared" si="37"/>
        <v>3705412.7065999997</v>
      </c>
      <c r="I157" s="44">
        <f t="shared" si="38"/>
        <v>12881036.293400001</v>
      </c>
      <c r="J157" s="104">
        <f t="shared" si="34"/>
        <v>0</v>
      </c>
      <c r="K157" s="213">
        <v>9.1899999999999996E-2</v>
      </c>
      <c r="L157" s="104">
        <f t="shared" si="35"/>
        <v>1524294.6631</v>
      </c>
      <c r="M157" s="214">
        <f>IF(VLOOKUP($B$2:$B$209,Netvolumenmål!$B$3:$AN$210,38,FALSE)&lt;Netvolumenmål!$AD$215,VLOOKUP($B$2:$B$209,Netvolumenmål!$B$3:$AN$210,38,FALSE)-Netvolumenmål!$AD$215,0)</f>
        <v>0</v>
      </c>
      <c r="N157" s="215">
        <f>VLOOKUP($B$2:$B$209,Netvolumenmål!$B$3:$AN$210,39,FALSE)*0.75</f>
        <v>0</v>
      </c>
      <c r="O157" s="216">
        <f t="shared" si="39"/>
        <v>9.1899999999999996E-2</v>
      </c>
      <c r="P157" s="12">
        <f t="shared" si="40"/>
        <v>1524294.6631</v>
      </c>
      <c r="Q157" s="70">
        <f t="shared" si="41"/>
        <v>2.2974999999999999E-2</v>
      </c>
      <c r="R157" s="73">
        <f t="shared" si="42"/>
        <v>2.2974999999999999E-2</v>
      </c>
      <c r="S157" s="103">
        <f t="shared" si="43"/>
        <v>381073.665775</v>
      </c>
    </row>
    <row r="158" spans="1:19" x14ac:dyDescent="0.25">
      <c r="A158" s="17" t="s">
        <v>74</v>
      </c>
      <c r="B158" s="137" t="s">
        <v>392</v>
      </c>
      <c r="C158" s="84">
        <v>26349533</v>
      </c>
      <c r="D158" s="213">
        <v>0.43369999999999997</v>
      </c>
      <c r="E158" s="103">
        <f t="shared" si="36"/>
        <v>11427792.462099999</v>
      </c>
      <c r="F158" s="176"/>
      <c r="G158" s="213">
        <v>0.43369999999999997</v>
      </c>
      <c r="H158" s="103">
        <f t="shared" si="37"/>
        <v>11427792.462099999</v>
      </c>
      <c r="I158" s="44">
        <f t="shared" si="38"/>
        <v>14921740.537900001</v>
      </c>
      <c r="J158" s="104">
        <f t="shared" si="34"/>
        <v>0</v>
      </c>
      <c r="K158" s="213">
        <v>0.27339999999999998</v>
      </c>
      <c r="L158" s="104">
        <f t="shared" si="35"/>
        <v>7203962.3221999994</v>
      </c>
      <c r="M158" s="214">
        <f>IF(VLOOKUP($B$2:$B$209,Netvolumenmål!$B$3:$AN$210,38,FALSE)&lt;Netvolumenmål!$AD$215,VLOOKUP($B$2:$B$209,Netvolumenmål!$B$3:$AN$210,38,FALSE)-Netvolumenmål!$AD$215,0)</f>
        <v>0</v>
      </c>
      <c r="N158" s="215">
        <f>VLOOKUP($B$2:$B$209,Netvolumenmål!$B$3:$AN$210,39,FALSE)*0.75</f>
        <v>0</v>
      </c>
      <c r="O158" s="216">
        <f t="shared" si="39"/>
        <v>0.27339999999999998</v>
      </c>
      <c r="P158" s="12">
        <f t="shared" si="40"/>
        <v>7203962.3221999994</v>
      </c>
      <c r="Q158" s="70">
        <f t="shared" si="41"/>
        <v>6.8349999999999994E-2</v>
      </c>
      <c r="R158" s="73">
        <f t="shared" si="42"/>
        <v>0.05</v>
      </c>
      <c r="S158" s="103">
        <f t="shared" si="43"/>
        <v>1317476.6500000001</v>
      </c>
    </row>
    <row r="159" spans="1:19" x14ac:dyDescent="0.25">
      <c r="A159" s="17" t="s">
        <v>489</v>
      </c>
      <c r="B159" s="137" t="s">
        <v>393</v>
      </c>
      <c r="C159" s="84">
        <v>5802318</v>
      </c>
      <c r="D159" s="213">
        <f>1-0.7999</f>
        <v>0.20009999999999994</v>
      </c>
      <c r="E159" s="103">
        <f t="shared" si="36"/>
        <v>1161043.8317999996</v>
      </c>
      <c r="F159" s="175">
        <v>283731</v>
      </c>
      <c r="G159" s="213">
        <f>1-0.8336</f>
        <v>0.16639999999999999</v>
      </c>
      <c r="H159" s="103">
        <f t="shared" si="37"/>
        <v>965505.71519999998</v>
      </c>
      <c r="I159" s="44">
        <f t="shared" si="38"/>
        <v>4836812.2848000005</v>
      </c>
      <c r="J159" s="104">
        <f t="shared" si="34"/>
        <v>0</v>
      </c>
      <c r="K159" s="213">
        <f>1-0.9917</f>
        <v>8.2999999999999741E-3</v>
      </c>
      <c r="L159" s="104">
        <f t="shared" si="35"/>
        <v>48159.239399999853</v>
      </c>
      <c r="M159" s="214">
        <f>IF(VLOOKUP($B$2:$B$209,Netvolumenmål!$B$3:$AN$210,38,FALSE)&lt;Netvolumenmål!$AD$215,VLOOKUP($B$2:$B$209,Netvolumenmål!$B$3:$AN$210,38,FALSE)-Netvolumenmål!$AD$215,0)</f>
        <v>0</v>
      </c>
      <c r="N159" s="215">
        <f>VLOOKUP($B$2:$B$209,Netvolumenmål!$B$3:$AN$210,39,FALSE)*0.75</f>
        <v>0</v>
      </c>
      <c r="O159" s="216">
        <f t="shared" si="39"/>
        <v>8.2999999999999741E-3</v>
      </c>
      <c r="P159" s="12">
        <f t="shared" si="40"/>
        <v>48159.239399999853</v>
      </c>
      <c r="Q159" s="70">
        <f t="shared" si="41"/>
        <v>2.0749999999999935E-3</v>
      </c>
      <c r="R159" s="73">
        <f t="shared" si="42"/>
        <v>0</v>
      </c>
      <c r="S159" s="103">
        <f t="shared" si="43"/>
        <v>0</v>
      </c>
    </row>
    <row r="160" spans="1:19" x14ac:dyDescent="0.25">
      <c r="A160" s="17" t="s">
        <v>394</v>
      </c>
      <c r="B160" s="137" t="s">
        <v>395</v>
      </c>
      <c r="C160" s="84">
        <v>12641526</v>
      </c>
      <c r="D160" s="213">
        <v>0.2838</v>
      </c>
      <c r="E160" s="103">
        <f>C160*D160</f>
        <v>3587665.0787999998</v>
      </c>
      <c r="F160" s="176"/>
      <c r="G160" s="213">
        <v>0.2838</v>
      </c>
      <c r="H160" s="103">
        <f t="shared" si="37"/>
        <v>3587665.0787999998</v>
      </c>
      <c r="I160" s="44">
        <f t="shared" si="38"/>
        <v>9053860.9211999997</v>
      </c>
      <c r="J160" s="104">
        <f t="shared" si="34"/>
        <v>0</v>
      </c>
      <c r="K160" s="213">
        <v>0.1226</v>
      </c>
      <c r="L160" s="104">
        <f t="shared" si="35"/>
        <v>1549851.0876</v>
      </c>
      <c r="M160" s="214">
        <f>IF(VLOOKUP($B$2:$B$209,Netvolumenmål!$B$3:$AN$210,38,FALSE)&lt;Netvolumenmål!$AD$215,VLOOKUP($B$2:$B$209,Netvolumenmål!$B$3:$AN$210,38,FALSE)-Netvolumenmål!$AD$215,0)</f>
        <v>0</v>
      </c>
      <c r="N160" s="215">
        <f>VLOOKUP($B$2:$B$209,Netvolumenmål!$B$3:$AN$210,39,FALSE)*0.75</f>
        <v>0</v>
      </c>
      <c r="O160" s="216">
        <f t="shared" si="39"/>
        <v>0.1226</v>
      </c>
      <c r="P160" s="12">
        <f t="shared" si="40"/>
        <v>1549851.0876</v>
      </c>
      <c r="Q160" s="70">
        <f t="shared" si="41"/>
        <v>3.065E-2</v>
      </c>
      <c r="R160" s="73">
        <f t="shared" si="42"/>
        <v>3.065E-2</v>
      </c>
      <c r="S160" s="103">
        <f t="shared" si="43"/>
        <v>387462.77189999999</v>
      </c>
    </row>
    <row r="161" spans="1:19" x14ac:dyDescent="0.25">
      <c r="A161" s="17" t="s">
        <v>396</v>
      </c>
      <c r="B161" s="137" t="s">
        <v>397</v>
      </c>
      <c r="C161" s="84">
        <v>1129204</v>
      </c>
      <c r="D161" s="213">
        <v>4.7500000000000001E-2</v>
      </c>
      <c r="E161" s="103">
        <f t="shared" si="36"/>
        <v>53637.19</v>
      </c>
      <c r="F161" s="176"/>
      <c r="G161" s="213">
        <v>4.7500000000000001E-2</v>
      </c>
      <c r="H161" s="103">
        <f t="shared" si="37"/>
        <v>53637.19</v>
      </c>
      <c r="I161" s="44">
        <f t="shared" si="38"/>
        <v>1075566.81</v>
      </c>
      <c r="J161" s="104">
        <f t="shared" ref="J161:J209" si="44">IF(I161&gt;C161*1.0008,I161-C161*1.0008,0)</f>
        <v>0</v>
      </c>
      <c r="K161" s="213">
        <v>0</v>
      </c>
      <c r="L161" s="104">
        <f t="shared" si="35"/>
        <v>0</v>
      </c>
      <c r="M161" s="214">
        <f>IF(VLOOKUP($B$2:$B$209,Netvolumenmål!$B$3:$AN$210,38,FALSE)&lt;Netvolumenmål!$AD$215,VLOOKUP($B$2:$B$209,Netvolumenmål!$B$3:$AN$210,38,FALSE)-Netvolumenmål!$AD$215,0)</f>
        <v>0</v>
      </c>
      <c r="N161" s="215">
        <f>VLOOKUP($B$2:$B$209,Netvolumenmål!$B$3:$AN$210,39,FALSE)*0.75</f>
        <v>0</v>
      </c>
      <c r="O161" s="216">
        <f t="shared" si="39"/>
        <v>0</v>
      </c>
      <c r="P161" s="12">
        <f t="shared" si="40"/>
        <v>0</v>
      </c>
      <c r="Q161" s="70">
        <f t="shared" si="41"/>
        <v>0</v>
      </c>
      <c r="R161" s="73">
        <f t="shared" si="42"/>
        <v>0</v>
      </c>
      <c r="S161" s="103">
        <f t="shared" si="43"/>
        <v>0</v>
      </c>
    </row>
    <row r="162" spans="1:19" x14ac:dyDescent="0.25">
      <c r="A162" s="17" t="s">
        <v>398</v>
      </c>
      <c r="B162" s="137" t="s">
        <v>399</v>
      </c>
      <c r="C162" s="84">
        <v>1574070</v>
      </c>
      <c r="D162" s="213">
        <v>0</v>
      </c>
      <c r="E162" s="103">
        <f t="shared" si="36"/>
        <v>0</v>
      </c>
      <c r="F162" s="176"/>
      <c r="G162" s="213">
        <v>0</v>
      </c>
      <c r="H162" s="103">
        <f t="shared" si="37"/>
        <v>0</v>
      </c>
      <c r="I162" s="44">
        <f>1*C162</f>
        <v>1574070</v>
      </c>
      <c r="J162" s="104">
        <f t="shared" si="44"/>
        <v>0</v>
      </c>
      <c r="K162" s="213">
        <v>0</v>
      </c>
      <c r="L162" s="104">
        <f t="shared" si="35"/>
        <v>0</v>
      </c>
      <c r="M162" s="214">
        <f>IF(VLOOKUP($B$2:$B$209,Netvolumenmål!$B$3:$AN$210,38,FALSE)&lt;Netvolumenmål!$AD$215,VLOOKUP($B$2:$B$209,Netvolumenmål!$B$3:$AN$210,38,FALSE)-Netvolumenmål!$AD$215,0)</f>
        <v>0</v>
      </c>
      <c r="N162" s="215">
        <f>VLOOKUP($B$2:$B$209,Netvolumenmål!$B$3:$AN$210,39,FALSE)*0.75</f>
        <v>0</v>
      </c>
      <c r="O162" s="216">
        <f t="shared" si="39"/>
        <v>0</v>
      </c>
      <c r="P162" s="12">
        <f t="shared" si="40"/>
        <v>0</v>
      </c>
      <c r="Q162" s="70">
        <f t="shared" si="41"/>
        <v>0</v>
      </c>
      <c r="R162" s="73">
        <f t="shared" si="42"/>
        <v>0</v>
      </c>
      <c r="S162" s="103">
        <f t="shared" si="43"/>
        <v>0</v>
      </c>
    </row>
    <row r="163" spans="1:19" x14ac:dyDescent="0.25">
      <c r="A163" s="17" t="s">
        <v>400</v>
      </c>
      <c r="B163" s="137" t="s">
        <v>401</v>
      </c>
      <c r="C163" s="84">
        <v>1280574</v>
      </c>
      <c r="D163" s="213">
        <v>0.1885</v>
      </c>
      <c r="E163" s="103">
        <f t="shared" si="36"/>
        <v>241388.19899999999</v>
      </c>
      <c r="F163" s="176"/>
      <c r="G163" s="213">
        <v>0.1885</v>
      </c>
      <c r="H163" s="103">
        <f t="shared" si="37"/>
        <v>241388.19899999999</v>
      </c>
      <c r="I163" s="44">
        <f t="shared" si="38"/>
        <v>1039185.801</v>
      </c>
      <c r="J163" s="104">
        <f t="shared" si="44"/>
        <v>0</v>
      </c>
      <c r="K163" s="213">
        <v>2.7400000000000001E-2</v>
      </c>
      <c r="L163" s="104">
        <f t="shared" si="35"/>
        <v>35087.727599999998</v>
      </c>
      <c r="M163" s="214">
        <f>IF(VLOOKUP($B$2:$B$209,Netvolumenmål!$B$3:$AN$210,38,FALSE)&lt;Netvolumenmål!$AD$215,VLOOKUP($B$2:$B$209,Netvolumenmål!$B$3:$AN$210,38,FALSE)-Netvolumenmål!$AD$215,0)</f>
        <v>0</v>
      </c>
      <c r="N163" s="215">
        <f>VLOOKUP($B$2:$B$209,Netvolumenmål!$B$3:$AN$210,39,FALSE)*0.75</f>
        <v>0</v>
      </c>
      <c r="O163" s="216">
        <f t="shared" si="39"/>
        <v>2.7400000000000001E-2</v>
      </c>
      <c r="P163" s="12">
        <f t="shared" si="40"/>
        <v>35087.727599999998</v>
      </c>
      <c r="Q163" s="70">
        <f t="shared" si="41"/>
        <v>6.8500000000000002E-3</v>
      </c>
      <c r="R163" s="73">
        <f t="shared" si="42"/>
        <v>0</v>
      </c>
      <c r="S163" s="103">
        <f t="shared" si="43"/>
        <v>0</v>
      </c>
    </row>
    <row r="164" spans="1:19" x14ac:dyDescent="0.25">
      <c r="A164" s="17" t="s">
        <v>402</v>
      </c>
      <c r="B164" s="137" t="s">
        <v>403</v>
      </c>
      <c r="C164" s="84">
        <v>5748433</v>
      </c>
      <c r="D164" s="213">
        <v>7.3499999999999996E-2</v>
      </c>
      <c r="E164" s="103">
        <f t="shared" si="36"/>
        <v>422509.82549999998</v>
      </c>
      <c r="F164" s="176"/>
      <c r="G164" s="213">
        <v>7.3499999999999996E-2</v>
      </c>
      <c r="H164" s="103">
        <f t="shared" si="37"/>
        <v>422509.82549999998</v>
      </c>
      <c r="I164" s="44">
        <f t="shared" si="38"/>
        <v>5325923.1744999997</v>
      </c>
      <c r="J164" s="104">
        <f t="shared" si="44"/>
        <v>0</v>
      </c>
      <c r="K164" s="213">
        <v>0</v>
      </c>
      <c r="L164" s="104">
        <f t="shared" si="35"/>
        <v>0</v>
      </c>
      <c r="M164" s="214">
        <f>IF(VLOOKUP($B$2:$B$209,Netvolumenmål!$B$3:$AN$210,38,FALSE)&lt;Netvolumenmål!$AD$215,VLOOKUP($B$2:$B$209,Netvolumenmål!$B$3:$AN$210,38,FALSE)-Netvolumenmål!$AD$215,0)</f>
        <v>0</v>
      </c>
      <c r="N164" s="215">
        <f>VLOOKUP($B$2:$B$209,Netvolumenmål!$B$3:$AN$210,39,FALSE)*0.75</f>
        <v>0</v>
      </c>
      <c r="O164" s="216">
        <f t="shared" si="39"/>
        <v>0</v>
      </c>
      <c r="P164" s="12">
        <f t="shared" si="40"/>
        <v>0</v>
      </c>
      <c r="Q164" s="70">
        <f t="shared" si="41"/>
        <v>0</v>
      </c>
      <c r="R164" s="73">
        <f t="shared" si="42"/>
        <v>0</v>
      </c>
      <c r="S164" s="103">
        <f t="shared" si="43"/>
        <v>0</v>
      </c>
    </row>
    <row r="165" spans="1:19" x14ac:dyDescent="0.25">
      <c r="A165" s="17" t="s">
        <v>55</v>
      </c>
      <c r="B165" s="137" t="s">
        <v>404</v>
      </c>
      <c r="C165" s="84">
        <v>3391836</v>
      </c>
      <c r="D165" s="213">
        <v>0.35460000000000003</v>
      </c>
      <c r="E165" s="103">
        <f t="shared" si="36"/>
        <v>1202745.0456000001</v>
      </c>
      <c r="F165" s="176"/>
      <c r="G165" s="213">
        <v>0.35460000000000003</v>
      </c>
      <c r="H165" s="103">
        <f t="shared" si="37"/>
        <v>1202745.0456000001</v>
      </c>
      <c r="I165" s="44">
        <f t="shared" si="38"/>
        <v>2189090.9544000002</v>
      </c>
      <c r="J165" s="104">
        <f t="shared" si="44"/>
        <v>0</v>
      </c>
      <c r="K165" s="213">
        <v>0.2026</v>
      </c>
      <c r="L165" s="104">
        <f t="shared" si="35"/>
        <v>687185.97360000003</v>
      </c>
      <c r="M165" s="214">
        <f>IF(VLOOKUP($B$2:$B$209,Netvolumenmål!$B$3:$AN$210,38,FALSE)&lt;Netvolumenmål!$AD$215,VLOOKUP($B$2:$B$209,Netvolumenmål!$B$3:$AN$210,38,FALSE)-Netvolumenmål!$AD$215,0)</f>
        <v>0</v>
      </c>
      <c r="N165" s="215">
        <f>VLOOKUP($B$2:$B$209,Netvolumenmål!$B$3:$AN$210,39,FALSE)*0.75</f>
        <v>0</v>
      </c>
      <c r="O165" s="216">
        <f t="shared" si="39"/>
        <v>0.2026</v>
      </c>
      <c r="P165" s="12">
        <f t="shared" si="40"/>
        <v>687185.97360000003</v>
      </c>
      <c r="Q165" s="70">
        <f t="shared" si="41"/>
        <v>5.0650000000000001E-2</v>
      </c>
      <c r="R165" s="73">
        <f t="shared" si="42"/>
        <v>0.05</v>
      </c>
      <c r="S165" s="103">
        <f t="shared" si="43"/>
        <v>169591.80000000002</v>
      </c>
    </row>
    <row r="166" spans="1:19" x14ac:dyDescent="0.25">
      <c r="A166" s="17" t="s">
        <v>405</v>
      </c>
      <c r="B166" s="137" t="s">
        <v>406</v>
      </c>
      <c r="C166" s="84">
        <v>775673</v>
      </c>
      <c r="D166" s="213">
        <v>0.25019999999999998</v>
      </c>
      <c r="E166" s="103">
        <f t="shared" si="36"/>
        <v>194073.38459999999</v>
      </c>
      <c r="F166" s="176"/>
      <c r="G166" s="213">
        <v>0.25019999999999998</v>
      </c>
      <c r="H166" s="103">
        <f t="shared" si="37"/>
        <v>194073.38459999999</v>
      </c>
      <c r="I166" s="44">
        <f t="shared" si="38"/>
        <v>581599.61540000001</v>
      </c>
      <c r="J166" s="104">
        <f t="shared" si="44"/>
        <v>0</v>
      </c>
      <c r="K166" s="213">
        <v>8.7599999999999997E-2</v>
      </c>
      <c r="L166" s="104">
        <f t="shared" si="35"/>
        <v>67948.954799999992</v>
      </c>
      <c r="M166" s="214">
        <f>IF(VLOOKUP($B$2:$B$209,Netvolumenmål!$B$3:$AN$210,38,FALSE)&lt;Netvolumenmål!$AD$215,VLOOKUP($B$2:$B$209,Netvolumenmål!$B$3:$AN$210,38,FALSE)-Netvolumenmål!$AD$215,0)</f>
        <v>0</v>
      </c>
      <c r="N166" s="215">
        <f>VLOOKUP($B$2:$B$209,Netvolumenmål!$B$3:$AN$210,39,FALSE)*0.75</f>
        <v>0</v>
      </c>
      <c r="O166" s="216">
        <f t="shared" si="39"/>
        <v>8.7599999999999997E-2</v>
      </c>
      <c r="P166" s="12">
        <f t="shared" si="40"/>
        <v>67948.954799999992</v>
      </c>
      <c r="Q166" s="70">
        <f t="shared" si="41"/>
        <v>2.1899999999999999E-2</v>
      </c>
      <c r="R166" s="73">
        <f t="shared" si="42"/>
        <v>2.1899999999999999E-2</v>
      </c>
      <c r="S166" s="103">
        <f t="shared" si="43"/>
        <v>16987.238699999998</v>
      </c>
    </row>
    <row r="167" spans="1:19" x14ac:dyDescent="0.25">
      <c r="A167" s="17" t="s">
        <v>56</v>
      </c>
      <c r="B167" s="137" t="s">
        <v>407</v>
      </c>
      <c r="C167" s="84">
        <v>4782729</v>
      </c>
      <c r="D167" s="213">
        <v>0.34060000000000001</v>
      </c>
      <c r="E167" s="103">
        <f>C167*D167</f>
        <v>1628997.4974</v>
      </c>
      <c r="F167" s="176"/>
      <c r="G167" s="213">
        <v>0.34060000000000001</v>
      </c>
      <c r="H167" s="103">
        <f t="shared" si="37"/>
        <v>1628997.4974</v>
      </c>
      <c r="I167" s="44">
        <f t="shared" si="38"/>
        <v>3153731.5026000002</v>
      </c>
      <c r="J167" s="104">
        <f t="shared" si="44"/>
        <v>0</v>
      </c>
      <c r="K167" s="213">
        <v>0.17799999999999999</v>
      </c>
      <c r="L167" s="104">
        <f t="shared" si="35"/>
        <v>851325.76199999999</v>
      </c>
      <c r="M167" s="214">
        <f>IF(VLOOKUP($B$2:$B$209,Netvolumenmål!$B$3:$AN$210,38,FALSE)&lt;Netvolumenmål!$AD$215,VLOOKUP($B$2:$B$209,Netvolumenmål!$B$3:$AN$210,38,FALSE)-Netvolumenmål!$AD$215,0)</f>
        <v>0</v>
      </c>
      <c r="N167" s="215">
        <f>VLOOKUP($B$2:$B$209,Netvolumenmål!$B$3:$AN$210,39,FALSE)*0.75</f>
        <v>0</v>
      </c>
      <c r="O167" s="216">
        <f t="shared" si="39"/>
        <v>0.17799999999999999</v>
      </c>
      <c r="P167" s="12">
        <f t="shared" si="40"/>
        <v>851325.76199999999</v>
      </c>
      <c r="Q167" s="70">
        <f t="shared" si="41"/>
        <v>4.4499999999999998E-2</v>
      </c>
      <c r="R167" s="73">
        <f t="shared" si="42"/>
        <v>4.4499999999999998E-2</v>
      </c>
      <c r="S167" s="103">
        <f t="shared" si="43"/>
        <v>212831.4405</v>
      </c>
    </row>
    <row r="168" spans="1:19" x14ac:dyDescent="0.25">
      <c r="A168" s="17" t="s">
        <v>408</v>
      </c>
      <c r="B168" s="137" t="s">
        <v>409</v>
      </c>
      <c r="C168" s="84">
        <v>1234534</v>
      </c>
      <c r="D168" s="213">
        <v>2.8999999999999998E-3</v>
      </c>
      <c r="E168" s="103">
        <f t="shared" si="36"/>
        <v>3580.1485999999995</v>
      </c>
      <c r="F168" s="176"/>
      <c r="G168" s="213">
        <v>2.8999999999999998E-3</v>
      </c>
      <c r="H168" s="103">
        <f t="shared" si="37"/>
        <v>3580.1485999999995</v>
      </c>
      <c r="I168" s="44">
        <f t="shared" si="38"/>
        <v>1230953.8514</v>
      </c>
      <c r="J168" s="104">
        <f t="shared" si="44"/>
        <v>0</v>
      </c>
      <c r="K168" s="213">
        <v>0</v>
      </c>
      <c r="L168" s="104">
        <f t="shared" si="35"/>
        <v>0</v>
      </c>
      <c r="M168" s="214">
        <f>IF(VLOOKUP($B$2:$B$209,Netvolumenmål!$B$3:$AN$210,38,FALSE)&lt;Netvolumenmål!$AD$215,VLOOKUP($B$2:$B$209,Netvolumenmål!$B$3:$AN$210,38,FALSE)-Netvolumenmål!$AD$215,0)</f>
        <v>0</v>
      </c>
      <c r="N168" s="215">
        <f>VLOOKUP($B$2:$B$209,Netvolumenmål!$B$3:$AN$210,39,FALSE)*0.75</f>
        <v>0</v>
      </c>
      <c r="O168" s="216">
        <f t="shared" si="39"/>
        <v>0</v>
      </c>
      <c r="P168" s="12">
        <f t="shared" si="40"/>
        <v>0</v>
      </c>
      <c r="Q168" s="70">
        <f t="shared" si="41"/>
        <v>0</v>
      </c>
      <c r="R168" s="73">
        <f t="shared" si="42"/>
        <v>0</v>
      </c>
      <c r="S168" s="103">
        <f t="shared" si="43"/>
        <v>0</v>
      </c>
    </row>
    <row r="169" spans="1:19" x14ac:dyDescent="0.25">
      <c r="A169" s="17" t="s">
        <v>57</v>
      </c>
      <c r="B169" s="137" t="s">
        <v>410</v>
      </c>
      <c r="C169" s="84">
        <v>1736270</v>
      </c>
      <c r="D169" s="213">
        <v>8.9800000000000005E-2</v>
      </c>
      <c r="E169" s="103">
        <f t="shared" si="36"/>
        <v>155917.046</v>
      </c>
      <c r="F169" s="176">
        <v>0</v>
      </c>
      <c r="G169" s="213">
        <v>8.9800000000000005E-2</v>
      </c>
      <c r="H169" s="103">
        <f t="shared" si="37"/>
        <v>155917.046</v>
      </c>
      <c r="I169" s="44">
        <f t="shared" si="38"/>
        <v>1580352.9539999999</v>
      </c>
      <c r="J169" s="104">
        <f t="shared" si="44"/>
        <v>0</v>
      </c>
      <c r="K169" s="213">
        <v>0</v>
      </c>
      <c r="L169" s="104">
        <f t="shared" si="35"/>
        <v>0</v>
      </c>
      <c r="M169" s="214">
        <f>IF(VLOOKUP($B$2:$B$209,Netvolumenmål!$B$3:$AN$210,38,FALSE)&lt;Netvolumenmål!$AD$215,VLOOKUP($B$2:$B$209,Netvolumenmål!$B$3:$AN$210,38,FALSE)-Netvolumenmål!$AD$215,0)</f>
        <v>-2.0574339875718134E-3</v>
      </c>
      <c r="N169" s="215">
        <f>VLOOKUP($B$2:$B$209,Netvolumenmål!$B$3:$AN$210,39,FALSE)*0.75</f>
        <v>-8.7692980135279622E-4</v>
      </c>
      <c r="O169" s="216">
        <f t="shared" si="39"/>
        <v>0</v>
      </c>
      <c r="P169" s="12">
        <f t="shared" si="40"/>
        <v>0</v>
      </c>
      <c r="Q169" s="70">
        <f t="shared" si="41"/>
        <v>0</v>
      </c>
      <c r="R169" s="73">
        <f t="shared" si="42"/>
        <v>0</v>
      </c>
      <c r="S169" s="103">
        <f t="shared" si="43"/>
        <v>0</v>
      </c>
    </row>
    <row r="170" spans="1:19" x14ac:dyDescent="0.25">
      <c r="A170" s="17" t="s">
        <v>411</v>
      </c>
      <c r="B170" s="137" t="s">
        <v>412</v>
      </c>
      <c r="C170" s="84">
        <v>13704054</v>
      </c>
      <c r="D170" s="213">
        <v>0.29709999999999998</v>
      </c>
      <c r="E170" s="103">
        <f t="shared" si="36"/>
        <v>4071474.4433999998</v>
      </c>
      <c r="F170" s="176"/>
      <c r="G170" s="213">
        <v>0.29709999999999998</v>
      </c>
      <c r="H170" s="103">
        <f t="shared" si="37"/>
        <v>4071474.4433999998</v>
      </c>
      <c r="I170" s="44">
        <f t="shared" si="38"/>
        <v>9632579.5566000007</v>
      </c>
      <c r="J170" s="104">
        <f t="shared" si="44"/>
        <v>0</v>
      </c>
      <c r="K170" s="213">
        <v>0.1431</v>
      </c>
      <c r="L170" s="104">
        <f t="shared" si="35"/>
        <v>1961050.1274000001</v>
      </c>
      <c r="M170" s="214">
        <f>IF(VLOOKUP($B$2:$B$209,Netvolumenmål!$B$3:$AN$210,38,FALSE)&lt;Netvolumenmål!$AD$215,VLOOKUP($B$2:$B$209,Netvolumenmål!$B$3:$AN$210,38,FALSE)-Netvolumenmål!$AD$215,0)</f>
        <v>0</v>
      </c>
      <c r="N170" s="215">
        <f>VLOOKUP($B$2:$B$209,Netvolumenmål!$B$3:$AN$210,39,FALSE)*0.75</f>
        <v>0</v>
      </c>
      <c r="O170" s="216">
        <f t="shared" si="39"/>
        <v>0.1431</v>
      </c>
      <c r="P170" s="12">
        <f t="shared" si="40"/>
        <v>1961050.1274000001</v>
      </c>
      <c r="Q170" s="70">
        <f t="shared" si="41"/>
        <v>3.5775000000000001E-2</v>
      </c>
      <c r="R170" s="73">
        <f t="shared" si="42"/>
        <v>3.5775000000000001E-2</v>
      </c>
      <c r="S170" s="103">
        <f t="shared" si="43"/>
        <v>490262.53185000003</v>
      </c>
    </row>
    <row r="171" spans="1:19" x14ac:dyDescent="0.25">
      <c r="A171" s="17" t="s">
        <v>413</v>
      </c>
      <c r="B171" s="137" t="s">
        <v>414</v>
      </c>
      <c r="C171" s="84">
        <v>1651093</v>
      </c>
      <c r="D171" s="213">
        <v>0.21049999999999999</v>
      </c>
      <c r="E171" s="103">
        <f t="shared" si="36"/>
        <v>347555.07649999997</v>
      </c>
      <c r="F171" s="176"/>
      <c r="G171" s="213">
        <v>0.21049999999999999</v>
      </c>
      <c r="H171" s="103">
        <f t="shared" si="37"/>
        <v>347555.07649999997</v>
      </c>
      <c r="I171" s="44">
        <f t="shared" si="38"/>
        <v>1303537.9235</v>
      </c>
      <c r="J171" s="104">
        <f t="shared" si="44"/>
        <v>0</v>
      </c>
      <c r="K171" s="213">
        <v>4.9299999999999997E-2</v>
      </c>
      <c r="L171" s="104">
        <f t="shared" si="35"/>
        <v>81398.88489999999</v>
      </c>
      <c r="M171" s="214">
        <f>IF(VLOOKUP($B$2:$B$209,Netvolumenmål!$B$3:$AN$210,38,FALSE)&lt;Netvolumenmål!$AD$215,VLOOKUP($B$2:$B$209,Netvolumenmål!$B$3:$AN$210,38,FALSE)-Netvolumenmål!$AD$215,0)</f>
        <v>0</v>
      </c>
      <c r="N171" s="215">
        <f>VLOOKUP($B$2:$B$209,Netvolumenmål!$B$3:$AN$210,39,FALSE)*0.75</f>
        <v>0</v>
      </c>
      <c r="O171" s="216">
        <f t="shared" si="39"/>
        <v>4.9299999999999997E-2</v>
      </c>
      <c r="P171" s="12">
        <f t="shared" si="40"/>
        <v>81398.88489999999</v>
      </c>
      <c r="Q171" s="70">
        <f t="shared" si="41"/>
        <v>1.2324999999999999E-2</v>
      </c>
      <c r="R171" s="73">
        <f t="shared" si="42"/>
        <v>1.2324999999999999E-2</v>
      </c>
      <c r="S171" s="103">
        <f t="shared" si="43"/>
        <v>20349.721224999998</v>
      </c>
    </row>
    <row r="172" spans="1:19" x14ac:dyDescent="0.25">
      <c r="A172" s="17" t="s">
        <v>76</v>
      </c>
      <c r="B172" s="137" t="s">
        <v>415</v>
      </c>
      <c r="C172" s="84">
        <v>1613622</v>
      </c>
      <c r="D172" s="213">
        <v>0.33150000000000002</v>
      </c>
      <c r="E172" s="103">
        <f t="shared" si="36"/>
        <v>534915.69299999997</v>
      </c>
      <c r="F172" s="176"/>
      <c r="G172" s="213">
        <v>0.33150000000000002</v>
      </c>
      <c r="H172" s="103">
        <f t="shared" si="37"/>
        <v>534915.69299999997</v>
      </c>
      <c r="I172" s="44">
        <f t="shared" si="38"/>
        <v>1078706.307</v>
      </c>
      <c r="J172" s="104">
        <f t="shared" si="44"/>
        <v>0</v>
      </c>
      <c r="K172" s="213">
        <v>0.1744</v>
      </c>
      <c r="L172" s="104">
        <f t="shared" si="35"/>
        <v>281415.67680000002</v>
      </c>
      <c r="M172" s="214">
        <f>IF(VLOOKUP($B$2:$B$209,Netvolumenmål!$B$3:$AN$210,38,FALSE)&lt;Netvolumenmål!$AD$215,VLOOKUP($B$2:$B$209,Netvolumenmål!$B$3:$AN$210,38,FALSE)-Netvolumenmål!$AD$215,0)</f>
        <v>0</v>
      </c>
      <c r="N172" s="215">
        <f>VLOOKUP($B$2:$B$209,Netvolumenmål!$B$3:$AN$210,39,FALSE)*0.75</f>
        <v>0</v>
      </c>
      <c r="O172" s="216">
        <f t="shared" si="39"/>
        <v>0.1744</v>
      </c>
      <c r="P172" s="12">
        <f t="shared" si="40"/>
        <v>281415.67680000002</v>
      </c>
      <c r="Q172" s="70">
        <f t="shared" si="41"/>
        <v>4.36E-2</v>
      </c>
      <c r="R172" s="73">
        <f t="shared" si="42"/>
        <v>4.36E-2</v>
      </c>
      <c r="S172" s="103">
        <f t="shared" si="43"/>
        <v>70353.919200000004</v>
      </c>
    </row>
    <row r="173" spans="1:19" x14ac:dyDescent="0.25">
      <c r="A173" s="17" t="s">
        <v>58</v>
      </c>
      <c r="B173" s="137" t="s">
        <v>416</v>
      </c>
      <c r="C173" s="84">
        <v>12880446</v>
      </c>
      <c r="D173" s="213">
        <v>0.36120000000000002</v>
      </c>
      <c r="E173" s="103">
        <f>C173*D173</f>
        <v>4652417.0952000003</v>
      </c>
      <c r="F173" s="176"/>
      <c r="G173" s="213">
        <v>0.36120000000000002</v>
      </c>
      <c r="H173" s="103">
        <f t="shared" si="37"/>
        <v>4652417.0952000003</v>
      </c>
      <c r="I173" s="44">
        <f t="shared" si="38"/>
        <v>8228028.9047999997</v>
      </c>
      <c r="J173" s="104">
        <f t="shared" si="44"/>
        <v>0</v>
      </c>
      <c r="K173" s="213">
        <v>0.20530000000000001</v>
      </c>
      <c r="L173" s="104">
        <f t="shared" si="35"/>
        <v>2644355.5638000001</v>
      </c>
      <c r="M173" s="214">
        <f>IF(VLOOKUP($B$2:$B$209,Netvolumenmål!$B$3:$AN$210,38,FALSE)&lt;Netvolumenmål!$AD$215,VLOOKUP($B$2:$B$209,Netvolumenmål!$B$3:$AN$210,38,FALSE)-Netvolumenmål!$AD$215,0)</f>
        <v>0</v>
      </c>
      <c r="N173" s="215">
        <f>VLOOKUP($B$2:$B$209,Netvolumenmål!$B$3:$AN$210,39,FALSE)*0.75</f>
        <v>0</v>
      </c>
      <c r="O173" s="216">
        <f t="shared" si="39"/>
        <v>0.20530000000000001</v>
      </c>
      <c r="P173" s="12">
        <f t="shared" si="40"/>
        <v>2644355.5638000001</v>
      </c>
      <c r="Q173" s="70">
        <f t="shared" si="41"/>
        <v>5.1325000000000003E-2</v>
      </c>
      <c r="R173" s="73">
        <f t="shared" si="42"/>
        <v>0.05</v>
      </c>
      <c r="S173" s="103">
        <f t="shared" si="43"/>
        <v>644022.30000000005</v>
      </c>
    </row>
    <row r="174" spans="1:19" x14ac:dyDescent="0.25">
      <c r="A174" s="17" t="s">
        <v>417</v>
      </c>
      <c r="B174" s="137" t="s">
        <v>418</v>
      </c>
      <c r="C174" s="84">
        <v>712298</v>
      </c>
      <c r="D174" s="213">
        <v>0</v>
      </c>
      <c r="E174" s="103">
        <f t="shared" si="36"/>
        <v>0</v>
      </c>
      <c r="F174" s="176"/>
      <c r="G174" s="213">
        <v>0</v>
      </c>
      <c r="H174" s="103">
        <f t="shared" si="37"/>
        <v>0</v>
      </c>
      <c r="I174" s="44">
        <f>1.0396*C174</f>
        <v>740505.00080000004</v>
      </c>
      <c r="J174" s="104">
        <f t="shared" si="44"/>
        <v>27637.162400000147</v>
      </c>
      <c r="K174" s="213">
        <v>0</v>
      </c>
      <c r="L174" s="104">
        <f t="shared" si="35"/>
        <v>0</v>
      </c>
      <c r="M174" s="214">
        <f>IF(VLOOKUP($B$2:$B$209,Netvolumenmål!$B$3:$AN$210,38,FALSE)&lt;Netvolumenmål!$AD$215,VLOOKUP($B$2:$B$209,Netvolumenmål!$B$3:$AN$210,38,FALSE)-Netvolumenmål!$AD$215,0)</f>
        <v>0</v>
      </c>
      <c r="N174" s="215">
        <f>VLOOKUP($B$2:$B$209,Netvolumenmål!$B$3:$AN$210,39,FALSE)*0.75</f>
        <v>0</v>
      </c>
      <c r="O174" s="216">
        <f t="shared" si="39"/>
        <v>0</v>
      </c>
      <c r="P174" s="12">
        <f t="shared" si="40"/>
        <v>0</v>
      </c>
      <c r="Q174" s="70">
        <f t="shared" si="41"/>
        <v>0</v>
      </c>
      <c r="R174" s="73">
        <f t="shared" si="42"/>
        <v>0</v>
      </c>
      <c r="S174" s="103">
        <f t="shared" si="43"/>
        <v>0</v>
      </c>
    </row>
    <row r="175" spans="1:19" x14ac:dyDescent="0.25">
      <c r="A175" s="17" t="s">
        <v>59</v>
      </c>
      <c r="B175" s="137" t="s">
        <v>419</v>
      </c>
      <c r="C175" s="84">
        <v>2063847</v>
      </c>
      <c r="D175" s="213">
        <v>0.22470000000000001</v>
      </c>
      <c r="E175" s="103">
        <f t="shared" si="36"/>
        <v>463746.42090000003</v>
      </c>
      <c r="F175" s="176"/>
      <c r="G175" s="213">
        <v>0.22470000000000001</v>
      </c>
      <c r="H175" s="103">
        <f t="shared" si="37"/>
        <v>463746.42090000003</v>
      </c>
      <c r="I175" s="44">
        <f t="shared" si="38"/>
        <v>1600100.5791</v>
      </c>
      <c r="J175" s="104">
        <f t="shared" si="44"/>
        <v>0</v>
      </c>
      <c r="K175" s="213">
        <v>7.0599999999999996E-2</v>
      </c>
      <c r="L175" s="104">
        <f t="shared" si="35"/>
        <v>145707.59819999998</v>
      </c>
      <c r="M175" s="214">
        <f>IF(VLOOKUP($B$2:$B$209,Netvolumenmål!$B$3:$AN$210,38,FALSE)&lt;Netvolumenmål!$AD$215,VLOOKUP($B$2:$B$209,Netvolumenmål!$B$3:$AN$210,38,FALSE)-Netvolumenmål!$AD$215,0)</f>
        <v>0</v>
      </c>
      <c r="N175" s="215">
        <f>VLOOKUP($B$2:$B$209,Netvolumenmål!$B$3:$AN$210,39,FALSE)*0.75</f>
        <v>0</v>
      </c>
      <c r="O175" s="216">
        <f t="shared" si="39"/>
        <v>7.0599999999999996E-2</v>
      </c>
      <c r="P175" s="12">
        <f t="shared" si="40"/>
        <v>145707.59819999998</v>
      </c>
      <c r="Q175" s="70">
        <f t="shared" si="41"/>
        <v>1.7649999999999999E-2</v>
      </c>
      <c r="R175" s="73">
        <f t="shared" si="42"/>
        <v>1.7649999999999999E-2</v>
      </c>
      <c r="S175" s="103">
        <f t="shared" si="43"/>
        <v>36426.899549999995</v>
      </c>
    </row>
    <row r="176" spans="1:19" x14ac:dyDescent="0.25">
      <c r="A176" s="17" t="s">
        <v>420</v>
      </c>
      <c r="B176" s="137" t="s">
        <v>421</v>
      </c>
      <c r="C176" s="84">
        <v>16705999</v>
      </c>
      <c r="D176" s="213">
        <v>0.4385</v>
      </c>
      <c r="E176" s="103">
        <f t="shared" si="36"/>
        <v>7325580.5614999998</v>
      </c>
      <c r="F176" s="176"/>
      <c r="G176" s="213">
        <v>0.4385</v>
      </c>
      <c r="H176" s="103">
        <f t="shared" si="37"/>
        <v>7325580.5614999998</v>
      </c>
      <c r="I176" s="44">
        <f t="shared" si="38"/>
        <v>9380418.4385000002</v>
      </c>
      <c r="J176" s="104">
        <f t="shared" si="44"/>
        <v>0</v>
      </c>
      <c r="K176" s="213">
        <v>0.28660000000000002</v>
      </c>
      <c r="L176" s="104">
        <f t="shared" si="35"/>
        <v>4787939.3134000003</v>
      </c>
      <c r="M176" s="214">
        <f>IF(VLOOKUP($B$2:$B$209,Netvolumenmål!$B$3:$AN$210,38,FALSE)&lt;Netvolumenmål!$AD$215,VLOOKUP($B$2:$B$209,Netvolumenmål!$B$3:$AN$210,38,FALSE)-Netvolumenmål!$AD$215,0)</f>
        <v>0</v>
      </c>
      <c r="N176" s="215">
        <f>VLOOKUP($B$2:$B$209,Netvolumenmål!$B$3:$AN$210,39,FALSE)*0.75</f>
        <v>0</v>
      </c>
      <c r="O176" s="216">
        <f t="shared" si="39"/>
        <v>0.28660000000000002</v>
      </c>
      <c r="P176" s="12">
        <f t="shared" si="40"/>
        <v>4787939.3134000003</v>
      </c>
      <c r="Q176" s="70">
        <f t="shared" si="41"/>
        <v>7.1650000000000005E-2</v>
      </c>
      <c r="R176" s="73">
        <f t="shared" si="42"/>
        <v>0.05</v>
      </c>
      <c r="S176" s="103">
        <f t="shared" si="43"/>
        <v>835299.95000000007</v>
      </c>
    </row>
    <row r="177" spans="1:19" x14ac:dyDescent="0.25">
      <c r="A177" s="17" t="s">
        <v>422</v>
      </c>
      <c r="B177" s="137" t="s">
        <v>423</v>
      </c>
      <c r="C177" s="84">
        <v>1336249</v>
      </c>
      <c r="D177" s="213">
        <v>0.15129999999999999</v>
      </c>
      <c r="E177" s="103">
        <f t="shared" si="36"/>
        <v>202174.47369999997</v>
      </c>
      <c r="F177" s="176"/>
      <c r="G177" s="213">
        <v>0.15129999999999999</v>
      </c>
      <c r="H177" s="103">
        <f t="shared" si="37"/>
        <v>202174.47369999997</v>
      </c>
      <c r="I177" s="44">
        <f t="shared" si="38"/>
        <v>1134074.5263</v>
      </c>
      <c r="J177" s="104">
        <f t="shared" si="44"/>
        <v>0</v>
      </c>
      <c r="K177" s="213">
        <v>0</v>
      </c>
      <c r="L177" s="104">
        <f t="shared" si="35"/>
        <v>0</v>
      </c>
      <c r="M177" s="214">
        <f>IF(VLOOKUP($B$2:$B$209,Netvolumenmål!$B$3:$AN$210,38,FALSE)&lt;Netvolumenmål!$AD$215,VLOOKUP($B$2:$B$209,Netvolumenmål!$B$3:$AN$210,38,FALSE)-Netvolumenmål!$AD$215,0)</f>
        <v>0</v>
      </c>
      <c r="N177" s="215">
        <f>VLOOKUP($B$2:$B$209,Netvolumenmål!$B$3:$AN$210,39,FALSE)*0.75</f>
        <v>0</v>
      </c>
      <c r="O177" s="216">
        <f t="shared" si="39"/>
        <v>0</v>
      </c>
      <c r="P177" s="12">
        <f t="shared" si="40"/>
        <v>0</v>
      </c>
      <c r="Q177" s="70">
        <f t="shared" si="41"/>
        <v>0</v>
      </c>
      <c r="R177" s="73">
        <f t="shared" si="42"/>
        <v>0</v>
      </c>
      <c r="S177" s="103">
        <f t="shared" si="43"/>
        <v>0</v>
      </c>
    </row>
    <row r="178" spans="1:19" x14ac:dyDescent="0.25">
      <c r="A178" s="17" t="s">
        <v>424</v>
      </c>
      <c r="B178" s="137" t="s">
        <v>425</v>
      </c>
      <c r="C178" s="84">
        <v>546457</v>
      </c>
      <c r="D178" s="213">
        <v>8.5000000000000006E-3</v>
      </c>
      <c r="E178" s="103">
        <f t="shared" si="36"/>
        <v>4644.8845000000001</v>
      </c>
      <c r="F178" s="176"/>
      <c r="G178" s="213">
        <v>8.5000000000000006E-3</v>
      </c>
      <c r="H178" s="103">
        <f t="shared" si="37"/>
        <v>4644.8845000000001</v>
      </c>
      <c r="I178" s="44">
        <f t="shared" si="38"/>
        <v>541812.11549999996</v>
      </c>
      <c r="J178" s="104">
        <f t="shared" si="44"/>
        <v>0</v>
      </c>
      <c r="K178" s="213">
        <v>0</v>
      </c>
      <c r="L178" s="104">
        <f t="shared" si="35"/>
        <v>0</v>
      </c>
      <c r="M178" s="214">
        <f>IF(VLOOKUP($B$2:$B$209,Netvolumenmål!$B$3:$AN$210,38,FALSE)&lt;Netvolumenmål!$AD$215,VLOOKUP($B$2:$B$209,Netvolumenmål!$B$3:$AN$210,38,FALSE)-Netvolumenmål!$AD$215,0)</f>
        <v>0</v>
      </c>
      <c r="N178" s="215">
        <f>VLOOKUP($B$2:$B$209,Netvolumenmål!$B$3:$AN$210,39,FALSE)*0.75</f>
        <v>0</v>
      </c>
      <c r="O178" s="216">
        <f t="shared" si="39"/>
        <v>0</v>
      </c>
      <c r="P178" s="12">
        <f t="shared" si="40"/>
        <v>0</v>
      </c>
      <c r="Q178" s="70">
        <f t="shared" si="41"/>
        <v>0</v>
      </c>
      <c r="R178" s="73">
        <f t="shared" si="42"/>
        <v>0</v>
      </c>
      <c r="S178" s="103">
        <f t="shared" si="43"/>
        <v>0</v>
      </c>
    </row>
    <row r="179" spans="1:19" x14ac:dyDescent="0.25">
      <c r="A179" s="17" t="s">
        <v>61</v>
      </c>
      <c r="B179" s="137" t="s">
        <v>426</v>
      </c>
      <c r="C179" s="84">
        <v>54399007</v>
      </c>
      <c r="D179" s="213">
        <v>0.23880000000000001</v>
      </c>
      <c r="E179" s="103">
        <f t="shared" si="36"/>
        <v>12990482.8716</v>
      </c>
      <c r="F179" s="176"/>
      <c r="G179" s="213">
        <v>0.23880000000000001</v>
      </c>
      <c r="H179" s="103">
        <f>G179*C179</f>
        <v>12990482.8716</v>
      </c>
      <c r="I179" s="44">
        <f t="shared" si="38"/>
        <v>41408524.128399998</v>
      </c>
      <c r="J179" s="104">
        <f t="shared" si="44"/>
        <v>0</v>
      </c>
      <c r="K179" s="213">
        <v>8.2500000000000004E-2</v>
      </c>
      <c r="L179" s="104">
        <f t="shared" si="35"/>
        <v>4487918.0775000006</v>
      </c>
      <c r="M179" s="214">
        <f>IF(VLOOKUP($B$2:$B$209,Netvolumenmål!$B$3:$AN$210,38,FALSE)&lt;Netvolumenmål!$AD$215,VLOOKUP($B$2:$B$209,Netvolumenmål!$B$3:$AN$210,38,FALSE)-Netvolumenmål!$AD$215,0)</f>
        <v>0</v>
      </c>
      <c r="N179" s="215">
        <f>VLOOKUP($B$2:$B$209,Netvolumenmål!$B$3:$AN$210,39,FALSE)*0.75</f>
        <v>0</v>
      </c>
      <c r="O179" s="216">
        <f t="shared" si="39"/>
        <v>8.2500000000000004E-2</v>
      </c>
      <c r="P179" s="12">
        <f t="shared" si="40"/>
        <v>4487918.0775000006</v>
      </c>
      <c r="Q179" s="70">
        <f t="shared" si="41"/>
        <v>2.0625000000000001E-2</v>
      </c>
      <c r="R179" s="73">
        <f t="shared" si="42"/>
        <v>2.0625000000000001E-2</v>
      </c>
      <c r="S179" s="103">
        <f t="shared" si="43"/>
        <v>1121979.5193750001</v>
      </c>
    </row>
    <row r="180" spans="1:19" x14ac:dyDescent="0.25">
      <c r="A180" s="17" t="s">
        <v>427</v>
      </c>
      <c r="B180" s="137" t="s">
        <v>428</v>
      </c>
      <c r="C180" s="84">
        <v>1393432</v>
      </c>
      <c r="D180" s="213">
        <v>0.32850000000000001</v>
      </c>
      <c r="E180" s="103">
        <f t="shared" si="36"/>
        <v>457742.41200000001</v>
      </c>
      <c r="F180" s="176"/>
      <c r="G180" s="213">
        <v>0.32850000000000001</v>
      </c>
      <c r="H180" s="103">
        <f t="shared" si="37"/>
        <v>457742.41200000001</v>
      </c>
      <c r="I180" s="44">
        <f t="shared" si="38"/>
        <v>935689.58799999999</v>
      </c>
      <c r="J180" s="104">
        <f t="shared" si="44"/>
        <v>0</v>
      </c>
      <c r="K180" s="213">
        <v>0.17449999999999999</v>
      </c>
      <c r="L180" s="104">
        <f t="shared" si="35"/>
        <v>243153.88399999999</v>
      </c>
      <c r="M180" s="214">
        <f>IF(VLOOKUP($B$2:$B$209,Netvolumenmål!$B$3:$AN$210,38,FALSE)&lt;Netvolumenmål!$AD$215,VLOOKUP($B$2:$B$209,Netvolumenmål!$B$3:$AN$210,38,FALSE)-Netvolumenmål!$AD$215,0)</f>
        <v>0</v>
      </c>
      <c r="N180" s="215">
        <f>VLOOKUP($B$2:$B$209,Netvolumenmål!$B$3:$AN$210,39,FALSE)*0.75</f>
        <v>0</v>
      </c>
      <c r="O180" s="216">
        <f t="shared" si="39"/>
        <v>0.17449999999999999</v>
      </c>
      <c r="P180" s="12">
        <f t="shared" si="40"/>
        <v>243153.88399999999</v>
      </c>
      <c r="Q180" s="70">
        <f t="shared" si="41"/>
        <v>4.3624999999999997E-2</v>
      </c>
      <c r="R180" s="73">
        <f t="shared" si="42"/>
        <v>4.3624999999999997E-2</v>
      </c>
      <c r="S180" s="103">
        <f t="shared" si="43"/>
        <v>60788.470999999998</v>
      </c>
    </row>
    <row r="181" spans="1:19" x14ac:dyDescent="0.25">
      <c r="A181" s="17" t="s">
        <v>77</v>
      </c>
      <c r="B181" s="137" t="s">
        <v>429</v>
      </c>
      <c r="C181" s="84">
        <v>7675323</v>
      </c>
      <c r="D181" s="213">
        <v>0.32140000000000002</v>
      </c>
      <c r="E181" s="103">
        <f t="shared" si="36"/>
        <v>2466848.8122</v>
      </c>
      <c r="F181" s="84">
        <v>211780</v>
      </c>
      <c r="G181" s="213">
        <v>0.30359999999999998</v>
      </c>
      <c r="H181" s="103">
        <f t="shared" si="37"/>
        <v>2330228.0628</v>
      </c>
      <c r="I181" s="44">
        <f t="shared" si="38"/>
        <v>5345094.9372000005</v>
      </c>
      <c r="J181" s="104">
        <f t="shared" si="44"/>
        <v>0</v>
      </c>
      <c r="K181" s="213">
        <v>0.1472</v>
      </c>
      <c r="L181" s="104">
        <f t="shared" si="35"/>
        <v>1129807.5456000001</v>
      </c>
      <c r="M181" s="214">
        <f>IF(VLOOKUP($B$2:$B$209,Netvolumenmål!$B$3:$AN$210,38,FALSE)&lt;Netvolumenmål!$AD$215,VLOOKUP($B$2:$B$209,Netvolumenmål!$B$3:$AN$210,38,FALSE)-Netvolumenmål!$AD$215,0)</f>
        <v>0</v>
      </c>
      <c r="N181" s="215">
        <f>VLOOKUP($B$2:$B$209,Netvolumenmål!$B$3:$AN$210,39,FALSE)*0.75</f>
        <v>0</v>
      </c>
      <c r="O181" s="216">
        <f t="shared" si="39"/>
        <v>0.1472</v>
      </c>
      <c r="P181" s="12">
        <f t="shared" si="40"/>
        <v>1129807.5456000001</v>
      </c>
      <c r="Q181" s="70">
        <f t="shared" si="41"/>
        <v>3.6799999999999999E-2</v>
      </c>
      <c r="R181" s="73">
        <f t="shared" si="42"/>
        <v>3.6799999999999999E-2</v>
      </c>
      <c r="S181" s="103">
        <f t="shared" si="43"/>
        <v>282451.88640000002</v>
      </c>
    </row>
    <row r="182" spans="1:19" x14ac:dyDescent="0.25">
      <c r="A182" s="17" t="s">
        <v>62</v>
      </c>
      <c r="B182" s="137" t="s">
        <v>430</v>
      </c>
      <c r="C182" s="84">
        <v>10229541</v>
      </c>
      <c r="D182" s="213">
        <v>0.31419999999999998</v>
      </c>
      <c r="E182" s="103">
        <f t="shared" si="36"/>
        <v>3214121.7821999998</v>
      </c>
      <c r="F182" s="175">
        <v>637169</v>
      </c>
      <c r="G182" s="213">
        <v>0.26069999999999999</v>
      </c>
      <c r="H182" s="103">
        <f t="shared" si="37"/>
        <v>2666841.3386999997</v>
      </c>
      <c r="I182" s="44">
        <f t="shared" si="38"/>
        <v>7562699.6612999998</v>
      </c>
      <c r="J182" s="104">
        <f t="shared" si="44"/>
        <v>0</v>
      </c>
      <c r="K182" s="213">
        <v>0.1045</v>
      </c>
      <c r="L182" s="104">
        <f t="shared" si="35"/>
        <v>1068987.0345000001</v>
      </c>
      <c r="M182" s="214">
        <f>IF(VLOOKUP($B$2:$B$209,Netvolumenmål!$B$3:$AN$210,38,FALSE)&lt;Netvolumenmål!$AD$215,VLOOKUP($B$2:$B$209,Netvolumenmål!$B$3:$AN$210,38,FALSE)-Netvolumenmål!$AD$215,0)</f>
        <v>0</v>
      </c>
      <c r="N182" s="215">
        <f>VLOOKUP($B$2:$B$209,Netvolumenmål!$B$3:$AN$210,39,FALSE)*0.75</f>
        <v>0</v>
      </c>
      <c r="O182" s="216">
        <f t="shared" si="39"/>
        <v>0.1045</v>
      </c>
      <c r="P182" s="12">
        <f t="shared" si="40"/>
        <v>1068987.0345000001</v>
      </c>
      <c r="Q182" s="70">
        <f t="shared" si="41"/>
        <v>2.6124999999999999E-2</v>
      </c>
      <c r="R182" s="73">
        <f t="shared" si="42"/>
        <v>2.6124999999999999E-2</v>
      </c>
      <c r="S182" s="103">
        <f t="shared" si="43"/>
        <v>267246.75862500002</v>
      </c>
    </row>
    <row r="183" spans="1:19" x14ac:dyDescent="0.25">
      <c r="A183" s="17" t="s">
        <v>431</v>
      </c>
      <c r="B183" s="137" t="s">
        <v>432</v>
      </c>
      <c r="C183" s="84">
        <v>1127104</v>
      </c>
      <c r="D183" s="213">
        <v>0.1865</v>
      </c>
      <c r="E183" s="103">
        <f t="shared" si="36"/>
        <v>210204.89600000001</v>
      </c>
      <c r="F183" s="176"/>
      <c r="G183" s="213">
        <v>0.1865</v>
      </c>
      <c r="H183" s="103">
        <f t="shared" si="37"/>
        <v>210204.89600000001</v>
      </c>
      <c r="I183" s="44">
        <f>IF(G183&gt;0,C183-H183,"Over fronten")</f>
        <v>916899.10400000005</v>
      </c>
      <c r="J183" s="104">
        <f t="shared" si="44"/>
        <v>0</v>
      </c>
      <c r="K183" s="213">
        <v>2.9399999999999999E-2</v>
      </c>
      <c r="L183" s="104">
        <f t="shared" si="35"/>
        <v>33136.857599999996</v>
      </c>
      <c r="M183" s="214">
        <f>IF(VLOOKUP($B$2:$B$209,Netvolumenmål!$B$3:$AN$210,38,FALSE)&lt;Netvolumenmål!$AD$215,VLOOKUP($B$2:$B$209,Netvolumenmål!$B$3:$AN$210,38,FALSE)-Netvolumenmål!$AD$215,0)</f>
        <v>0</v>
      </c>
      <c r="N183" s="215">
        <f>VLOOKUP($B$2:$B$209,Netvolumenmål!$B$3:$AN$210,39,FALSE)*0.75</f>
        <v>0</v>
      </c>
      <c r="O183" s="216">
        <f t="shared" si="39"/>
        <v>2.9399999999999999E-2</v>
      </c>
      <c r="P183" s="12">
        <f t="shared" si="40"/>
        <v>33136.857599999996</v>
      </c>
      <c r="Q183" s="70">
        <f t="shared" si="41"/>
        <v>7.3499999999999998E-3</v>
      </c>
      <c r="R183" s="73">
        <f t="shared" si="42"/>
        <v>0</v>
      </c>
      <c r="S183" s="103">
        <f t="shared" si="43"/>
        <v>0</v>
      </c>
    </row>
    <row r="184" spans="1:19" x14ac:dyDescent="0.25">
      <c r="A184" s="17" t="s">
        <v>433</v>
      </c>
      <c r="B184" s="137" t="s">
        <v>434</v>
      </c>
      <c r="C184" s="84">
        <v>4016531</v>
      </c>
      <c r="D184" s="213">
        <v>0.49230000000000002</v>
      </c>
      <c r="E184" s="103">
        <f t="shared" si="36"/>
        <v>1977338.2113000001</v>
      </c>
      <c r="F184" s="176"/>
      <c r="G184" s="213">
        <v>0.49230000000000002</v>
      </c>
      <c r="H184" s="103">
        <f t="shared" si="37"/>
        <v>1977338.2113000001</v>
      </c>
      <c r="I184" s="44">
        <f t="shared" si="38"/>
        <v>2039192.7886999999</v>
      </c>
      <c r="J184" s="104">
        <f t="shared" si="44"/>
        <v>0</v>
      </c>
      <c r="K184" s="213">
        <v>0.33600000000000002</v>
      </c>
      <c r="L184" s="104">
        <f t="shared" ref="L184:L208" si="45">K184*C184</f>
        <v>1349554.416</v>
      </c>
      <c r="M184" s="214">
        <f>IF(VLOOKUP($B$2:$B$209,Netvolumenmål!$B$3:$AN$210,38,FALSE)&lt;Netvolumenmål!$AD$215,VLOOKUP($B$2:$B$209,Netvolumenmål!$B$3:$AN$210,38,FALSE)-Netvolumenmål!$AD$215,0)</f>
        <v>-6.7423645686927006E-2</v>
      </c>
      <c r="N184" s="215">
        <f>VLOOKUP($B$2:$B$209,Netvolumenmål!$B$3:$AN$210,39,FALSE)*0.75</f>
        <v>-2.8737643382910467E-2</v>
      </c>
      <c r="O184" s="216">
        <f t="shared" si="39"/>
        <v>0.30726235661708956</v>
      </c>
      <c r="P184" s="12">
        <f t="shared" si="40"/>
        <v>1234128.7804855953</v>
      </c>
      <c r="Q184" s="70">
        <f t="shared" si="41"/>
        <v>7.681558915427239E-2</v>
      </c>
      <c r="R184" s="73">
        <f t="shared" si="42"/>
        <v>0.05</v>
      </c>
      <c r="S184" s="103">
        <f t="shared" si="43"/>
        <v>200826.55000000002</v>
      </c>
    </row>
    <row r="185" spans="1:19" x14ac:dyDescent="0.25">
      <c r="A185" s="17" t="s">
        <v>435</v>
      </c>
      <c r="B185" s="137" t="s">
        <v>436</v>
      </c>
      <c r="C185" s="84">
        <v>2063187</v>
      </c>
      <c r="D185" s="213">
        <v>0.1971</v>
      </c>
      <c r="E185" s="103">
        <f t="shared" ref="E185:E209" si="46">C185*D185</f>
        <v>406654.15769999998</v>
      </c>
      <c r="F185" s="176"/>
      <c r="G185" s="213">
        <v>0.1971</v>
      </c>
      <c r="H185" s="103">
        <f t="shared" si="37"/>
        <v>406654.15769999998</v>
      </c>
      <c r="I185" s="44">
        <f t="shared" si="38"/>
        <v>1656532.8423000001</v>
      </c>
      <c r="J185" s="104">
        <f t="shared" si="44"/>
        <v>0</v>
      </c>
      <c r="K185" s="213">
        <v>3.5900000000000001E-2</v>
      </c>
      <c r="L185" s="104">
        <f t="shared" si="45"/>
        <v>74068.4133</v>
      </c>
      <c r="M185" s="214">
        <f>IF(VLOOKUP($B$2:$B$209,Netvolumenmål!$B$3:$AN$210,38,FALSE)&lt;Netvolumenmål!$AD$215,VLOOKUP($B$2:$B$209,Netvolumenmål!$B$3:$AN$210,38,FALSE)-Netvolumenmål!$AD$215,0)</f>
        <v>0</v>
      </c>
      <c r="N185" s="215">
        <f>VLOOKUP($B$2:$B$209,Netvolumenmål!$B$3:$AN$210,39,FALSE)*0.75</f>
        <v>0</v>
      </c>
      <c r="O185" s="216">
        <f t="shared" si="39"/>
        <v>3.5900000000000001E-2</v>
      </c>
      <c r="P185" s="12">
        <f t="shared" si="40"/>
        <v>74068.4133</v>
      </c>
      <c r="Q185" s="70">
        <f t="shared" si="41"/>
        <v>8.9750000000000003E-3</v>
      </c>
      <c r="R185" s="73">
        <f t="shared" si="42"/>
        <v>0</v>
      </c>
      <c r="S185" s="103">
        <f t="shared" si="43"/>
        <v>0</v>
      </c>
    </row>
    <row r="186" spans="1:19" x14ac:dyDescent="0.25">
      <c r="A186" s="17" t="s">
        <v>78</v>
      </c>
      <c r="B186" s="137" t="s">
        <v>437</v>
      </c>
      <c r="C186" s="84">
        <v>1620816</v>
      </c>
      <c r="D186" s="213">
        <v>0.29039999999999999</v>
      </c>
      <c r="E186" s="103">
        <f t="shared" si="46"/>
        <v>470684.96639999998</v>
      </c>
      <c r="F186" s="176"/>
      <c r="G186" s="213">
        <v>0.29039999999999999</v>
      </c>
      <c r="H186" s="103">
        <f t="shared" si="37"/>
        <v>470684.96639999998</v>
      </c>
      <c r="I186" s="44">
        <f t="shared" si="38"/>
        <v>1150131.0336</v>
      </c>
      <c r="J186" s="104">
        <f t="shared" si="44"/>
        <v>0</v>
      </c>
      <c r="K186" s="213">
        <v>0.1278</v>
      </c>
      <c r="L186" s="104">
        <f t="shared" si="45"/>
        <v>207140.28479999999</v>
      </c>
      <c r="M186" s="214">
        <f>IF(VLOOKUP($B$2:$B$209,Netvolumenmål!$B$3:$AN$210,38,FALSE)&lt;Netvolumenmål!$AD$215,VLOOKUP($B$2:$B$209,Netvolumenmål!$B$3:$AN$210,38,FALSE)-Netvolumenmål!$AD$215,0)</f>
        <v>0</v>
      </c>
      <c r="N186" s="215">
        <f>VLOOKUP($B$2:$B$209,Netvolumenmål!$B$3:$AN$210,39,FALSE)*0.75</f>
        <v>0</v>
      </c>
      <c r="O186" s="216">
        <f t="shared" si="39"/>
        <v>0.1278</v>
      </c>
      <c r="P186" s="12">
        <f t="shared" si="40"/>
        <v>207140.28479999999</v>
      </c>
      <c r="Q186" s="70">
        <f t="shared" si="41"/>
        <v>3.1949999999999999E-2</v>
      </c>
      <c r="R186" s="73">
        <f t="shared" si="42"/>
        <v>3.1949999999999999E-2</v>
      </c>
      <c r="S186" s="103">
        <f t="shared" si="43"/>
        <v>51785.071199999998</v>
      </c>
    </row>
    <row r="187" spans="1:19" x14ac:dyDescent="0.25">
      <c r="A187" s="17" t="s">
        <v>64</v>
      </c>
      <c r="B187" s="137" t="s">
        <v>438</v>
      </c>
      <c r="C187" s="84">
        <v>18469324</v>
      </c>
      <c r="D187" s="213">
        <v>0.3342</v>
      </c>
      <c r="E187" s="103">
        <f t="shared" si="46"/>
        <v>6172448.0807999996</v>
      </c>
      <c r="F187" s="84">
        <v>1170144</v>
      </c>
      <c r="G187" s="213">
        <v>0.28739999999999999</v>
      </c>
      <c r="H187" s="103">
        <f t="shared" si="37"/>
        <v>5308083.7176000001</v>
      </c>
      <c r="I187" s="44">
        <f t="shared" si="38"/>
        <v>13161240.282400001</v>
      </c>
      <c r="J187" s="104">
        <f t="shared" si="44"/>
        <v>0</v>
      </c>
      <c r="K187" s="213">
        <v>0.1333</v>
      </c>
      <c r="L187" s="104">
        <f t="shared" si="45"/>
        <v>2461960.8892000001</v>
      </c>
      <c r="M187" s="214">
        <f>IF(VLOOKUP($B$2:$B$209,Netvolumenmål!$B$3:$AN$210,38,FALSE)&lt;Netvolumenmål!$AD$215,VLOOKUP($B$2:$B$209,Netvolumenmål!$B$3:$AN$210,38,FALSE)-Netvolumenmål!$AD$215,0)</f>
        <v>0</v>
      </c>
      <c r="N187" s="215">
        <f>VLOOKUP($B$2:$B$209,Netvolumenmål!$B$3:$AN$210,39,FALSE)*0.75</f>
        <v>0</v>
      </c>
      <c r="O187" s="216">
        <f t="shared" si="39"/>
        <v>0.1333</v>
      </c>
      <c r="P187" s="12">
        <f t="shared" si="40"/>
        <v>2461960.8892000001</v>
      </c>
      <c r="Q187" s="70">
        <f t="shared" si="41"/>
        <v>3.3325E-2</v>
      </c>
      <c r="R187" s="73">
        <f t="shared" si="42"/>
        <v>3.3325E-2</v>
      </c>
      <c r="S187" s="103">
        <f t="shared" si="43"/>
        <v>615490.22230000002</v>
      </c>
    </row>
    <row r="188" spans="1:19" x14ac:dyDescent="0.25">
      <c r="A188" s="17" t="s">
        <v>439</v>
      </c>
      <c r="B188" s="137" t="s">
        <v>440</v>
      </c>
      <c r="C188" s="84">
        <v>6680786</v>
      </c>
      <c r="D188" s="213">
        <v>0.22120000000000001</v>
      </c>
      <c r="E188" s="103">
        <f t="shared" si="46"/>
        <v>1477789.8632</v>
      </c>
      <c r="F188" s="174">
        <v>243069.14</v>
      </c>
      <c r="G188" s="213">
        <v>0.1966</v>
      </c>
      <c r="H188" s="103">
        <f t="shared" si="37"/>
        <v>1313442.5275999999</v>
      </c>
      <c r="I188" s="44">
        <f t="shared" si="38"/>
        <v>5367343.4724000003</v>
      </c>
      <c r="J188" s="104">
        <f t="shared" si="44"/>
        <v>0</v>
      </c>
      <c r="K188" s="213">
        <v>3.5400000000000001E-2</v>
      </c>
      <c r="L188" s="104">
        <f t="shared" si="45"/>
        <v>236499.82440000001</v>
      </c>
      <c r="M188" s="214">
        <f>IF(VLOOKUP($B$2:$B$209,Netvolumenmål!$B$3:$AN$210,38,FALSE)&lt;Netvolumenmål!$AD$215,VLOOKUP($B$2:$B$209,Netvolumenmål!$B$3:$AN$210,38,FALSE)-Netvolumenmål!$AD$215,0)</f>
        <v>0</v>
      </c>
      <c r="N188" s="215">
        <f>VLOOKUP($B$2:$B$209,Netvolumenmål!$B$3:$AN$210,39,FALSE)*0.75</f>
        <v>0</v>
      </c>
      <c r="O188" s="216">
        <f t="shared" si="39"/>
        <v>3.5400000000000001E-2</v>
      </c>
      <c r="P188" s="12">
        <f t="shared" si="40"/>
        <v>236499.82440000001</v>
      </c>
      <c r="Q188" s="70">
        <f t="shared" si="41"/>
        <v>8.8500000000000002E-3</v>
      </c>
      <c r="R188" s="73">
        <f t="shared" si="42"/>
        <v>0</v>
      </c>
      <c r="S188" s="103">
        <f t="shared" si="43"/>
        <v>0</v>
      </c>
    </row>
    <row r="189" spans="1:19" x14ac:dyDescent="0.25">
      <c r="A189" s="17" t="s">
        <v>490</v>
      </c>
      <c r="B189" s="137" t="s">
        <v>441</v>
      </c>
      <c r="C189" s="84">
        <v>54161611</v>
      </c>
      <c r="D189" s="213">
        <v>0.15179999999999999</v>
      </c>
      <c r="E189" s="103">
        <f t="shared" si="46"/>
        <v>8221732.5497999992</v>
      </c>
      <c r="F189" s="176"/>
      <c r="G189" s="213">
        <v>0.15179999999999999</v>
      </c>
      <c r="H189" s="103">
        <f t="shared" si="37"/>
        <v>8221732.5497999992</v>
      </c>
      <c r="I189" s="44">
        <f t="shared" si="38"/>
        <v>45939878.450199999</v>
      </c>
      <c r="J189" s="104">
        <f t="shared" si="44"/>
        <v>0</v>
      </c>
      <c r="K189" s="213">
        <v>0</v>
      </c>
      <c r="L189" s="104">
        <f t="shared" si="45"/>
        <v>0</v>
      </c>
      <c r="M189" s="214">
        <f>IF(VLOOKUP($B$2:$B$209,Netvolumenmål!$B$3:$AN$210,38,FALSE)&lt;Netvolumenmål!$AD$215,VLOOKUP($B$2:$B$209,Netvolumenmål!$B$3:$AN$210,38,FALSE)-Netvolumenmål!$AD$215,0)</f>
        <v>0</v>
      </c>
      <c r="N189" s="215">
        <f>VLOOKUP($B$2:$B$209,Netvolumenmål!$B$3:$AN$210,39,FALSE)*0.75</f>
        <v>0</v>
      </c>
      <c r="O189" s="216">
        <f t="shared" si="39"/>
        <v>0</v>
      </c>
      <c r="P189" s="12">
        <f t="shared" si="40"/>
        <v>0</v>
      </c>
      <c r="Q189" s="70">
        <f t="shared" si="41"/>
        <v>0</v>
      </c>
      <c r="R189" s="73">
        <f t="shared" si="42"/>
        <v>0</v>
      </c>
      <c r="S189" s="103">
        <f t="shared" si="43"/>
        <v>0</v>
      </c>
    </row>
    <row r="190" spans="1:19" x14ac:dyDescent="0.25">
      <c r="A190" s="17" t="s">
        <v>442</v>
      </c>
      <c r="B190" s="137" t="s">
        <v>443</v>
      </c>
      <c r="C190" s="84">
        <v>634401</v>
      </c>
      <c r="D190" s="213">
        <v>0.31790000000000002</v>
      </c>
      <c r="E190" s="103">
        <f t="shared" si="46"/>
        <v>201676.0779</v>
      </c>
      <c r="F190" s="176"/>
      <c r="G190" s="213">
        <v>0.31790000000000002</v>
      </c>
      <c r="H190" s="103">
        <f t="shared" si="37"/>
        <v>201676.0779</v>
      </c>
      <c r="I190" s="44">
        <f t="shared" si="38"/>
        <v>432724.92209999997</v>
      </c>
      <c r="J190" s="104">
        <f t="shared" si="44"/>
        <v>0</v>
      </c>
      <c r="K190" s="213">
        <v>0.16070000000000001</v>
      </c>
      <c r="L190" s="104">
        <f t="shared" si="45"/>
        <v>101948.24070000001</v>
      </c>
      <c r="M190" s="214">
        <f>IF(VLOOKUP($B$2:$B$209,Netvolumenmål!$B$3:$AN$210,38,FALSE)&lt;Netvolumenmål!$AD$215,VLOOKUP($B$2:$B$209,Netvolumenmål!$B$3:$AN$210,38,FALSE)-Netvolumenmål!$AD$215,0)</f>
        <v>0</v>
      </c>
      <c r="N190" s="215">
        <f>VLOOKUP($B$2:$B$209,Netvolumenmål!$B$3:$AN$210,39,FALSE)*0.75</f>
        <v>0</v>
      </c>
      <c r="O190" s="216">
        <f t="shared" si="39"/>
        <v>0.16070000000000001</v>
      </c>
      <c r="P190" s="12">
        <f t="shared" si="40"/>
        <v>101948.24070000001</v>
      </c>
      <c r="Q190" s="70">
        <f t="shared" si="41"/>
        <v>4.0175000000000002E-2</v>
      </c>
      <c r="R190" s="73">
        <f t="shared" si="42"/>
        <v>4.0175000000000002E-2</v>
      </c>
      <c r="S190" s="103">
        <f t="shared" si="43"/>
        <v>25487.060175000002</v>
      </c>
    </row>
    <row r="191" spans="1:19" x14ac:dyDescent="0.25">
      <c r="A191" s="17" t="s">
        <v>444</v>
      </c>
      <c r="B191" s="137" t="s">
        <v>445</v>
      </c>
      <c r="C191" s="84">
        <v>1337997</v>
      </c>
      <c r="D191" s="213">
        <v>0.25359999999999999</v>
      </c>
      <c r="E191" s="103">
        <f t="shared" si="46"/>
        <v>339316.0392</v>
      </c>
      <c r="F191" s="176"/>
      <c r="G191" s="213">
        <v>0.25359999999999999</v>
      </c>
      <c r="H191" s="103">
        <f t="shared" si="37"/>
        <v>339316.0392</v>
      </c>
      <c r="I191" s="44">
        <f t="shared" si="38"/>
        <v>998680.9608</v>
      </c>
      <c r="J191" s="104">
        <f t="shared" si="44"/>
        <v>0</v>
      </c>
      <c r="K191" s="213">
        <v>9.0899999999999995E-2</v>
      </c>
      <c r="L191" s="104">
        <f t="shared" si="45"/>
        <v>121623.9273</v>
      </c>
      <c r="M191" s="214">
        <f>IF(VLOOKUP($B$2:$B$209,Netvolumenmål!$B$3:$AN$210,38,FALSE)&lt;Netvolumenmål!$AD$215,VLOOKUP($B$2:$B$209,Netvolumenmål!$B$3:$AN$210,38,FALSE)-Netvolumenmål!$AD$215,0)</f>
        <v>0</v>
      </c>
      <c r="N191" s="215">
        <f>VLOOKUP($B$2:$B$209,Netvolumenmål!$B$3:$AN$210,39,FALSE)*0.75</f>
        <v>0</v>
      </c>
      <c r="O191" s="216">
        <f t="shared" si="39"/>
        <v>9.0899999999999995E-2</v>
      </c>
      <c r="P191" s="12">
        <f t="shared" si="40"/>
        <v>121623.9273</v>
      </c>
      <c r="Q191" s="70">
        <f t="shared" si="41"/>
        <v>2.2724999999999999E-2</v>
      </c>
      <c r="R191" s="73">
        <f t="shared" si="42"/>
        <v>2.2724999999999999E-2</v>
      </c>
      <c r="S191" s="103">
        <f t="shared" si="43"/>
        <v>30405.981824999999</v>
      </c>
    </row>
    <row r="192" spans="1:19" x14ac:dyDescent="0.25">
      <c r="A192" s="17" t="s">
        <v>446</v>
      </c>
      <c r="B192" s="137" t="s">
        <v>447</v>
      </c>
      <c r="C192" s="84">
        <v>4148548</v>
      </c>
      <c r="D192" s="213">
        <v>0.82630000000000003</v>
      </c>
      <c r="E192" s="103">
        <f t="shared" si="46"/>
        <v>3427945.2124000001</v>
      </c>
      <c r="F192" s="176"/>
      <c r="G192" s="213">
        <v>0.82630000000000003</v>
      </c>
      <c r="H192" s="103">
        <f t="shared" si="37"/>
        <v>3427945.2124000001</v>
      </c>
      <c r="I192" s="44">
        <f t="shared" si="38"/>
        <v>720602.78759999992</v>
      </c>
      <c r="J192" s="104">
        <f t="shared" si="44"/>
        <v>0</v>
      </c>
      <c r="K192" s="213">
        <v>0.66920000000000002</v>
      </c>
      <c r="L192" s="104">
        <f t="shared" si="45"/>
        <v>2776208.3215999999</v>
      </c>
      <c r="M192" s="214">
        <f>IF(VLOOKUP($B$2:$B$209,Netvolumenmål!$B$3:$AN$210,38,FALSE)&lt;Netvolumenmål!$AD$215,VLOOKUP($B$2:$B$209,Netvolumenmål!$B$3:$AN$210,38,FALSE)-Netvolumenmål!$AD$215,0)</f>
        <v>0</v>
      </c>
      <c r="N192" s="215">
        <f>VLOOKUP($B$2:$B$209,Netvolumenmål!$B$3:$AN$210,39,FALSE)*0.75</f>
        <v>0</v>
      </c>
      <c r="O192" s="216">
        <f t="shared" si="39"/>
        <v>0.66920000000000002</v>
      </c>
      <c r="P192" s="12">
        <f t="shared" si="40"/>
        <v>2776208.3215999999</v>
      </c>
      <c r="Q192" s="70">
        <f t="shared" si="41"/>
        <v>0.1673</v>
      </c>
      <c r="R192" s="73">
        <f t="shared" si="42"/>
        <v>0.05</v>
      </c>
      <c r="S192" s="103">
        <f t="shared" si="43"/>
        <v>207427.40000000002</v>
      </c>
    </row>
    <row r="193" spans="1:19" x14ac:dyDescent="0.25">
      <c r="A193" s="17" t="s">
        <v>448</v>
      </c>
      <c r="B193" s="137" t="s">
        <v>449</v>
      </c>
      <c r="C193" s="84">
        <v>2209180</v>
      </c>
      <c r="D193" s="213">
        <v>0.48399999999999999</v>
      </c>
      <c r="E193" s="103">
        <f t="shared" si="46"/>
        <v>1069243.1199999999</v>
      </c>
      <c r="F193" s="176"/>
      <c r="G193" s="213">
        <v>0.48399999999999999</v>
      </c>
      <c r="H193" s="103">
        <f t="shared" si="37"/>
        <v>1069243.1199999999</v>
      </c>
      <c r="I193" s="44">
        <f t="shared" si="38"/>
        <v>1139936.8800000001</v>
      </c>
      <c r="J193" s="104">
        <f t="shared" si="44"/>
        <v>0</v>
      </c>
      <c r="K193" s="213">
        <v>0.33</v>
      </c>
      <c r="L193" s="104">
        <f t="shared" si="45"/>
        <v>729029.4</v>
      </c>
      <c r="M193" s="214">
        <f>IF(VLOOKUP($B$2:$B$209,Netvolumenmål!$B$3:$AN$210,38,FALSE)&lt;Netvolumenmål!$AD$215,VLOOKUP($B$2:$B$209,Netvolumenmål!$B$3:$AN$210,38,FALSE)-Netvolumenmål!$AD$215,0)</f>
        <v>0</v>
      </c>
      <c r="N193" s="215">
        <f>VLOOKUP($B$2:$B$209,Netvolumenmål!$B$3:$AN$210,39,FALSE)*0.75</f>
        <v>0</v>
      </c>
      <c r="O193" s="216">
        <f t="shared" si="39"/>
        <v>0.33</v>
      </c>
      <c r="P193" s="12">
        <f t="shared" si="40"/>
        <v>729029.4</v>
      </c>
      <c r="Q193" s="70">
        <f t="shared" si="41"/>
        <v>8.2500000000000004E-2</v>
      </c>
      <c r="R193" s="73">
        <f t="shared" si="42"/>
        <v>0.05</v>
      </c>
      <c r="S193" s="103">
        <f t="shared" si="43"/>
        <v>110459</v>
      </c>
    </row>
    <row r="194" spans="1:19" x14ac:dyDescent="0.25">
      <c r="A194" s="17" t="s">
        <v>450</v>
      </c>
      <c r="B194" s="137" t="s">
        <v>451</v>
      </c>
      <c r="C194" s="84">
        <v>7745334</v>
      </c>
      <c r="D194" s="213">
        <v>0.25640000000000002</v>
      </c>
      <c r="E194" s="103">
        <f t="shared" si="46"/>
        <v>1985903.6376</v>
      </c>
      <c r="F194" s="176"/>
      <c r="G194" s="213">
        <v>0.25640000000000002</v>
      </c>
      <c r="H194" s="103">
        <f t="shared" si="37"/>
        <v>1985903.6376</v>
      </c>
      <c r="I194" s="44">
        <f t="shared" si="38"/>
        <v>5759430.3624</v>
      </c>
      <c r="J194" s="104">
        <f t="shared" si="44"/>
        <v>0</v>
      </c>
      <c r="K194" s="213">
        <v>9.3700000000000006E-2</v>
      </c>
      <c r="L194" s="104">
        <f t="shared" si="45"/>
        <v>725737.79580000008</v>
      </c>
      <c r="M194" s="214">
        <f>IF(VLOOKUP($B$2:$B$209,Netvolumenmål!$B$3:$AN$210,38,FALSE)&lt;Netvolumenmål!$AD$215,VLOOKUP($B$2:$B$209,Netvolumenmål!$B$3:$AN$210,38,FALSE)-Netvolumenmål!$AD$215,0)</f>
        <v>0</v>
      </c>
      <c r="N194" s="215">
        <f>VLOOKUP($B$2:$B$209,Netvolumenmål!$B$3:$AN$210,39,FALSE)*0.75</f>
        <v>0</v>
      </c>
      <c r="O194" s="216">
        <f t="shared" si="39"/>
        <v>9.3700000000000006E-2</v>
      </c>
      <c r="P194" s="12">
        <f t="shared" si="40"/>
        <v>725737.79580000008</v>
      </c>
      <c r="Q194" s="70">
        <f t="shared" si="41"/>
        <v>2.3425000000000001E-2</v>
      </c>
      <c r="R194" s="73">
        <f t="shared" si="42"/>
        <v>2.3425000000000001E-2</v>
      </c>
      <c r="S194" s="103">
        <f t="shared" si="43"/>
        <v>181434.44895000002</v>
      </c>
    </row>
    <row r="195" spans="1:19" x14ac:dyDescent="0.25">
      <c r="A195" s="17" t="s">
        <v>452</v>
      </c>
      <c r="B195" s="137" t="s">
        <v>453</v>
      </c>
      <c r="C195" s="84">
        <v>3678900</v>
      </c>
      <c r="D195" s="213">
        <v>0.32990000000000003</v>
      </c>
      <c r="E195" s="103">
        <f t="shared" si="46"/>
        <v>1213669.1100000001</v>
      </c>
      <c r="F195" s="176"/>
      <c r="G195" s="213">
        <v>0.32990000000000003</v>
      </c>
      <c r="H195" s="103">
        <f t="shared" si="37"/>
        <v>1213669.1100000001</v>
      </c>
      <c r="I195" s="44">
        <f t="shared" si="38"/>
        <v>2465230.8899999997</v>
      </c>
      <c r="J195" s="104">
        <f t="shared" si="44"/>
        <v>0</v>
      </c>
      <c r="K195" s="213">
        <v>0.1699</v>
      </c>
      <c r="L195" s="104">
        <f t="shared" si="45"/>
        <v>625045.11</v>
      </c>
      <c r="M195" s="214">
        <f>IF(VLOOKUP($B$2:$B$209,Netvolumenmål!$B$3:$AN$210,38,FALSE)&lt;Netvolumenmål!$AD$215,VLOOKUP($B$2:$B$209,Netvolumenmål!$B$3:$AN$210,38,FALSE)-Netvolumenmål!$AD$215,0)</f>
        <v>0</v>
      </c>
      <c r="N195" s="215">
        <f>VLOOKUP($B$2:$B$209,Netvolumenmål!$B$3:$AN$210,39,FALSE)*0.75</f>
        <v>0</v>
      </c>
      <c r="O195" s="216">
        <f t="shared" si="39"/>
        <v>0.1699</v>
      </c>
      <c r="P195" s="12">
        <f t="shared" si="40"/>
        <v>625045.11</v>
      </c>
      <c r="Q195" s="70">
        <f t="shared" si="41"/>
        <v>4.2474999999999999E-2</v>
      </c>
      <c r="R195" s="73">
        <f t="shared" si="42"/>
        <v>4.2474999999999999E-2</v>
      </c>
      <c r="S195" s="103">
        <f t="shared" si="43"/>
        <v>156261.2775</v>
      </c>
    </row>
    <row r="196" spans="1:19" x14ac:dyDescent="0.25">
      <c r="A196" s="17" t="s">
        <v>454</v>
      </c>
      <c r="B196" s="137" t="s">
        <v>455</v>
      </c>
      <c r="C196" s="84">
        <v>11663424</v>
      </c>
      <c r="D196" s="213">
        <v>9.7900000000000001E-2</v>
      </c>
      <c r="E196" s="103">
        <f t="shared" si="46"/>
        <v>1141849.2095999999</v>
      </c>
      <c r="F196" s="176"/>
      <c r="G196" s="213">
        <v>9.7900000000000001E-2</v>
      </c>
      <c r="H196" s="103">
        <f t="shared" si="37"/>
        <v>1141849.2095999999</v>
      </c>
      <c r="I196" s="44">
        <f t="shared" si="38"/>
        <v>10521574.7904</v>
      </c>
      <c r="J196" s="104">
        <f t="shared" si="44"/>
        <v>0</v>
      </c>
      <c r="K196" s="213">
        <v>0</v>
      </c>
      <c r="L196" s="104">
        <f t="shared" si="45"/>
        <v>0</v>
      </c>
      <c r="M196" s="214">
        <f>IF(VLOOKUP($B$2:$B$209,Netvolumenmål!$B$3:$AN$210,38,FALSE)&lt;Netvolumenmål!$AD$215,VLOOKUP($B$2:$B$209,Netvolumenmål!$B$3:$AN$210,38,FALSE)-Netvolumenmål!$AD$215,0)</f>
        <v>0</v>
      </c>
      <c r="N196" s="215">
        <f>VLOOKUP($B$2:$B$209,Netvolumenmål!$B$3:$AN$210,39,FALSE)*0.75</f>
        <v>0</v>
      </c>
      <c r="O196" s="216">
        <f t="shared" si="39"/>
        <v>0</v>
      </c>
      <c r="P196" s="12">
        <f t="shared" si="40"/>
        <v>0</v>
      </c>
      <c r="Q196" s="70">
        <f t="shared" si="41"/>
        <v>0</v>
      </c>
      <c r="R196" s="73">
        <f t="shared" si="42"/>
        <v>0</v>
      </c>
      <c r="S196" s="103">
        <f t="shared" si="43"/>
        <v>0</v>
      </c>
    </row>
    <row r="197" spans="1:19" x14ac:dyDescent="0.25">
      <c r="A197" s="17" t="s">
        <v>456</v>
      </c>
      <c r="B197" s="137" t="s">
        <v>457</v>
      </c>
      <c r="C197" s="84">
        <v>15030772</v>
      </c>
      <c r="D197" s="213">
        <v>5.5999999999999999E-3</v>
      </c>
      <c r="E197" s="103">
        <f t="shared" si="46"/>
        <v>84172.323199999999</v>
      </c>
      <c r="F197" s="84">
        <v>13523</v>
      </c>
      <c r="G197" s="213">
        <v>5.1000000000000004E-3</v>
      </c>
      <c r="H197" s="103">
        <f t="shared" si="37"/>
        <v>76656.9372</v>
      </c>
      <c r="I197" s="44">
        <f t="shared" si="38"/>
        <v>14954115.062799999</v>
      </c>
      <c r="J197" s="104">
        <f t="shared" si="44"/>
        <v>0</v>
      </c>
      <c r="K197" s="213">
        <v>0</v>
      </c>
      <c r="L197" s="104">
        <f t="shared" si="45"/>
        <v>0</v>
      </c>
      <c r="M197" s="214">
        <f>IF(VLOOKUP($B$2:$B$209,Netvolumenmål!$B$3:$AN$210,38,FALSE)&lt;Netvolumenmål!$AD$215,VLOOKUP($B$2:$B$209,Netvolumenmål!$B$3:$AN$210,38,FALSE)-Netvolumenmål!$AD$215,0)</f>
        <v>0</v>
      </c>
      <c r="N197" s="215">
        <f>VLOOKUP($B$2:$B$209,Netvolumenmål!$B$3:$AN$210,39,FALSE)*0.75</f>
        <v>0</v>
      </c>
      <c r="O197" s="216">
        <f t="shared" si="39"/>
        <v>0</v>
      </c>
      <c r="P197" s="12">
        <f t="shared" si="40"/>
        <v>0</v>
      </c>
      <c r="Q197" s="70">
        <f t="shared" si="41"/>
        <v>0</v>
      </c>
      <c r="R197" s="73">
        <f t="shared" si="42"/>
        <v>0</v>
      </c>
      <c r="S197" s="103">
        <f t="shared" si="43"/>
        <v>0</v>
      </c>
    </row>
    <row r="198" spans="1:19" x14ac:dyDescent="0.25">
      <c r="A198" s="17" t="s">
        <v>65</v>
      </c>
      <c r="B198" s="137" t="s">
        <v>458</v>
      </c>
      <c r="C198" s="84">
        <v>593968</v>
      </c>
      <c r="D198" s="213">
        <v>0.3019</v>
      </c>
      <c r="E198" s="103">
        <f t="shared" si="46"/>
        <v>179318.93919999999</v>
      </c>
      <c r="F198" s="176"/>
      <c r="G198" s="213">
        <v>0.3019</v>
      </c>
      <c r="H198" s="103">
        <f t="shared" si="37"/>
        <v>179318.93919999999</v>
      </c>
      <c r="I198" s="44">
        <f t="shared" si="38"/>
        <v>414649.06079999998</v>
      </c>
      <c r="J198" s="104">
        <f t="shared" si="44"/>
        <v>0</v>
      </c>
      <c r="K198" s="213">
        <v>0.14069999999999999</v>
      </c>
      <c r="L198" s="104">
        <f t="shared" si="45"/>
        <v>83571.297599999991</v>
      </c>
      <c r="M198" s="214">
        <f>IF(VLOOKUP($B$2:$B$209,Netvolumenmål!$B$3:$AN$210,38,FALSE)&lt;Netvolumenmål!$AD$215,VLOOKUP($B$2:$B$209,Netvolumenmål!$B$3:$AN$210,38,FALSE)-Netvolumenmål!$AD$215,0)</f>
        <v>-5.0383391173835571E-2</v>
      </c>
      <c r="N198" s="215">
        <f>VLOOKUP($B$2:$B$209,Netvolumenmål!$B$3:$AN$210,39,FALSE)*0.75</f>
        <v>-2.1474660903068068E-2</v>
      </c>
      <c r="O198" s="216">
        <f t="shared" si="39"/>
        <v>0.11922533909693192</v>
      </c>
      <c r="P198" s="12">
        <f t="shared" si="40"/>
        <v>70816.036212726453</v>
      </c>
      <c r="Q198" s="70">
        <f t="shared" si="41"/>
        <v>2.980633477423298E-2</v>
      </c>
      <c r="R198" s="73">
        <f t="shared" si="42"/>
        <v>2.980633477423298E-2</v>
      </c>
      <c r="S198" s="103">
        <f t="shared" si="43"/>
        <v>17704.009053181613</v>
      </c>
    </row>
    <row r="199" spans="1:19" x14ac:dyDescent="0.25">
      <c r="A199" s="17" t="s">
        <v>491</v>
      </c>
      <c r="B199" s="137" t="s">
        <v>459</v>
      </c>
      <c r="C199" s="84">
        <v>2278566</v>
      </c>
      <c r="D199" s="213">
        <v>0.25330000000000003</v>
      </c>
      <c r="E199" s="103">
        <f t="shared" si="46"/>
        <v>577160.76780000003</v>
      </c>
      <c r="F199" s="84">
        <v>141996</v>
      </c>
      <c r="G199" s="213">
        <v>0.2142</v>
      </c>
      <c r="H199" s="103">
        <f t="shared" si="37"/>
        <v>488068.83720000001</v>
      </c>
      <c r="I199" s="44">
        <f t="shared" si="38"/>
        <v>1790497.1628</v>
      </c>
      <c r="J199" s="104">
        <f t="shared" si="44"/>
        <v>0</v>
      </c>
      <c r="K199" s="213">
        <v>5.3199999999999997E-2</v>
      </c>
      <c r="L199" s="104">
        <f t="shared" si="45"/>
        <v>121219.71119999999</v>
      </c>
      <c r="M199" s="214">
        <f>IF(VLOOKUP($B$2:$B$209,Netvolumenmål!$B$3:$AN$210,38,FALSE)&lt;Netvolumenmål!$AD$215,VLOOKUP($B$2:$B$209,Netvolumenmål!$B$3:$AN$210,38,FALSE)-Netvolumenmål!$AD$215,0)</f>
        <v>0</v>
      </c>
      <c r="N199" s="215">
        <f>VLOOKUP($B$2:$B$209,Netvolumenmål!$B$3:$AN$210,39,FALSE)*0.75</f>
        <v>0</v>
      </c>
      <c r="O199" s="216">
        <f t="shared" si="39"/>
        <v>5.3199999999999997E-2</v>
      </c>
      <c r="P199" s="12">
        <f t="shared" si="40"/>
        <v>121219.71119999999</v>
      </c>
      <c r="Q199" s="70">
        <f t="shared" si="41"/>
        <v>1.3299999999999999E-2</v>
      </c>
      <c r="R199" s="73">
        <f t="shared" si="42"/>
        <v>1.3299999999999999E-2</v>
      </c>
      <c r="S199" s="103">
        <f t="shared" si="43"/>
        <v>30304.927799999998</v>
      </c>
    </row>
    <row r="200" spans="1:19" x14ac:dyDescent="0.25">
      <c r="A200" s="17" t="s">
        <v>66</v>
      </c>
      <c r="B200" s="137" t="s">
        <v>460</v>
      </c>
      <c r="C200" s="84">
        <v>2189061</v>
      </c>
      <c r="D200" s="213">
        <v>0.21490000000000001</v>
      </c>
      <c r="E200" s="103">
        <f t="shared" si="46"/>
        <v>470429.20890000003</v>
      </c>
      <c r="F200" s="176"/>
      <c r="G200" s="213">
        <v>0.21490000000000001</v>
      </c>
      <c r="H200" s="103">
        <f t="shared" si="37"/>
        <v>470429.20890000003</v>
      </c>
      <c r="I200" s="44">
        <f t="shared" si="38"/>
        <v>1718631.7911</v>
      </c>
      <c r="J200" s="104">
        <f t="shared" si="44"/>
        <v>0</v>
      </c>
      <c r="K200" s="213">
        <v>5.7799999999999997E-2</v>
      </c>
      <c r="L200" s="104">
        <f t="shared" si="45"/>
        <v>126527.7258</v>
      </c>
      <c r="M200" s="214">
        <f>IF(VLOOKUP($B$2:$B$209,Netvolumenmål!$B$3:$AN$210,38,FALSE)&lt;Netvolumenmål!$AD$215,VLOOKUP($B$2:$B$209,Netvolumenmål!$B$3:$AN$210,38,FALSE)-Netvolumenmål!$AD$215,0)</f>
        <v>0</v>
      </c>
      <c r="N200" s="215">
        <f>VLOOKUP($B$2:$B$209,Netvolumenmål!$B$3:$AN$210,39,FALSE)*0.75</f>
        <v>0</v>
      </c>
      <c r="O200" s="216">
        <f t="shared" si="39"/>
        <v>5.7799999999999997E-2</v>
      </c>
      <c r="P200" s="12">
        <f t="shared" si="40"/>
        <v>126527.7258</v>
      </c>
      <c r="Q200" s="70">
        <f t="shared" si="41"/>
        <v>1.4449999999999999E-2</v>
      </c>
      <c r="R200" s="73">
        <f t="shared" si="42"/>
        <v>1.4449999999999999E-2</v>
      </c>
      <c r="S200" s="103">
        <f t="shared" si="43"/>
        <v>31631.93145</v>
      </c>
    </row>
    <row r="201" spans="1:19" x14ac:dyDescent="0.25">
      <c r="A201" s="17" t="s">
        <v>67</v>
      </c>
      <c r="B201" s="137" t="s">
        <v>461</v>
      </c>
      <c r="C201" s="84">
        <v>8483731</v>
      </c>
      <c r="D201" s="213">
        <v>0.41399999999999998</v>
      </c>
      <c r="E201" s="103">
        <f t="shared" si="46"/>
        <v>3512264.6339999996</v>
      </c>
      <c r="F201" s="176"/>
      <c r="G201" s="213">
        <v>0.41399999999999998</v>
      </c>
      <c r="H201" s="103">
        <f t="shared" si="37"/>
        <v>3512264.6339999996</v>
      </c>
      <c r="I201" s="44">
        <f t="shared" si="38"/>
        <v>4971466.3660000004</v>
      </c>
      <c r="J201" s="104">
        <f t="shared" si="44"/>
        <v>0</v>
      </c>
      <c r="K201" s="213">
        <v>0.2586</v>
      </c>
      <c r="L201" s="104">
        <f t="shared" si="45"/>
        <v>2193892.8366</v>
      </c>
      <c r="M201" s="214">
        <f>IF(VLOOKUP($B$2:$B$209,Netvolumenmål!$B$3:$AN$210,38,FALSE)&lt;Netvolumenmål!$AD$215,VLOOKUP($B$2:$B$209,Netvolumenmål!$B$3:$AN$210,38,FALSE)-Netvolumenmål!$AD$215,0)</f>
        <v>0</v>
      </c>
      <c r="N201" s="215">
        <f>VLOOKUP($B$2:$B$209,Netvolumenmål!$B$3:$AN$210,39,FALSE)*0.75</f>
        <v>0</v>
      </c>
      <c r="O201" s="216">
        <f t="shared" si="39"/>
        <v>0.2586</v>
      </c>
      <c r="P201" s="12">
        <f t="shared" si="40"/>
        <v>2193892.8366</v>
      </c>
      <c r="Q201" s="70">
        <f t="shared" si="41"/>
        <v>6.4649999999999999E-2</v>
      </c>
      <c r="R201" s="73">
        <f t="shared" si="42"/>
        <v>0.05</v>
      </c>
      <c r="S201" s="103">
        <f t="shared" si="43"/>
        <v>424186.55000000005</v>
      </c>
    </row>
    <row r="202" spans="1:19" x14ac:dyDescent="0.25">
      <c r="A202" s="17" t="s">
        <v>79</v>
      </c>
      <c r="B202" s="137" t="s">
        <v>464</v>
      </c>
      <c r="C202" s="84">
        <v>2461758</v>
      </c>
      <c r="D202" s="213">
        <v>0.56820000000000004</v>
      </c>
      <c r="E202" s="103">
        <f t="shared" si="46"/>
        <v>1398770.8956000002</v>
      </c>
      <c r="F202" s="176"/>
      <c r="G202" s="213">
        <v>0.56820000000000004</v>
      </c>
      <c r="H202" s="103">
        <f t="shared" si="37"/>
        <v>1398770.8956000002</v>
      </c>
      <c r="I202" s="44">
        <f t="shared" si="38"/>
        <v>1062987.1043999998</v>
      </c>
      <c r="J202" s="104">
        <f t="shared" si="44"/>
        <v>0</v>
      </c>
      <c r="K202" s="213">
        <v>0.41420000000000001</v>
      </c>
      <c r="L202" s="104">
        <f t="shared" si="45"/>
        <v>1019660.1636000001</v>
      </c>
      <c r="M202" s="214">
        <f>IF(VLOOKUP($B$2:$B$209,Netvolumenmål!$B$3:$AN$210,38,FALSE)&lt;Netvolumenmål!$AD$215,VLOOKUP($B$2:$B$209,Netvolumenmål!$B$3:$AN$210,38,FALSE)-Netvolumenmål!$AD$215,0)</f>
        <v>-3.3450659035911004E-2</v>
      </c>
      <c r="N202" s="215">
        <f>VLOOKUP($B$2:$B$209,Netvolumenmål!$B$3:$AN$210,39,FALSE)*0.75</f>
        <v>-1.4257507147581169E-2</v>
      </c>
      <c r="O202" s="216">
        <f t="shared" si="39"/>
        <v>0.39994249285241884</v>
      </c>
      <c r="P202" s="12">
        <f t="shared" si="40"/>
        <v>984561.63131938491</v>
      </c>
      <c r="Q202" s="70">
        <f t="shared" si="41"/>
        <v>9.998562321310471E-2</v>
      </c>
      <c r="R202" s="73">
        <f t="shared" si="42"/>
        <v>0.05</v>
      </c>
      <c r="S202" s="103">
        <f t="shared" si="43"/>
        <v>123087.90000000001</v>
      </c>
    </row>
    <row r="203" spans="1:19" x14ac:dyDescent="0.25">
      <c r="A203" s="17" t="s">
        <v>465</v>
      </c>
      <c r="B203" s="137" t="s">
        <v>466</v>
      </c>
      <c r="C203" s="84">
        <v>1688917</v>
      </c>
      <c r="D203" s="213">
        <v>0.19570000000000001</v>
      </c>
      <c r="E203" s="103">
        <f t="shared" si="46"/>
        <v>330521.05690000003</v>
      </c>
      <c r="F203" s="176"/>
      <c r="G203" s="213">
        <v>0.19570000000000001</v>
      </c>
      <c r="H203" s="103">
        <f t="shared" si="37"/>
        <v>330521.05690000003</v>
      </c>
      <c r="I203" s="44">
        <f t="shared" si="38"/>
        <v>1358395.9431</v>
      </c>
      <c r="J203" s="104">
        <f t="shared" si="44"/>
        <v>0</v>
      </c>
      <c r="K203" s="213">
        <v>3.8600000000000002E-2</v>
      </c>
      <c r="L203" s="104">
        <f t="shared" si="45"/>
        <v>65192.196200000006</v>
      </c>
      <c r="M203" s="214">
        <f>IF(VLOOKUP($B$2:$B$209,Netvolumenmål!$B$3:$AN$210,38,FALSE)&lt;Netvolumenmål!$AD$215,VLOOKUP($B$2:$B$209,Netvolumenmål!$B$3:$AN$210,38,FALSE)-Netvolumenmål!$AD$215,0)</f>
        <v>0</v>
      </c>
      <c r="N203" s="215">
        <f>VLOOKUP($B$2:$B$209,Netvolumenmål!$B$3:$AN$210,39,FALSE)*0.75</f>
        <v>0</v>
      </c>
      <c r="O203" s="216">
        <f t="shared" si="39"/>
        <v>3.8600000000000002E-2</v>
      </c>
      <c r="P203" s="12">
        <f t="shared" si="40"/>
        <v>65192.196200000006</v>
      </c>
      <c r="Q203" s="70">
        <f t="shared" si="41"/>
        <v>9.6500000000000006E-3</v>
      </c>
      <c r="R203" s="73">
        <f t="shared" si="42"/>
        <v>0</v>
      </c>
      <c r="S203" s="103">
        <f t="shared" si="43"/>
        <v>0</v>
      </c>
    </row>
    <row r="204" spans="1:19" x14ac:dyDescent="0.25">
      <c r="A204" s="17" t="s">
        <v>467</v>
      </c>
      <c r="B204" s="137" t="s">
        <v>468</v>
      </c>
      <c r="C204" s="84">
        <v>269572</v>
      </c>
      <c r="D204" s="213">
        <v>0.24049999999999999</v>
      </c>
      <c r="E204" s="103">
        <f t="shared" si="46"/>
        <v>64832.065999999999</v>
      </c>
      <c r="F204" s="176"/>
      <c r="G204" s="213">
        <v>0.24049999999999999</v>
      </c>
      <c r="H204" s="103">
        <f t="shared" si="37"/>
        <v>64832.065999999999</v>
      </c>
      <c r="I204" s="44">
        <f t="shared" si="38"/>
        <v>204739.93400000001</v>
      </c>
      <c r="J204" s="104">
        <f t="shared" si="44"/>
        <v>0</v>
      </c>
      <c r="K204" s="213">
        <v>7.7899999999999997E-2</v>
      </c>
      <c r="L204" s="104">
        <f t="shared" si="45"/>
        <v>20999.658799999997</v>
      </c>
      <c r="M204" s="214">
        <f>IF(VLOOKUP($B$2:$B$209,Netvolumenmål!$B$3:$AN$210,38,FALSE)&lt;Netvolumenmål!$AD$215,VLOOKUP($B$2:$B$209,Netvolumenmål!$B$3:$AN$210,38,FALSE)-Netvolumenmål!$AD$215,0)</f>
        <v>0</v>
      </c>
      <c r="N204" s="215">
        <f>VLOOKUP($B$2:$B$209,Netvolumenmål!$B$3:$AN$210,39,FALSE)*0.75</f>
        <v>0</v>
      </c>
      <c r="O204" s="216">
        <f t="shared" si="39"/>
        <v>7.7899999999999997E-2</v>
      </c>
      <c r="P204" s="12">
        <f t="shared" si="40"/>
        <v>20999.658799999997</v>
      </c>
      <c r="Q204" s="70">
        <f t="shared" si="41"/>
        <v>1.9474999999999999E-2</v>
      </c>
      <c r="R204" s="73">
        <f t="shared" si="42"/>
        <v>1.9474999999999999E-2</v>
      </c>
      <c r="S204" s="103">
        <f t="shared" si="43"/>
        <v>5249.9146999999994</v>
      </c>
    </row>
    <row r="205" spans="1:19" x14ac:dyDescent="0.25">
      <c r="A205" s="17" t="s">
        <v>469</v>
      </c>
      <c r="B205" s="137" t="s">
        <v>470</v>
      </c>
      <c r="C205" s="84">
        <v>2122882</v>
      </c>
      <c r="D205" s="213">
        <v>0.24279999999999999</v>
      </c>
      <c r="E205" s="103">
        <f t="shared" si="46"/>
        <v>515435.74959999998</v>
      </c>
      <c r="F205" s="176"/>
      <c r="G205" s="213">
        <v>0.24279999999999999</v>
      </c>
      <c r="H205" s="103">
        <f t="shared" ref="H205:H209" si="47">G205*C205</f>
        <v>515435.74959999998</v>
      </c>
      <c r="I205" s="44">
        <f t="shared" ref="I205:I209" si="48">IF(G205&gt;0,C205-H205,"Over fronten")</f>
        <v>1607446.2504</v>
      </c>
      <c r="J205" s="104">
        <f t="shared" si="44"/>
        <v>0</v>
      </c>
      <c r="K205" s="213">
        <v>8.1600000000000006E-2</v>
      </c>
      <c r="L205" s="104">
        <f t="shared" si="45"/>
        <v>173227.17120000001</v>
      </c>
      <c r="M205" s="214">
        <f>IF(VLOOKUP($B$2:$B$209,Netvolumenmål!$B$3:$AN$210,38,FALSE)&lt;Netvolumenmål!$AD$215,VLOOKUP($B$2:$B$209,Netvolumenmål!$B$3:$AN$210,38,FALSE)-Netvolumenmål!$AD$215,0)</f>
        <v>0</v>
      </c>
      <c r="N205" s="215">
        <f>VLOOKUP($B$2:$B$209,Netvolumenmål!$B$3:$AN$210,39,FALSE)*0.75</f>
        <v>0</v>
      </c>
      <c r="O205" s="216">
        <f t="shared" ref="O205:O209" si="49">IF(K205=0,0,IF(K205&lt;-N205,0,K205+N205))</f>
        <v>8.1600000000000006E-2</v>
      </c>
      <c r="P205" s="12">
        <f t="shared" ref="P205:P209" si="50">O205*C205</f>
        <v>173227.17120000001</v>
      </c>
      <c r="Q205" s="70">
        <f t="shared" ref="Q205:Q209" si="51">O205/4</f>
        <v>2.0400000000000001E-2</v>
      </c>
      <c r="R205" s="73">
        <f t="shared" ref="R205:R209" si="52">IF(Q205&gt;0.01,IF(Q205&gt;0.05,0.05,Q205),0)</f>
        <v>2.0400000000000001E-2</v>
      </c>
      <c r="S205" s="103">
        <f t="shared" ref="S205:S209" si="53">R205*C205</f>
        <v>43306.792800000003</v>
      </c>
    </row>
    <row r="206" spans="1:19" x14ac:dyDescent="0.25">
      <c r="A206" s="17" t="s">
        <v>71</v>
      </c>
      <c r="B206" s="137" t="s">
        <v>471</v>
      </c>
      <c r="C206" s="84">
        <v>33633224</v>
      </c>
      <c r="D206" s="213">
        <v>0.28000000000000003</v>
      </c>
      <c r="E206" s="103">
        <f t="shared" si="46"/>
        <v>9417302.7200000007</v>
      </c>
      <c r="F206" s="176"/>
      <c r="G206" s="213">
        <v>0.28000000000000003</v>
      </c>
      <c r="H206" s="103">
        <f t="shared" si="47"/>
        <v>9417302.7200000007</v>
      </c>
      <c r="I206" s="44">
        <f t="shared" si="48"/>
        <v>24215921.280000001</v>
      </c>
      <c r="J206" s="104">
        <f t="shared" si="44"/>
        <v>0</v>
      </c>
      <c r="K206" s="213">
        <v>0.1237</v>
      </c>
      <c r="L206" s="104">
        <f t="shared" si="45"/>
        <v>4160429.8088000002</v>
      </c>
      <c r="M206" s="214">
        <f>IF(VLOOKUP($B$2:$B$209,Netvolumenmål!$B$3:$AN$210,38,FALSE)&lt;Netvolumenmål!$AD$215,VLOOKUP($B$2:$B$209,Netvolumenmål!$B$3:$AN$210,38,FALSE)-Netvolumenmål!$AD$215,0)</f>
        <v>0</v>
      </c>
      <c r="N206" s="215">
        <f>VLOOKUP($B$2:$B$209,Netvolumenmål!$B$3:$AN$210,39,FALSE)*0.75</f>
        <v>0</v>
      </c>
      <c r="O206" s="216">
        <f t="shared" si="49"/>
        <v>0.1237</v>
      </c>
      <c r="P206" s="12">
        <f t="shared" si="50"/>
        <v>4160429.8088000002</v>
      </c>
      <c r="Q206" s="70">
        <f t="shared" si="51"/>
        <v>3.0925000000000001E-2</v>
      </c>
      <c r="R206" s="73">
        <f t="shared" si="52"/>
        <v>3.0925000000000001E-2</v>
      </c>
      <c r="S206" s="103">
        <f t="shared" si="53"/>
        <v>1040107.4522000001</v>
      </c>
    </row>
    <row r="207" spans="1:19" x14ac:dyDescent="0.25">
      <c r="A207" s="17" t="s">
        <v>72</v>
      </c>
      <c r="B207" s="137" t="s">
        <v>472</v>
      </c>
      <c r="C207" s="84">
        <v>1517778</v>
      </c>
      <c r="D207" s="213">
        <v>0.46810000000000002</v>
      </c>
      <c r="E207" s="103">
        <f t="shared" si="46"/>
        <v>710471.88179999997</v>
      </c>
      <c r="F207" s="176"/>
      <c r="G207" s="213">
        <v>0.46810000000000002</v>
      </c>
      <c r="H207" s="103">
        <f t="shared" si="47"/>
        <v>710471.88179999997</v>
      </c>
      <c r="I207" s="44">
        <f t="shared" si="48"/>
        <v>807306.11820000003</v>
      </c>
      <c r="J207" s="104">
        <f t="shared" si="44"/>
        <v>0</v>
      </c>
      <c r="K207" s="213">
        <v>0.31409999999999999</v>
      </c>
      <c r="L207" s="104">
        <f t="shared" si="45"/>
        <v>476734.0698</v>
      </c>
      <c r="M207" s="214">
        <f>IF(VLOOKUP($B$2:$B$209,Netvolumenmål!$B$3:$AN$210,38,FALSE)&lt;Netvolumenmål!$AD$215,VLOOKUP($B$2:$B$209,Netvolumenmål!$B$3:$AN$210,38,FALSE)-Netvolumenmål!$AD$215,0)</f>
        <v>0</v>
      </c>
      <c r="N207" s="215">
        <f>VLOOKUP($B$2:$B$209,Netvolumenmål!$B$3:$AN$210,39,FALSE)*0.75</f>
        <v>0</v>
      </c>
      <c r="O207" s="216">
        <f t="shared" si="49"/>
        <v>0.31409999999999999</v>
      </c>
      <c r="P207" s="12">
        <f t="shared" si="50"/>
        <v>476734.0698</v>
      </c>
      <c r="Q207" s="70">
        <f t="shared" si="51"/>
        <v>7.8524999999999998E-2</v>
      </c>
      <c r="R207" s="73">
        <f t="shared" si="52"/>
        <v>0.05</v>
      </c>
      <c r="S207" s="103">
        <f t="shared" si="53"/>
        <v>75888.900000000009</v>
      </c>
    </row>
    <row r="208" spans="1:19" x14ac:dyDescent="0.25">
      <c r="A208" s="17" t="s">
        <v>73</v>
      </c>
      <c r="B208" s="137" t="s">
        <v>473</v>
      </c>
      <c r="C208" s="84">
        <v>93162680</v>
      </c>
      <c r="D208" s="213">
        <v>0.27729999999999999</v>
      </c>
      <c r="E208" s="103">
        <f t="shared" si="46"/>
        <v>25834011.164000001</v>
      </c>
      <c r="F208" s="176">
        <v>0</v>
      </c>
      <c r="G208" s="213">
        <v>0.27729999999999999</v>
      </c>
      <c r="H208" s="103">
        <f t="shared" si="47"/>
        <v>25834011.164000001</v>
      </c>
      <c r="I208" s="44">
        <f t="shared" si="48"/>
        <v>67328668.835999995</v>
      </c>
      <c r="J208" s="104">
        <f t="shared" si="44"/>
        <v>0</v>
      </c>
      <c r="K208" s="213">
        <v>0.1232</v>
      </c>
      <c r="L208" s="104">
        <f t="shared" si="45"/>
        <v>11477642.176000001</v>
      </c>
      <c r="M208" s="214">
        <f>IF(VLOOKUP($B$2:$B$209,Netvolumenmål!$B$3:$AN$210,38,FALSE)&lt;Netvolumenmål!$AD$215,VLOOKUP($B$2:$B$209,Netvolumenmål!$B$3:$AN$210,38,FALSE)-Netvolumenmål!$AD$215,0)</f>
        <v>0</v>
      </c>
      <c r="N208" s="215">
        <f>VLOOKUP($B$2:$B$209,Netvolumenmål!$B$3:$AN$210,39,FALSE)*0.75</f>
        <v>0</v>
      </c>
      <c r="O208" s="216">
        <f t="shared" si="49"/>
        <v>0.1232</v>
      </c>
      <c r="P208" s="12">
        <f t="shared" si="50"/>
        <v>11477642.176000001</v>
      </c>
      <c r="Q208" s="70">
        <f t="shared" si="51"/>
        <v>3.0800000000000001E-2</v>
      </c>
      <c r="R208" s="73">
        <f t="shared" si="52"/>
        <v>3.0800000000000001E-2</v>
      </c>
      <c r="S208" s="103">
        <f t="shared" si="53"/>
        <v>2869410.5440000002</v>
      </c>
    </row>
    <row r="209" spans="1:19" ht="15.75" thickBot="1" x14ac:dyDescent="0.3">
      <c r="A209" s="111" t="s">
        <v>75</v>
      </c>
      <c r="B209" s="138" t="s">
        <v>474</v>
      </c>
      <c r="C209" s="38">
        <v>4762459</v>
      </c>
      <c r="D209" s="217">
        <v>0.55630000000000002</v>
      </c>
      <c r="E209" s="41">
        <f t="shared" si="46"/>
        <v>2649355.9416999999</v>
      </c>
      <c r="F209" s="177"/>
      <c r="G209" s="217">
        <v>0.55630000000000002</v>
      </c>
      <c r="H209" s="41">
        <f t="shared" si="47"/>
        <v>2649355.9416999999</v>
      </c>
      <c r="I209" s="22">
        <f t="shared" si="48"/>
        <v>2113103.0583000001</v>
      </c>
      <c r="J209" s="69">
        <f t="shared" si="44"/>
        <v>0</v>
      </c>
      <c r="K209" s="217">
        <v>0.40229999999999999</v>
      </c>
      <c r="L209" s="69">
        <f>K209*C209</f>
        <v>1915937.2556999999</v>
      </c>
      <c r="M209" s="218">
        <f>IF(VLOOKUP($B$2:$B$209,Netvolumenmål!$B$3:$AN$210,38,FALSE)&lt;Netvolumenmål!$AD$215,VLOOKUP($B$2:$B$209,Netvolumenmål!$B$3:$AN$210,38,FALSE)-Netvolumenmål!$AD$215,0)</f>
        <v>0</v>
      </c>
      <c r="N209" s="219">
        <f>VLOOKUP($B$2:$B$209,Netvolumenmål!$B$3:$AN$210,39,FALSE)*0.75</f>
        <v>0</v>
      </c>
      <c r="O209" s="220">
        <f t="shared" si="49"/>
        <v>0.40229999999999999</v>
      </c>
      <c r="P209" s="81">
        <f t="shared" si="50"/>
        <v>1915937.2556999999</v>
      </c>
      <c r="Q209" s="86">
        <f t="shared" si="51"/>
        <v>0.100575</v>
      </c>
      <c r="R209" s="43">
        <f t="shared" si="52"/>
        <v>0.05</v>
      </c>
      <c r="S209" s="41">
        <f t="shared" si="53"/>
        <v>238122.95</v>
      </c>
    </row>
    <row r="210" spans="1:19" x14ac:dyDescent="0.25">
      <c r="S210" s="178"/>
    </row>
  </sheetData>
  <sortState ref="A2:T228">
    <sortCondition ref="A2:A228"/>
  </sortState>
  <customSheetViews>
    <customSheetView guid="{FEEC711D-7441-45C2-BE37-0D81F72CC105}">
      <pane xSplit="1" ySplit="1" topLeftCell="B2" activePane="bottomRight" state="frozen"/>
      <selection pane="bottomRight" activeCell="F126" sqref="F126"/>
      <pageMargins left="0.7" right="0.7" top="0.75" bottom="0.75" header="0.3" footer="0.3"/>
      <pageSetup paperSize="9" orientation="portrait" r:id="rId1"/>
    </customSheetView>
    <customSheetView guid="{78FE0F1E-5FAE-4FF8-8A21-26E2BBE4E4B0}">
      <pane xSplit="1" ySplit="1" topLeftCell="I72" activePane="bottomRight" state="frozen"/>
      <selection pane="bottomRight" activeCell="S72" sqref="S72"/>
      <pageMargins left="0.7" right="0.7" top="0.75" bottom="0.75" header="0.3" footer="0.3"/>
      <pageSetup paperSize="9" orientation="portrait" r:id="rId2"/>
    </customSheetView>
    <customSheetView guid="{937D496E-72A5-40F1-952C-5E35A20ED697}">
      <pane ySplit="1" topLeftCell="A42" activePane="bottomLeft" state="frozen"/>
      <selection pane="bottomLeft" activeCell="S42" sqref="S42"/>
      <pageMargins left="0.7" right="0.7" top="0.75" bottom="0.75" header="0.3" footer="0.3"/>
      <pageSetup paperSize="9" orientation="portrait" r:id="rId3"/>
    </customSheetView>
    <customSheetView guid="{082EB568-E16F-479D-9194-FC30FECA5931}">
      <pane ySplit="1" topLeftCell="A34" activePane="bottomLeft" state="frozen"/>
      <selection pane="bottomLeft" activeCell="D44" sqref="D44"/>
      <pageMargins left="0.7" right="0.7" top="0.75" bottom="0.75" header="0.3" footer="0.3"/>
      <pageSetup paperSize="9" orientation="portrait" r:id="rId4"/>
    </customSheetView>
    <customSheetView guid="{2AFD09B4-3A91-4FAA-89A0-6904C5D29F07}">
      <pane xSplit="1" ySplit="1" topLeftCell="D44" activePane="bottomRight" state="frozen"/>
      <selection pane="bottomRight" activeCell="I50" sqref="I50"/>
      <pageMargins left="0.7" right="0.7" top="0.75" bottom="0.75" header="0.3" footer="0.3"/>
      <pageSetup paperSize="9" orientation="portrait" r:id="rId5"/>
    </customSheetView>
    <customSheetView guid="{91CAE626-C22B-43EE-8559-3D995B6A9B34}">
      <pane xSplit="1" ySplit="2" topLeftCell="B3" activePane="bottomRight" state="frozen"/>
      <selection pane="bottomRight" activeCell="F6" sqref="F6"/>
      <pageMargins left="0.7" right="0.7" top="0.75" bottom="0.75" header="0.3" footer="0.3"/>
      <pageSetup paperSize="9" orientation="portrait" r:id="rId6"/>
    </customSheetView>
    <customSheetView guid="{68BED3F3-B66D-4BDF-B289-CEB7B90BD70C}" scale="85">
      <pane xSplit="1" ySplit="2" topLeftCell="E213" activePane="bottomRight" state="frozen"/>
      <selection pane="bottomRight" activeCell="N216" sqref="N216"/>
      <pageMargins left="0.7" right="0.7" top="0.75" bottom="0.75" header="0.3" footer="0.3"/>
      <pageSetup paperSize="9" orientation="portrait" r:id="rId7"/>
    </customSheetView>
    <customSheetView guid="{66AAE60A-A1F0-42D3-9B00-B3E131221C26}">
      <pane xSplit="1" ySplit="2" topLeftCell="B44" activePane="bottomRight" state="frozen"/>
      <selection pane="bottomRight" activeCell="F45" sqref="F45"/>
      <pageMargins left="0.7" right="0.7" top="0.75" bottom="0.75" header="0.3" footer="0.3"/>
      <pageSetup paperSize="9" orientation="portrait" r:id="rId8"/>
    </customSheetView>
    <customSheetView guid="{4DF14E47-3879-4E88-BE38-529244598D27}" scale="85">
      <pane xSplit="1" ySplit="2" topLeftCell="C210" activePane="bottomRight" state="frozen"/>
      <selection pane="bottomRight" activeCell="P35" sqref="P35"/>
      <pageMargins left="0.7" right="0.7" top="0.75" bottom="0.75" header="0.3" footer="0.3"/>
      <pageSetup paperSize="9" orientation="portrait" r:id="rId9"/>
    </customSheetView>
    <customSheetView guid="{BB5CC8CF-3004-46A6-928F-22EA17328835}">
      <pane xSplit="1" ySplit="2" topLeftCell="B175" activePane="bottomRight" state="frozen"/>
      <selection pane="bottomRight" activeCell="C196" sqref="C196"/>
      <pageMargins left="0.7" right="0.7" top="0.75" bottom="0.75" header="0.3" footer="0.3"/>
      <pageSetup paperSize="9" orientation="portrait" r:id="rId10"/>
    </customSheetView>
    <customSheetView guid="{63D1720F-4071-49FA-85F9-136B4284D4AA}">
      <pane xSplit="1" ySplit="1" topLeftCell="B3" activePane="bottomRight" state="frozen"/>
      <selection pane="bottomRight" activeCell="I6" sqref="I6"/>
      <pageMargins left="0.7" right="0.7" top="0.75" bottom="0.75" header="0.3" footer="0.3"/>
      <pageSetup paperSize="9" orientation="portrait" r:id="rId11"/>
    </customSheetView>
    <customSheetView guid="{F1F3E055-B5A3-4FD4-BADC-A75DAF105B15}">
      <pane xSplit="1" ySplit="1" topLeftCell="B2" activePane="bottomRight" state="frozen"/>
      <selection pane="bottomRight" activeCell="N182" sqref="N182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1"/>
  <sheetViews>
    <sheetView zoomScale="85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Z222" sqref="Z222"/>
    </sheetView>
  </sheetViews>
  <sheetFormatPr defaultRowHeight="15" x14ac:dyDescent="0.25"/>
  <cols>
    <col min="1" max="1" width="45.85546875" style="6" bestFit="1" customWidth="1"/>
    <col min="2" max="2" width="8.5703125" style="6" customWidth="1"/>
    <col min="3" max="4" width="11.28515625" style="6" bestFit="1" customWidth="1"/>
    <col min="5" max="5" width="12.42578125" style="6" bestFit="1" customWidth="1"/>
    <col min="6" max="7" width="11.28515625" style="6" bestFit="1" customWidth="1"/>
    <col min="8" max="8" width="10.7109375" style="6" bestFit="1" customWidth="1"/>
    <col min="9" max="9" width="9.5703125" style="6" bestFit="1" customWidth="1"/>
    <col min="10" max="10" width="9.140625" style="6"/>
    <col min="11" max="12" width="16.5703125" style="10" customWidth="1"/>
    <col min="13" max="16" width="17.85546875" style="10" customWidth="1"/>
    <col min="17" max="17" width="16.140625" style="10" customWidth="1"/>
    <col min="18" max="18" width="16.28515625" style="10" customWidth="1"/>
    <col min="19" max="19" width="20.42578125" style="10" customWidth="1"/>
    <col min="20" max="20" width="12.42578125" style="6" customWidth="1"/>
    <col min="21" max="21" width="15.28515625" style="6" bestFit="1" customWidth="1"/>
    <col min="22" max="22" width="26" style="6" bestFit="1" customWidth="1"/>
    <col min="23" max="23" width="14.42578125" style="6" bestFit="1" customWidth="1"/>
    <col min="24" max="24" width="14.85546875" style="6" customWidth="1"/>
    <col min="25" max="25" width="15" style="6" customWidth="1"/>
    <col min="26" max="26" width="16" style="6" customWidth="1"/>
    <col min="27" max="27" width="15" style="6" customWidth="1"/>
    <col min="28" max="28" width="14.42578125" style="6" customWidth="1"/>
    <col min="29" max="29" width="6.85546875" style="6" customWidth="1"/>
    <col min="30" max="30" width="21.42578125" style="6" customWidth="1"/>
    <col min="31" max="31" width="9.140625" style="6"/>
    <col min="32" max="32" width="9.85546875" style="6" bestFit="1" customWidth="1"/>
    <col min="33" max="33" width="12" style="6" customWidth="1"/>
    <col min="34" max="34" width="11.42578125" style="6" customWidth="1"/>
    <col min="35" max="35" width="10.28515625" style="6" customWidth="1"/>
    <col min="36" max="37" width="9.85546875" style="6" bestFit="1" customWidth="1"/>
    <col min="38" max="38" width="10.28515625" style="6" customWidth="1"/>
    <col min="39" max="39" width="12.28515625" style="6" customWidth="1"/>
    <col min="40" max="40" width="13.28515625" style="6" customWidth="1"/>
    <col min="41" max="16384" width="9.140625" style="6"/>
  </cols>
  <sheetData>
    <row r="1" spans="1:40" ht="18.75" customHeight="1" thickBot="1" x14ac:dyDescent="0.3">
      <c r="A1" s="65"/>
      <c r="B1" s="65"/>
      <c r="C1" s="190" t="s">
        <v>80</v>
      </c>
      <c r="D1" s="191"/>
      <c r="E1" s="191"/>
      <c r="F1" s="191"/>
      <c r="G1" s="191"/>
      <c r="H1" s="192"/>
      <c r="I1" s="77" t="s">
        <v>89</v>
      </c>
      <c r="J1" s="77" t="s">
        <v>90</v>
      </c>
      <c r="K1" s="193" t="s">
        <v>85</v>
      </c>
      <c r="L1" s="194"/>
      <c r="M1" s="195"/>
      <c r="N1" s="193" t="s">
        <v>85</v>
      </c>
      <c r="O1" s="194"/>
      <c r="P1" s="195"/>
      <c r="Q1" s="193" t="s">
        <v>85</v>
      </c>
      <c r="R1" s="194"/>
      <c r="S1" s="195"/>
      <c r="T1" s="187" t="s">
        <v>122</v>
      </c>
      <c r="U1" s="189"/>
      <c r="W1" s="187" t="s">
        <v>101</v>
      </c>
      <c r="X1" s="188"/>
      <c r="Y1" s="188"/>
      <c r="Z1" s="188"/>
      <c r="AA1" s="188"/>
      <c r="AB1" s="189"/>
      <c r="AC1" s="143"/>
      <c r="AD1" s="143"/>
      <c r="AF1" s="187" t="s">
        <v>92</v>
      </c>
      <c r="AG1" s="188"/>
      <c r="AH1" s="188"/>
      <c r="AI1" s="188"/>
      <c r="AJ1" s="188"/>
      <c r="AK1" s="189"/>
    </row>
    <row r="2" spans="1:40" ht="63.75" customHeight="1" thickBot="1" x14ac:dyDescent="0.3">
      <c r="A2" s="24" t="s">
        <v>0</v>
      </c>
      <c r="B2" s="48" t="s">
        <v>123</v>
      </c>
      <c r="C2" s="19" t="s">
        <v>81</v>
      </c>
      <c r="D2" s="102" t="s">
        <v>82</v>
      </c>
      <c r="E2" s="102" t="s">
        <v>83</v>
      </c>
      <c r="F2" s="13" t="s">
        <v>84</v>
      </c>
      <c r="G2" s="102" t="s">
        <v>4</v>
      </c>
      <c r="H2" s="98" t="s">
        <v>5</v>
      </c>
      <c r="I2" s="97" t="s">
        <v>89</v>
      </c>
      <c r="J2" s="59" t="s">
        <v>91</v>
      </c>
      <c r="K2" s="11" t="s">
        <v>86</v>
      </c>
      <c r="L2" s="61" t="s">
        <v>87</v>
      </c>
      <c r="M2" s="94" t="s">
        <v>88</v>
      </c>
      <c r="N2" s="11" t="s">
        <v>111</v>
      </c>
      <c r="O2" s="61" t="s">
        <v>112</v>
      </c>
      <c r="P2" s="94" t="s">
        <v>113</v>
      </c>
      <c r="Q2" s="11" t="s">
        <v>108</v>
      </c>
      <c r="R2" s="61" t="s">
        <v>109</v>
      </c>
      <c r="S2" s="94" t="s">
        <v>110</v>
      </c>
      <c r="T2" s="109" t="s">
        <v>475</v>
      </c>
      <c r="U2" s="109" t="s">
        <v>476</v>
      </c>
      <c r="W2" s="21" t="s">
        <v>81</v>
      </c>
      <c r="X2" s="13" t="s">
        <v>93</v>
      </c>
      <c r="Y2" s="25" t="s">
        <v>94</v>
      </c>
      <c r="Z2" s="13" t="s">
        <v>84</v>
      </c>
      <c r="AA2" s="25" t="s">
        <v>4</v>
      </c>
      <c r="AB2" s="110" t="s">
        <v>5</v>
      </c>
      <c r="AC2" s="144"/>
      <c r="AD2" s="59" t="s">
        <v>493</v>
      </c>
      <c r="AF2" s="21" t="s">
        <v>81</v>
      </c>
      <c r="AG2" s="13" t="s">
        <v>93</v>
      </c>
      <c r="AH2" s="25" t="s">
        <v>94</v>
      </c>
      <c r="AI2" s="13" t="s">
        <v>84</v>
      </c>
      <c r="AJ2" s="25" t="s">
        <v>4</v>
      </c>
      <c r="AK2" s="110" t="s">
        <v>5</v>
      </c>
      <c r="AL2" s="3"/>
      <c r="AM2" s="109" t="s">
        <v>494</v>
      </c>
      <c r="AN2" s="109" t="s">
        <v>121</v>
      </c>
    </row>
    <row r="3" spans="1:40" x14ac:dyDescent="0.25">
      <c r="A3" s="36" t="s">
        <v>132</v>
      </c>
      <c r="B3" s="75" t="s">
        <v>133</v>
      </c>
      <c r="C3" s="51">
        <f>VLOOKUP($B$3:$B$210,Costdrivere!$B$3:$H$211,2,FALSE)</f>
        <v>179380.74509576737</v>
      </c>
      <c r="D3" s="33">
        <f>VLOOKUP($B$3:$B$210,Costdrivere!$B$3:$H$211,3,FALSE)</f>
        <v>446325.16499999998</v>
      </c>
      <c r="E3" s="107">
        <f>VLOOKUP($B$3:$B$210,Costdrivere!$B$3:$H$211,4,FALSE)</f>
        <v>35453</v>
      </c>
      <c r="F3" s="33">
        <f>VLOOKUP($B$3:$B$210,Costdrivere!$B$3:$H$211,5,FALSE)</f>
        <v>279243</v>
      </c>
      <c r="G3" s="107">
        <f>VLOOKUP($B$3:$B$210,Costdrivere!$B$3:$H$211,6,FALSE)</f>
        <v>251909.00000000003</v>
      </c>
      <c r="H3" s="80">
        <f>VLOOKUP($B$3:$B$210,Costdrivere!$B$3:$H$211,7,FALSE)</f>
        <v>275781.80000000005</v>
      </c>
      <c r="I3" s="87">
        <v>31.718657482420472</v>
      </c>
      <c r="J3" s="28">
        <f>VLOOKUP($B$3:$B$210,Costdrivere!$B$3:$I$211,8,FALSE)</f>
        <v>2.6681159420289854E-2</v>
      </c>
      <c r="K3" s="82">
        <f>SUM(C3:H3)</f>
        <v>1468092.7100957674</v>
      </c>
      <c r="L3" s="35">
        <f>IF(I3=0,K3,((0.575+0.018*I3)*K3))</f>
        <v>1682340.0451364552</v>
      </c>
      <c r="M3" s="166">
        <f>IF(J3=0,K3,(0.711+13.544*J3)*K3)</f>
        <v>1574338.0263310438</v>
      </c>
      <c r="N3" s="82">
        <f>K3+VLOOKUP($B$3:$B$210,'Potentialer og krav'!$B$2:$F$209,5,FALSE)</f>
        <v>1468092.7100957674</v>
      </c>
      <c r="O3" s="159">
        <f>IF(I3=0,N3,((0.575+0.018*I3)*N3))</f>
        <v>1682340.0451364552</v>
      </c>
      <c r="P3" s="162">
        <f>IF(J3=0,N3,((0.711+13.544*J3)*N3))</f>
        <v>1574338.0263310438</v>
      </c>
      <c r="Q3" s="29">
        <f>N3+(0.25*VLOOKUP($B$3:$B$210,'Potentialer og krav'!$B$2:$C$209,2,FALSE))</f>
        <v>1743348.7100957674</v>
      </c>
      <c r="R3" s="113">
        <f>O3+(0.25*VLOOKUP($B$3:$B$210,'Potentialer og krav'!$B$2:$C$209,2,FALSE))</f>
        <v>1957596.0451364552</v>
      </c>
      <c r="S3" s="29">
        <f>P3+(0.25*VLOOKUP($B$3:$B$210,'Potentialer og krav'!$B$2:$C$209,2,FALSE))</f>
        <v>1849594.0263310438</v>
      </c>
      <c r="T3" s="66">
        <v>1065448</v>
      </c>
      <c r="U3" s="78">
        <f>1.015*T3</f>
        <v>1081429.72</v>
      </c>
      <c r="W3" s="40">
        <f>C3/(SUM($C3:$H3))</f>
        <v>0.12218625149638261</v>
      </c>
      <c r="X3" s="18">
        <f t="shared" ref="X3:AB3" si="0">D3/(SUM($C3:$H3))</f>
        <v>0.3040170160445011</v>
      </c>
      <c r="Y3" s="115">
        <f t="shared" si="0"/>
        <v>2.414901985153738E-2</v>
      </c>
      <c r="Z3" s="18">
        <f t="shared" si="0"/>
        <v>0.19020801484790717</v>
      </c>
      <c r="AA3" s="115">
        <f t="shared" si="0"/>
        <v>0.17158929968637154</v>
      </c>
      <c r="AB3" s="101">
        <f t="shared" si="0"/>
        <v>0.18785039807330023</v>
      </c>
      <c r="AC3" s="62"/>
      <c r="AD3" s="169">
        <f>SUM(AA3:AB3)</f>
        <v>0.35943969775967177</v>
      </c>
      <c r="AF3" s="146">
        <f>W$212-W3</f>
        <v>-3.5128459034647758E-3</v>
      </c>
      <c r="AG3" s="37">
        <f>X$212-X3</f>
        <v>-1.4219018921432958E-2</v>
      </c>
      <c r="AH3" s="55">
        <f>Y$212-Y3</f>
        <v>2.504549408480072E-2</v>
      </c>
      <c r="AI3" s="37">
        <f>Z$212-Z3</f>
        <v>4.1131187952373666E-2</v>
      </c>
      <c r="AJ3" s="55">
        <f>AA$212-AA3</f>
        <v>-2.2944386320208121E-2</v>
      </c>
      <c r="AK3" s="112">
        <f>AB$212-AB3</f>
        <v>-2.5500430892068771E-2</v>
      </c>
      <c r="AL3" s="108"/>
      <c r="AM3" s="146">
        <f>$AD$212-AD3</f>
        <v>-4.8444817212276781E-2</v>
      </c>
      <c r="AN3" s="32">
        <f>IF(AM3&lt;$AD$215,(AM3-$AD$215)*0.5683,0)</f>
        <v>0</v>
      </c>
    </row>
    <row r="4" spans="1:40" x14ac:dyDescent="0.25">
      <c r="A4" s="17" t="s">
        <v>134</v>
      </c>
      <c r="B4" s="90" t="s">
        <v>135</v>
      </c>
      <c r="C4" s="88">
        <f>VLOOKUP($B$3:$B$210,Costdrivere!$B$3:$H$211,2,FALSE)</f>
        <v>169767.27585644519</v>
      </c>
      <c r="D4" s="46">
        <f>VLOOKUP($B$3:$B$210,Costdrivere!$B$3:$H$211,3,FALSE)</f>
        <v>420713.951</v>
      </c>
      <c r="E4" s="23">
        <f>VLOOKUP($B$3:$B$210,Costdrivere!$B$3:$H$211,4,FALSE)</f>
        <v>35453</v>
      </c>
      <c r="F4" s="46">
        <f>VLOOKUP($B$3:$B$210,Costdrivere!$B$3:$H$211,5,FALSE)</f>
        <v>230679</v>
      </c>
      <c r="G4" s="23">
        <f>VLOOKUP($B$3:$B$210,Costdrivere!$B$3:$H$211,6,FALSE)</f>
        <v>192021.2</v>
      </c>
      <c r="H4" s="93">
        <f>VLOOKUP($B$3:$B$210,Costdrivere!$B$3:$H$211,7,FALSE)</f>
        <v>202529.6</v>
      </c>
      <c r="I4" s="27">
        <v>22.775153558211855</v>
      </c>
      <c r="J4" s="20">
        <f>VLOOKUP($B$3:$B$210,Costdrivere!$B$3:$I$211,8,FALSE)</f>
        <v>2.3719298245614036E-2</v>
      </c>
      <c r="K4" s="74">
        <f t="shared" ref="K4:K63" si="1">SUM(C4:H4)</f>
        <v>1251164.0268564452</v>
      </c>
      <c r="L4" s="89">
        <f>IF(I4=0,K4,((0.575+0.018*I4)*K4))</f>
        <v>1232337.4665294483</v>
      </c>
      <c r="M4" s="167">
        <f t="shared" ref="M4:M63" si="2">IF(J4=0,K4,(0.711+13.544*J4)*K4)</f>
        <v>1291519.2908811339</v>
      </c>
      <c r="N4" s="74">
        <f>K4+VLOOKUP($B$3:$B$210,'Potentialer og krav'!$B$2:$F$209,5,FALSE)</f>
        <v>1251164.0268564452</v>
      </c>
      <c r="O4" s="160">
        <f t="shared" ref="O4:O63" si="3">IF(I4=0,N4,((0.575+0.018*I4)*N4))</f>
        <v>1232337.4665294483</v>
      </c>
      <c r="P4" s="163">
        <f t="shared" ref="P4:P63" si="4">IF(J4=0,N4,((0.711+13.544*J4)*N4))</f>
        <v>1291519.2908811339</v>
      </c>
      <c r="Q4" s="104">
        <f>N4+(0.25*VLOOKUP($B$3:$B$210,'Potentialer og krav'!$B$2:$C$209,2,FALSE))</f>
        <v>1482195.5268564452</v>
      </c>
      <c r="R4" s="53">
        <f>O4+(0.25*VLOOKUP($B$3:$B$210,'Potentialer og krav'!$B$2:$C$209,2,FALSE))</f>
        <v>1463368.9665294483</v>
      </c>
      <c r="S4" s="104">
        <f>P4+(0.25*VLOOKUP($B$3:$B$210,'Potentialer og krav'!$B$2:$C$209,2,FALSE))</f>
        <v>1522550.7908811339</v>
      </c>
      <c r="T4" s="84">
        <v>554224</v>
      </c>
      <c r="U4" s="92">
        <f t="shared" ref="U4:U63" si="5">1.015*T4</f>
        <v>562537.36</v>
      </c>
      <c r="W4" s="70">
        <f t="shared" ref="W4:W63" si="6">C4/(SUM($C4:$H4))</f>
        <v>0.13568746560192124</v>
      </c>
      <c r="X4" s="73">
        <f t="shared" ref="X4:X63" si="7">D4/(SUM($C4:$H4))</f>
        <v>0.33625803009781663</v>
      </c>
      <c r="Y4" s="62">
        <f t="shared" ref="Y4:Y63" si="8">E4/(SUM($C4:$H4))</f>
        <v>2.8336012895987594E-2</v>
      </c>
      <c r="Z4" s="73">
        <f t="shared" ref="Z4:Z63" si="9">F4/(SUM($C4:$H4))</f>
        <v>0.18437150928929913</v>
      </c>
      <c r="AA4" s="62">
        <f t="shared" ref="AA4:AA63" si="10">G4/(SUM($C4:$H4))</f>
        <v>0.15347404167497852</v>
      </c>
      <c r="AB4" s="64">
        <f t="shared" ref="AB4:AB63" si="11">H4/(SUM($C4:$H4))</f>
        <v>0.16187294043999687</v>
      </c>
      <c r="AC4" s="62"/>
      <c r="AD4" s="145">
        <f t="shared" ref="AD4:AD63" si="12">SUM(AA4:AB4)</f>
        <v>0.31534698211497536</v>
      </c>
      <c r="AF4" s="57">
        <f>W$212-W4</f>
        <v>-1.7014060009003407E-2</v>
      </c>
      <c r="AG4" s="60">
        <f>X$212-X4</f>
        <v>-4.6460032974748489E-2</v>
      </c>
      <c r="AH4" s="83">
        <f>Y$212-Y4</f>
        <v>2.0858501040350506E-2</v>
      </c>
      <c r="AI4" s="60">
        <f>Z$212-Z4</f>
        <v>4.6967693510981706E-2</v>
      </c>
      <c r="AJ4" s="83">
        <f>AA$212-AA4</f>
        <v>-4.8291283088151005E-3</v>
      </c>
      <c r="AK4" s="76">
        <f>AB$212-AB4</f>
        <v>4.7702674123459299E-4</v>
      </c>
      <c r="AL4" s="108"/>
      <c r="AM4" s="57">
        <f>$AD$212-AD4</f>
        <v>-4.3521015675803687E-3</v>
      </c>
      <c r="AN4" s="106">
        <f>IF(AM4&lt;$AD$215,(AM4-$AD$215)*0.5683,0)</f>
        <v>0</v>
      </c>
    </row>
    <row r="5" spans="1:40" x14ac:dyDescent="0.25">
      <c r="A5" s="17" t="s">
        <v>136</v>
      </c>
      <c r="B5" s="90" t="s">
        <v>137</v>
      </c>
      <c r="C5" s="88">
        <f>VLOOKUP($B$3:$B$210,Costdrivere!$B$3:$H$211,2,FALSE)</f>
        <v>455440.84072831849</v>
      </c>
      <c r="D5" s="46">
        <f>VLOOKUP($B$3:$B$210,Costdrivere!$B$3:$H$211,3,FALSE)</f>
        <v>1166376.43</v>
      </c>
      <c r="E5" s="23">
        <f>VLOOKUP($B$3:$B$210,Costdrivere!$B$3:$H$211,4,FALSE)</f>
        <v>141812</v>
      </c>
      <c r="F5" s="46">
        <f>VLOOKUP($B$3:$B$210,Costdrivere!$B$3:$H$211,5,FALSE)</f>
        <v>736554</v>
      </c>
      <c r="G5" s="23">
        <f>VLOOKUP($B$3:$B$210,Costdrivere!$B$3:$H$211,6,FALSE)</f>
        <v>517262.20000000007</v>
      </c>
      <c r="H5" s="93">
        <f>VLOOKUP($B$3:$B$210,Costdrivere!$B$3:$H$211,7,FALSE)</f>
        <v>570588.20000000007</v>
      </c>
      <c r="I5" s="27">
        <v>31.597095131463167</v>
      </c>
      <c r="J5" s="20">
        <f>VLOOKUP($B$3:$B$210,Costdrivere!$B$3:$I$211,8,FALSE)</f>
        <v>2.0928571428571428E-2</v>
      </c>
      <c r="K5" s="74">
        <f t="shared" si="1"/>
        <v>3588033.6707283189</v>
      </c>
      <c r="L5" s="89">
        <f t="shared" ref="L5:L64" si="13">IF(I5=0,K5,((0.575+0.018*I5)*K5))</f>
        <v>4103805.3027889053</v>
      </c>
      <c r="M5" s="167">
        <f t="shared" si="2"/>
        <v>3568143.6623627553</v>
      </c>
      <c r="N5" s="74">
        <f>K5+VLOOKUP($B$3:$B$210,'Potentialer og krav'!$B$2:$F$209,5,FALSE)</f>
        <v>3588033.6707283189</v>
      </c>
      <c r="O5" s="160">
        <f t="shared" si="3"/>
        <v>4103805.3027889053</v>
      </c>
      <c r="P5" s="163">
        <f t="shared" si="4"/>
        <v>3568143.6623627553</v>
      </c>
      <c r="Q5" s="104">
        <f>N5+(0.25*VLOOKUP($B$3:$B$210,'Potentialer og krav'!$B$2:$C$209,2,FALSE))</f>
        <v>4234330.1707283184</v>
      </c>
      <c r="R5" s="53">
        <f>O5+(0.25*VLOOKUP($B$3:$B$210,'Potentialer og krav'!$B$2:$C$209,2,FALSE))</f>
        <v>4750101.8027889058</v>
      </c>
      <c r="S5" s="104">
        <f>P5+(0.25*VLOOKUP($B$3:$B$210,'Potentialer og krav'!$B$2:$C$209,2,FALSE))</f>
        <v>4214440.1623627553</v>
      </c>
      <c r="T5" s="84">
        <v>2486810</v>
      </c>
      <c r="U5" s="92">
        <f t="shared" si="5"/>
        <v>2524112.15</v>
      </c>
      <c r="W5" s="70">
        <f t="shared" si="6"/>
        <v>0.12693326833688007</v>
      </c>
      <c r="X5" s="73">
        <f t="shared" si="7"/>
        <v>0.32507399234167234</v>
      </c>
      <c r="Y5" s="62">
        <f t="shared" si="8"/>
        <v>3.9523597885081779E-2</v>
      </c>
      <c r="Z5" s="73">
        <f t="shared" si="9"/>
        <v>0.20528068228815985</v>
      </c>
      <c r="AA5" s="62">
        <f t="shared" si="10"/>
        <v>0.1441631398890979</v>
      </c>
      <c r="AB5" s="64">
        <f t="shared" si="11"/>
        <v>0.15902531925910798</v>
      </c>
      <c r="AC5" s="62"/>
      <c r="AD5" s="145">
        <f t="shared" si="12"/>
        <v>0.30318845914820591</v>
      </c>
      <c r="AF5" s="57">
        <f>W$212-W5</f>
        <v>-8.2598627439622319E-3</v>
      </c>
      <c r="AG5" s="60">
        <f>X$212-X5</f>
        <v>-3.5275995218604195E-2</v>
      </c>
      <c r="AH5" s="83">
        <f>Y$212-Y5</f>
        <v>9.6709160512563203E-3</v>
      </c>
      <c r="AI5" s="60">
        <f>Z$212-Z5</f>
        <v>2.6058520512120986E-2</v>
      </c>
      <c r="AJ5" s="83">
        <f>AA$212-AA5</f>
        <v>4.4817734770655204E-3</v>
      </c>
      <c r="AK5" s="76">
        <f>AB$212-AB5</f>
        <v>3.3246479221234748E-3</v>
      </c>
      <c r="AL5" s="108"/>
      <c r="AM5" s="57">
        <f>$AD$212-AD5</f>
        <v>7.8064213991890785E-3</v>
      </c>
      <c r="AN5" s="106">
        <f>IF(AM5&lt;$AD$215,(AM5-$AD$215)*0.5683,0)</f>
        <v>0</v>
      </c>
    </row>
    <row r="6" spans="1:40" x14ac:dyDescent="0.25">
      <c r="A6" s="17" t="s">
        <v>138</v>
      </c>
      <c r="B6" s="90" t="s">
        <v>139</v>
      </c>
      <c r="C6" s="88">
        <f>VLOOKUP($B$3:$B$210,Costdrivere!$B$3:$H$211,2,FALSE)</f>
        <v>146463.99877285099</v>
      </c>
      <c r="D6" s="46">
        <f>VLOOKUP($B$3:$B$210,Costdrivere!$B$3:$H$211,3,FALSE)</f>
        <v>411403.01799999998</v>
      </c>
      <c r="E6" s="23">
        <f>VLOOKUP($B$3:$B$210,Costdrivere!$B$3:$H$211,4,FALSE)</f>
        <v>91922</v>
      </c>
      <c r="F6" s="46">
        <f>VLOOKUP($B$3:$B$210,Costdrivere!$B$3:$H$211,5,FALSE)</f>
        <v>303525</v>
      </c>
      <c r="G6" s="23">
        <f>VLOOKUP($B$3:$B$210,Costdrivere!$B$3:$H$211,6,FALSE)</f>
        <v>225835.40000000002</v>
      </c>
      <c r="H6" s="93">
        <f>VLOOKUP($B$3:$B$210,Costdrivere!$B$3:$H$211,7,FALSE)</f>
        <v>282223.2</v>
      </c>
      <c r="I6" s="27">
        <v>19.620444576383747</v>
      </c>
      <c r="J6" s="20">
        <f>VLOOKUP($B$3:$B$210,Costdrivere!$B$3:$I$211,8,FALSE)</f>
        <v>2.512E-2</v>
      </c>
      <c r="K6" s="74">
        <f t="shared" si="1"/>
        <v>1461372.616772851</v>
      </c>
      <c r="L6" s="89">
        <f t="shared" si="13"/>
        <v>1356399.3024354482</v>
      </c>
      <c r="M6" s="167">
        <f t="shared" si="2"/>
        <v>1536231.8382513728</v>
      </c>
      <c r="N6" s="74">
        <f>K6+VLOOKUP($B$3:$B$210,'Potentialer og krav'!$B$2:$F$209,5,FALSE)</f>
        <v>1461372.616772851</v>
      </c>
      <c r="O6" s="160">
        <f t="shared" si="3"/>
        <v>1356399.3024354482</v>
      </c>
      <c r="P6" s="163">
        <f t="shared" si="4"/>
        <v>1536231.8382513728</v>
      </c>
      <c r="Q6" s="104">
        <f>N6+(0.25*VLOOKUP($B$3:$B$210,'Potentialer og krav'!$B$2:$C$209,2,FALSE))</f>
        <v>1789166.366772851</v>
      </c>
      <c r="R6" s="53">
        <f>O6+(0.25*VLOOKUP($B$3:$B$210,'Potentialer og krav'!$B$2:$C$209,2,FALSE))</f>
        <v>1684193.0524354482</v>
      </c>
      <c r="S6" s="104">
        <f>P6+(0.25*VLOOKUP($B$3:$B$210,'Potentialer og krav'!$B$2:$C$209,2,FALSE))</f>
        <v>1864025.5882513728</v>
      </c>
      <c r="T6" s="84">
        <v>1531153</v>
      </c>
      <c r="U6" s="92">
        <f t="shared" si="5"/>
        <v>1554120.2949999999</v>
      </c>
      <c r="W6" s="70">
        <f t="shared" si="6"/>
        <v>0.10022358233062244</v>
      </c>
      <c r="X6" s="73">
        <f t="shared" si="7"/>
        <v>0.28151822011589434</v>
      </c>
      <c r="Y6" s="62">
        <f t="shared" si="8"/>
        <v>6.2901137564074075E-2</v>
      </c>
      <c r="Z6" s="73">
        <f t="shared" si="9"/>
        <v>0.20769856812444881</v>
      </c>
      <c r="AA6" s="62">
        <f t="shared" si="10"/>
        <v>0.1545364935732218</v>
      </c>
      <c r="AB6" s="64">
        <f t="shared" si="11"/>
        <v>0.19312199829173854</v>
      </c>
      <c r="AC6" s="62"/>
      <c r="AD6" s="145">
        <f t="shared" si="12"/>
        <v>0.34765849186496034</v>
      </c>
      <c r="AF6" s="57">
        <f>W$212-W6</f>
        <v>1.8449823262295398E-2</v>
      </c>
      <c r="AG6" s="60">
        <f>X$212-X6</f>
        <v>8.2797770071738053E-3</v>
      </c>
      <c r="AH6" s="83">
        <f>Y$212-Y6</f>
        <v>-1.3706623627735975E-2</v>
      </c>
      <c r="AI6" s="60">
        <f>Z$212-Z6</f>
        <v>2.3640634675832023E-2</v>
      </c>
      <c r="AJ6" s="83">
        <f>AA$212-AA6</f>
        <v>-5.8915802070583778E-3</v>
      </c>
      <c r="AK6" s="76">
        <f>AB$212-AB6</f>
        <v>-3.0772031110507081E-2</v>
      </c>
      <c r="AL6" s="108"/>
      <c r="AM6" s="57">
        <f>$AD$212-AD6</f>
        <v>-3.6663611317565348E-2</v>
      </c>
      <c r="AN6" s="106">
        <f>IF(AM6&lt;$AD$215,(AM6-$AD$215)*0.5683,0)</f>
        <v>0</v>
      </c>
    </row>
    <row r="7" spans="1:40" x14ac:dyDescent="0.25">
      <c r="A7" s="17" t="s">
        <v>140</v>
      </c>
      <c r="B7" s="90" t="s">
        <v>141</v>
      </c>
      <c r="C7" s="88">
        <f>VLOOKUP($B$3:$B$210,Costdrivere!$B$3:$H$211,2,FALSE)</f>
        <v>147740.98676675628</v>
      </c>
      <c r="D7" s="46">
        <f>VLOOKUP($B$3:$B$210,Costdrivere!$B$3:$H$211,3,FALSE)</f>
        <v>385481.33</v>
      </c>
      <c r="E7" s="23">
        <f>VLOOKUP($B$3:$B$210,Costdrivere!$B$3:$H$211,4,FALSE)</f>
        <v>0</v>
      </c>
      <c r="F7" s="46">
        <f>VLOOKUP($B$3:$B$210,Costdrivere!$B$3:$H$211,5,FALSE)</f>
        <v>437076</v>
      </c>
      <c r="G7" s="23">
        <f>VLOOKUP($B$3:$B$210,Costdrivere!$B$3:$H$211,6,FALSE)</f>
        <v>202749.40000000002</v>
      </c>
      <c r="H7" s="93">
        <f>VLOOKUP($B$3:$B$210,Costdrivere!$B$3:$H$211,7,FALSE)</f>
        <v>253012.2</v>
      </c>
      <c r="I7" s="27">
        <v>26.733499542652066</v>
      </c>
      <c r="J7" s="20">
        <f>VLOOKUP($B$3:$B$210,Costdrivere!$B$3:$I$211,8,FALSE)</f>
        <v>1.563888888888889E-2</v>
      </c>
      <c r="K7" s="74">
        <f t="shared" si="1"/>
        <v>1426059.9167667564</v>
      </c>
      <c r="L7" s="89">
        <f t="shared" si="13"/>
        <v>1506208.7505290983</v>
      </c>
      <c r="M7" s="167">
        <f t="shared" si="2"/>
        <v>1315986.7884223827</v>
      </c>
      <c r="N7" s="74">
        <f>K7+VLOOKUP($B$3:$B$210,'Potentialer og krav'!$B$2:$F$209,5,FALSE)</f>
        <v>1426059.9167667564</v>
      </c>
      <c r="O7" s="160">
        <f t="shared" si="3"/>
        <v>1506208.7505290983</v>
      </c>
      <c r="P7" s="163">
        <f t="shared" si="4"/>
        <v>1315986.7884223827</v>
      </c>
      <c r="Q7" s="104">
        <f>N7+(0.25*VLOOKUP($B$3:$B$210,'Potentialer og krav'!$B$2:$C$209,2,FALSE))</f>
        <v>1785451.6667667564</v>
      </c>
      <c r="R7" s="53">
        <f>O7+(0.25*VLOOKUP($B$3:$B$210,'Potentialer og krav'!$B$2:$C$209,2,FALSE))</f>
        <v>1865600.5005290983</v>
      </c>
      <c r="S7" s="104">
        <f>P7+(0.25*VLOOKUP($B$3:$B$210,'Potentialer og krav'!$B$2:$C$209,2,FALSE))</f>
        <v>1675378.5384223827</v>
      </c>
      <c r="T7" s="84">
        <v>996738</v>
      </c>
      <c r="U7" s="92">
        <f t="shared" si="5"/>
        <v>1011689.07</v>
      </c>
      <c r="W7" s="70">
        <f t="shared" si="6"/>
        <v>0.10360082702676546</v>
      </c>
      <c r="X7" s="73">
        <f t="shared" si="7"/>
        <v>0.27031215551867205</v>
      </c>
      <c r="Y7" s="62">
        <f t="shared" si="8"/>
        <v>0</v>
      </c>
      <c r="Z7" s="73">
        <f t="shared" si="9"/>
        <v>0.30649203084745791</v>
      </c>
      <c r="AA7" s="62">
        <f t="shared" si="10"/>
        <v>0.14217453110924322</v>
      </c>
      <c r="AB7" s="64">
        <f t="shared" si="11"/>
        <v>0.17742045549786123</v>
      </c>
      <c r="AC7" s="62"/>
      <c r="AD7" s="145">
        <f t="shared" si="12"/>
        <v>0.31959498660710445</v>
      </c>
      <c r="AF7" s="57">
        <f>W$212-W7</f>
        <v>1.5072578566152378E-2</v>
      </c>
      <c r="AG7" s="60">
        <f>X$212-X7</f>
        <v>1.9485841604396092E-2</v>
      </c>
      <c r="AH7" s="83">
        <f>Y$212-Y7</f>
        <v>4.91945139363381E-2</v>
      </c>
      <c r="AI7" s="60">
        <f>Z$212-Z7</f>
        <v>-7.5152828047177073E-2</v>
      </c>
      <c r="AJ7" s="83">
        <f>AA$212-AA7</f>
        <v>6.4703822569202041E-3</v>
      </c>
      <c r="AK7" s="76">
        <f>AB$212-AB7</f>
        <v>-1.5070488316629771E-2</v>
      </c>
      <c r="AL7" s="108"/>
      <c r="AM7" s="57">
        <f>$AD$212-AD7</f>
        <v>-8.6001060597094559E-3</v>
      </c>
      <c r="AN7" s="106">
        <f>IF(AM7&lt;$AD$215,(AM7-$AD$215)*0.5683,0)</f>
        <v>0</v>
      </c>
    </row>
    <row r="8" spans="1:40" x14ac:dyDescent="0.25">
      <c r="A8" s="17" t="s">
        <v>142</v>
      </c>
      <c r="B8" s="90" t="s">
        <v>143</v>
      </c>
      <c r="C8" s="88">
        <f>VLOOKUP($B$3:$B$210,Costdrivere!$B$3:$H$211,2,FALSE)</f>
        <v>496715.15639376541</v>
      </c>
      <c r="D8" s="46">
        <f>VLOOKUP($B$3:$B$210,Costdrivere!$B$3:$H$211,3,FALSE)</f>
        <v>1214600.291</v>
      </c>
      <c r="E8" s="23">
        <f>VLOOKUP($B$3:$B$210,Costdrivere!$B$3:$H$211,4,FALSE)</f>
        <v>35453</v>
      </c>
      <c r="F8" s="46">
        <f>VLOOKUP($B$3:$B$210,Costdrivere!$B$3:$H$211,5,FALSE)</f>
        <v>530157</v>
      </c>
      <c r="G8" s="23">
        <f>VLOOKUP($B$3:$B$210,Costdrivere!$B$3:$H$211,6,FALSE)</f>
        <v>543607.4</v>
      </c>
      <c r="H8" s="93">
        <f>VLOOKUP($B$3:$B$210,Costdrivere!$B$3:$H$211,7,FALSE)</f>
        <v>599649.4</v>
      </c>
      <c r="I8" s="27">
        <v>35.366572794339689</v>
      </c>
      <c r="J8" s="20">
        <f>VLOOKUP($B$3:$B$210,Costdrivere!$B$3:$I$211,8,FALSE)</f>
        <v>3.0557251908396945E-2</v>
      </c>
      <c r="K8" s="74">
        <f t="shared" si="1"/>
        <v>3420182.2473937655</v>
      </c>
      <c r="L8" s="89">
        <f t="shared" si="13"/>
        <v>4143887.0318538933</v>
      </c>
      <c r="M8" s="167">
        <f t="shared" si="2"/>
        <v>3847251.5800334611</v>
      </c>
      <c r="N8" s="74">
        <f>K8+VLOOKUP($B$3:$B$210,'Potentialer og krav'!$B$2:$F$209,5,FALSE)</f>
        <v>3420182.2473937655</v>
      </c>
      <c r="O8" s="160">
        <f t="shared" si="3"/>
        <v>4143887.0318538933</v>
      </c>
      <c r="P8" s="163">
        <f t="shared" si="4"/>
        <v>3847251.5800334611</v>
      </c>
      <c r="Q8" s="104">
        <f>N8+(0.25*VLOOKUP($B$3:$B$210,'Potentialer og krav'!$B$2:$C$209,2,FALSE))</f>
        <v>4035484.2473937655</v>
      </c>
      <c r="R8" s="53">
        <f>O8+(0.25*VLOOKUP($B$3:$B$210,'Potentialer og krav'!$B$2:$C$209,2,FALSE))</f>
        <v>4759189.0318538938</v>
      </c>
      <c r="S8" s="104">
        <f>P8+(0.25*VLOOKUP($B$3:$B$210,'Potentialer og krav'!$B$2:$C$209,2,FALSE))</f>
        <v>4462553.5800334606</v>
      </c>
      <c r="T8" s="84">
        <v>3041864</v>
      </c>
      <c r="U8" s="92">
        <f t="shared" si="5"/>
        <v>3087491.9599999995</v>
      </c>
      <c r="W8" s="70">
        <f t="shared" si="6"/>
        <v>0.14523061067060694</v>
      </c>
      <c r="X8" s="73">
        <f t="shared" si="7"/>
        <v>0.35512735963866987</v>
      </c>
      <c r="Y8" s="62">
        <f t="shared" si="8"/>
        <v>1.0365821887712493E-2</v>
      </c>
      <c r="Z8" s="73">
        <f t="shared" si="9"/>
        <v>0.15500840646839456</v>
      </c>
      <c r="AA8" s="62">
        <f t="shared" si="10"/>
        <v>0.15894106239930275</v>
      </c>
      <c r="AB8" s="64">
        <f t="shared" si="11"/>
        <v>0.17532673893531336</v>
      </c>
      <c r="AC8" s="62"/>
      <c r="AD8" s="145">
        <f t="shared" si="12"/>
        <v>0.33426780133461609</v>
      </c>
      <c r="AF8" s="57">
        <f>W$212-W8</f>
        <v>-2.6557205077689106E-2</v>
      </c>
      <c r="AG8" s="60">
        <f>X$212-X8</f>
        <v>-6.532936251560173E-2</v>
      </c>
      <c r="AH8" s="83">
        <f>Y$212-Y8</f>
        <v>3.8828692048625608E-2</v>
      </c>
      <c r="AI8" s="60">
        <f>Z$212-Z8</f>
        <v>7.6330796331886275E-2</v>
      </c>
      <c r="AJ8" s="83">
        <f>AA$212-AA8</f>
        <v>-1.0296149033139329E-2</v>
      </c>
      <c r="AK8" s="76">
        <f>AB$212-AB8</f>
        <v>-1.2976771754081906E-2</v>
      </c>
      <c r="AL8" s="108"/>
      <c r="AM8" s="57">
        <f>$AD$212-AD8</f>
        <v>-2.3272920787221096E-2</v>
      </c>
      <c r="AN8" s="106">
        <f>IF(AM8&lt;$AD$215,(AM8-$AD$215)*0.5683,0)</f>
        <v>0</v>
      </c>
    </row>
    <row r="9" spans="1:40" x14ac:dyDescent="0.25">
      <c r="A9" s="17" t="s">
        <v>114</v>
      </c>
      <c r="B9" s="90" t="s">
        <v>144</v>
      </c>
      <c r="C9" s="88">
        <f>VLOOKUP($B$3:$B$210,Costdrivere!$B$3:$H$211,2,FALSE)</f>
        <v>146884.02878148237</v>
      </c>
      <c r="D9" s="46">
        <f>VLOOKUP($B$3:$B$210,Costdrivere!$B$3:$H$211,3,FALSE)</f>
        <v>346919.201</v>
      </c>
      <c r="E9" s="23">
        <f>VLOOKUP($B$3:$B$210,Costdrivere!$B$3:$H$211,4,FALSE)</f>
        <v>0</v>
      </c>
      <c r="F9" s="46">
        <f>VLOOKUP($B$3:$B$210,Costdrivere!$B$3:$H$211,5,FALSE)</f>
        <v>631332</v>
      </c>
      <c r="G9" s="23">
        <f>VLOOKUP($B$3:$B$210,Costdrivere!$B$3:$H$211,6,FALSE)</f>
        <v>800269.4</v>
      </c>
      <c r="H9" s="93">
        <f>VLOOKUP($B$3:$B$210,Costdrivere!$B$3:$H$211,7,FALSE)</f>
        <v>795438.00000000012</v>
      </c>
      <c r="I9" s="27">
        <v>30.439811282299353</v>
      </c>
      <c r="J9" s="20">
        <f>VLOOKUP($B$3:$B$210,Costdrivere!$B$3:$I$211,8,FALSE)</f>
        <v>3.4038461538461538E-2</v>
      </c>
      <c r="K9" s="74">
        <f t="shared" si="1"/>
        <v>2720842.6297814823</v>
      </c>
      <c r="L9" s="89">
        <f t="shared" si="13"/>
        <v>3055279.3633532538</v>
      </c>
      <c r="M9" s="167">
        <f t="shared" si="2"/>
        <v>3188873.6071330165</v>
      </c>
      <c r="N9" s="74">
        <f>K9+VLOOKUP($B$3:$B$210,'Potentialer og krav'!$B$2:$F$209,5,FALSE)</f>
        <v>3095341.6297814823</v>
      </c>
      <c r="O9" s="160">
        <f t="shared" si="3"/>
        <v>3475810.5082906308</v>
      </c>
      <c r="P9" s="163">
        <f t="shared" si="4"/>
        <v>3627792.7728084014</v>
      </c>
      <c r="Q9" s="104">
        <f>N9+(0.25*VLOOKUP($B$3:$B$210,'Potentialer og krav'!$B$2:$C$209,2,FALSE))</f>
        <v>3906324.1297814823</v>
      </c>
      <c r="R9" s="53">
        <f>O9+(0.25*VLOOKUP($B$3:$B$210,'Potentialer og krav'!$B$2:$C$209,2,FALSE))</f>
        <v>4286793.0082906308</v>
      </c>
      <c r="S9" s="104">
        <f>P9+(0.25*VLOOKUP($B$3:$B$210,'Potentialer og krav'!$B$2:$C$209,2,FALSE))</f>
        <v>4438775.2728084009</v>
      </c>
      <c r="T9" s="84">
        <v>2764182</v>
      </c>
      <c r="U9" s="92">
        <f t="shared" si="5"/>
        <v>2805644.7299999995</v>
      </c>
      <c r="W9" s="70">
        <f t="shared" si="6"/>
        <v>5.3984757212246041E-2</v>
      </c>
      <c r="X9" s="73">
        <f t="shared" si="7"/>
        <v>0.12750432428642958</v>
      </c>
      <c r="Y9" s="62">
        <f t="shared" si="8"/>
        <v>0</v>
      </c>
      <c r="Z9" s="73">
        <f t="shared" si="9"/>
        <v>0.23203547058901525</v>
      </c>
      <c r="AA9" s="62">
        <f t="shared" si="10"/>
        <v>0.2941255739087974</v>
      </c>
      <c r="AB9" s="64">
        <f t="shared" si="11"/>
        <v>0.29234987400351181</v>
      </c>
      <c r="AC9" s="62"/>
      <c r="AD9" s="145">
        <f t="shared" si="12"/>
        <v>0.58647544791230921</v>
      </c>
      <c r="AF9" s="57">
        <f>W$212-W9</f>
        <v>6.4688648380671787E-2</v>
      </c>
      <c r="AG9" s="60">
        <f>X$212-X9</f>
        <v>0.16229367283663856</v>
      </c>
      <c r="AH9" s="83">
        <f>Y$212-Y9</f>
        <v>4.91945139363381E-2</v>
      </c>
      <c r="AI9" s="60">
        <f>Z$212-Z9</f>
        <v>-6.9626778873441153E-4</v>
      </c>
      <c r="AJ9" s="83">
        <f>AA$212-AA9</f>
        <v>-0.14548066054263398</v>
      </c>
      <c r="AK9" s="76">
        <f>AB$212-AB9</f>
        <v>-0.12999990682228035</v>
      </c>
      <c r="AL9" s="108"/>
      <c r="AM9" s="57">
        <f>$AD$212-AD9</f>
        <v>-0.27548056736491422</v>
      </c>
      <c r="AN9" s="106">
        <f>IF(AM9&lt;$AD$215,(AM9-$AD$215)*0.5683,0)</f>
        <v>-9.6879805003267705E-2</v>
      </c>
    </row>
    <row r="10" spans="1:40" x14ac:dyDescent="0.25">
      <c r="A10" s="17" t="s">
        <v>145</v>
      </c>
      <c r="B10" s="90" t="s">
        <v>146</v>
      </c>
      <c r="C10" s="88">
        <f>VLOOKUP($B$3:$B$210,Costdrivere!$B$3:$H$211,2,FALSE)</f>
        <v>0</v>
      </c>
      <c r="D10" s="46">
        <f>VLOOKUP($B$3:$B$210,Costdrivere!$B$3:$H$211,3,FALSE)</f>
        <v>0</v>
      </c>
      <c r="E10" s="23">
        <f>VLOOKUP($B$3:$B$210,Costdrivere!$B$3:$H$211,4,FALSE)</f>
        <v>0</v>
      </c>
      <c r="F10" s="46">
        <f>VLOOKUP($B$3:$B$210,Costdrivere!$B$3:$H$211,5,FALSE)</f>
        <v>242820</v>
      </c>
      <c r="G10" s="23">
        <f>VLOOKUP($B$3:$B$210,Costdrivere!$B$3:$H$211,6,FALSE)</f>
        <v>316549.80000000005</v>
      </c>
      <c r="H10" s="93">
        <f>VLOOKUP($B$3:$B$210,Costdrivere!$B$3:$H$211,7,FALSE)</f>
        <v>355625.2</v>
      </c>
      <c r="I10" s="27">
        <v>28.054370895395305</v>
      </c>
      <c r="J10" s="20">
        <f>VLOOKUP($B$3:$B$210,Costdrivere!$B$3:$I$211,8,FALSE)</f>
        <v>3.9566666666666667E-2</v>
      </c>
      <c r="K10" s="74">
        <f t="shared" si="1"/>
        <v>914995</v>
      </c>
      <c r="L10" s="89">
        <f t="shared" si="13"/>
        <v>988175.08875377988</v>
      </c>
      <c r="M10" s="167">
        <f t="shared" si="2"/>
        <v>1140898.9695453334</v>
      </c>
      <c r="N10" s="74">
        <f>K10+VLOOKUP($B$3:$B$210,'Potentialer og krav'!$B$2:$F$209,5,FALSE)</f>
        <v>914995</v>
      </c>
      <c r="O10" s="160">
        <f t="shared" si="3"/>
        <v>988175.08875377988</v>
      </c>
      <c r="P10" s="163">
        <f t="shared" si="4"/>
        <v>1140898.9695453334</v>
      </c>
      <c r="Q10" s="104">
        <f>N10+(0.25*VLOOKUP($B$3:$B$210,'Potentialer og krav'!$B$2:$C$209,2,FALSE))</f>
        <v>1267874.25</v>
      </c>
      <c r="R10" s="53">
        <f>O10+(0.25*VLOOKUP($B$3:$B$210,'Potentialer og krav'!$B$2:$C$209,2,FALSE))</f>
        <v>1341054.3387537799</v>
      </c>
      <c r="S10" s="104">
        <f>P10+(0.25*VLOOKUP($B$3:$B$210,'Potentialer og krav'!$B$2:$C$209,2,FALSE))</f>
        <v>1493778.2195453334</v>
      </c>
      <c r="T10" s="84">
        <v>1494749</v>
      </c>
      <c r="U10" s="92">
        <f t="shared" si="5"/>
        <v>1517170.2349999999</v>
      </c>
      <c r="W10" s="70">
        <f t="shared" si="6"/>
        <v>0</v>
      </c>
      <c r="X10" s="73">
        <f t="shared" si="7"/>
        <v>0</v>
      </c>
      <c r="Y10" s="62">
        <f t="shared" si="8"/>
        <v>0</v>
      </c>
      <c r="Z10" s="73">
        <f t="shared" si="9"/>
        <v>0.26537849933606195</v>
      </c>
      <c r="AA10" s="62">
        <f t="shared" si="10"/>
        <v>0.34595795605440471</v>
      </c>
      <c r="AB10" s="64">
        <f t="shared" si="11"/>
        <v>0.3886635446095334</v>
      </c>
      <c r="AC10" s="62"/>
      <c r="AD10" s="145">
        <f t="shared" si="12"/>
        <v>0.73462150066393805</v>
      </c>
      <c r="AF10" s="57">
        <f>W$212-W10</f>
        <v>0.11867340559291784</v>
      </c>
      <c r="AG10" s="60">
        <f>X$212-X10</f>
        <v>0.28979799712306814</v>
      </c>
      <c r="AH10" s="83">
        <f>Y$212-Y10</f>
        <v>4.91945139363381E-2</v>
      </c>
      <c r="AI10" s="60">
        <f>Z$212-Z10</f>
        <v>-3.4039296535781111E-2</v>
      </c>
      <c r="AJ10" s="83">
        <f>AA$212-AA10</f>
        <v>-0.19731304268824129</v>
      </c>
      <c r="AK10" s="76">
        <f>AB$212-AB10</f>
        <v>-0.22631357742830194</v>
      </c>
      <c r="AL10" s="108"/>
      <c r="AM10" s="57">
        <f>$AD$212-AD10</f>
        <v>-0.42362662011654306</v>
      </c>
      <c r="AN10" s="106">
        <f>IF(AM10&lt;$AD$215,(AM10-$AD$215)*0.5683,0)</f>
        <v>-0.18107120678201838</v>
      </c>
    </row>
    <row r="11" spans="1:40" x14ac:dyDescent="0.25">
      <c r="A11" s="17" t="s">
        <v>115</v>
      </c>
      <c r="B11" s="90" t="s">
        <v>147</v>
      </c>
      <c r="C11" s="88">
        <f>VLOOKUP($B$3:$B$210,Costdrivere!$B$3:$H$211,2,FALSE)</f>
        <v>331249.69333888224</v>
      </c>
      <c r="D11" s="46">
        <f>VLOOKUP($B$3:$B$210,Costdrivere!$B$3:$H$211,3,FALSE)</f>
        <v>861858.16</v>
      </c>
      <c r="E11" s="23">
        <f>VLOOKUP($B$3:$B$210,Costdrivere!$B$3:$H$211,4,FALSE)</f>
        <v>204860</v>
      </c>
      <c r="F11" s="46">
        <f>VLOOKUP($B$3:$B$210,Costdrivere!$B$3:$H$211,5,FALSE)</f>
        <v>1153561</v>
      </c>
      <c r="G11" s="23">
        <f>VLOOKUP($B$3:$B$210,Costdrivere!$B$3:$H$211,6,FALSE)</f>
        <v>529125.79999999993</v>
      </c>
      <c r="H11" s="93">
        <f>VLOOKUP($B$3:$B$210,Costdrivere!$B$3:$H$211,7,FALSE)</f>
        <v>418241.60000000003</v>
      </c>
      <c r="I11" s="27">
        <v>38.259706746259219</v>
      </c>
      <c r="J11" s="20">
        <f>VLOOKUP($B$3:$B$210,Costdrivere!$B$3:$I$211,8,FALSE)</f>
        <v>4.3624999999999997E-2</v>
      </c>
      <c r="K11" s="74">
        <f t="shared" si="1"/>
        <v>3498896.2533388822</v>
      </c>
      <c r="L11" s="89">
        <f t="shared" si="13"/>
        <v>4421466.7482598107</v>
      </c>
      <c r="M11" s="167">
        <f t="shared" si="2"/>
        <v>4555062.5796829974</v>
      </c>
      <c r="N11" s="74">
        <f>K11+VLOOKUP($B$3:$B$210,'Potentialer og krav'!$B$2:$F$209,5,FALSE)</f>
        <v>3498896.2533388822</v>
      </c>
      <c r="O11" s="160">
        <f t="shared" si="3"/>
        <v>4421466.7482598107</v>
      </c>
      <c r="P11" s="163">
        <f t="shared" si="4"/>
        <v>4555062.5796829974</v>
      </c>
      <c r="Q11" s="104">
        <f>N11+(0.25*VLOOKUP($B$3:$B$210,'Potentialer og krav'!$B$2:$C$209,2,FALSE))</f>
        <v>4261741.5033388827</v>
      </c>
      <c r="R11" s="53">
        <f>O11+(0.25*VLOOKUP($B$3:$B$210,'Potentialer og krav'!$B$2:$C$209,2,FALSE))</f>
        <v>5184311.9982598107</v>
      </c>
      <c r="S11" s="104">
        <f>P11+(0.25*VLOOKUP($B$3:$B$210,'Potentialer og krav'!$B$2:$C$209,2,FALSE))</f>
        <v>5317907.8296829974</v>
      </c>
      <c r="T11" s="84">
        <v>2775601</v>
      </c>
      <c r="U11" s="92">
        <f t="shared" si="5"/>
        <v>2817235.0149999997</v>
      </c>
      <c r="W11" s="70">
        <f t="shared" si="6"/>
        <v>9.4672625123646201E-2</v>
      </c>
      <c r="X11" s="73">
        <f t="shared" si="7"/>
        <v>0.24632286801232159</v>
      </c>
      <c r="Y11" s="62">
        <f t="shared" si="8"/>
        <v>5.8549892642432252E-2</v>
      </c>
      <c r="Z11" s="73">
        <f t="shared" si="9"/>
        <v>0.32969282781654202</v>
      </c>
      <c r="AA11" s="62">
        <f t="shared" si="10"/>
        <v>0.15122649020961182</v>
      </c>
      <c r="AB11" s="64">
        <f t="shared" si="11"/>
        <v>0.11953529619544614</v>
      </c>
      <c r="AC11" s="62"/>
      <c r="AD11" s="145">
        <f t="shared" si="12"/>
        <v>0.27076178640505799</v>
      </c>
      <c r="AF11" s="57">
        <f>W$212-W11</f>
        <v>2.4000780469271635E-2</v>
      </c>
      <c r="AG11" s="60">
        <f>X$212-X11</f>
        <v>4.3475129110746552E-2</v>
      </c>
      <c r="AH11" s="83">
        <f>Y$212-Y11</f>
        <v>-9.3553787060941529E-3</v>
      </c>
      <c r="AI11" s="60">
        <f>Z$212-Z11</f>
        <v>-9.8353625016261187E-2</v>
      </c>
      <c r="AJ11" s="83">
        <f>AA$212-AA11</f>
        <v>-2.5815768434483966E-3</v>
      </c>
      <c r="AK11" s="76">
        <f>AB$212-AB11</f>
        <v>4.2814670985785314E-2</v>
      </c>
      <c r="AL11" s="108"/>
      <c r="AM11" s="57">
        <f>$AD$212-AD11</f>
        <v>4.0233094142337E-2</v>
      </c>
      <c r="AN11" s="106">
        <f>IF(AM11&lt;$AD$215,(AM11-$AD$215)*0.5683,0)</f>
        <v>0</v>
      </c>
    </row>
    <row r="12" spans="1:40" x14ac:dyDescent="0.25">
      <c r="A12" s="17" t="s">
        <v>148</v>
      </c>
      <c r="B12" s="90" t="s">
        <v>149</v>
      </c>
      <c r="C12" s="88">
        <f>VLOOKUP($B$3:$B$210,Costdrivere!$B$3:$H$211,2,FALSE)</f>
        <v>217777.82658844712</v>
      </c>
      <c r="D12" s="46">
        <f>VLOOKUP($B$3:$B$210,Costdrivere!$B$3:$H$211,3,FALSE)</f>
        <v>549573.29500000004</v>
      </c>
      <c r="E12" s="23">
        <f>VLOOKUP($B$3:$B$210,Costdrivere!$B$3:$H$211,4,FALSE)</f>
        <v>0</v>
      </c>
      <c r="F12" s="46">
        <f>VLOOKUP($B$3:$B$210,Costdrivere!$B$3:$H$211,5,FALSE)</f>
        <v>169974</v>
      </c>
      <c r="G12" s="23">
        <f>VLOOKUP($B$3:$B$210,Costdrivere!$B$3:$H$211,6,FALSE)</f>
        <v>160923</v>
      </c>
      <c r="H12" s="93">
        <f>VLOOKUP($B$3:$B$210,Costdrivere!$B$3:$H$211,7,FALSE)</f>
        <v>179460.40000000002</v>
      </c>
      <c r="I12" s="27">
        <v>42.24040958775219</v>
      </c>
      <c r="J12" s="20">
        <f>VLOOKUP($B$3:$B$210,Costdrivere!$B$3:$I$211,8,FALSE)</f>
        <v>2.8523809523809524E-2</v>
      </c>
      <c r="K12" s="74">
        <f t="shared" si="1"/>
        <v>1277708.521588447</v>
      </c>
      <c r="L12" s="89">
        <f t="shared" si="13"/>
        <v>1706159.1630551883</v>
      </c>
      <c r="M12" s="167">
        <f t="shared" si="2"/>
        <v>1402063.3895931935</v>
      </c>
      <c r="N12" s="74">
        <f>K12+VLOOKUP($B$3:$B$210,'Potentialer og krav'!$B$2:$F$209,5,FALSE)</f>
        <v>1277708.521588447</v>
      </c>
      <c r="O12" s="160">
        <f t="shared" si="3"/>
        <v>1706159.1630551883</v>
      </c>
      <c r="P12" s="163">
        <f t="shared" si="4"/>
        <v>1402063.3895931935</v>
      </c>
      <c r="Q12" s="104">
        <f>N12+(0.25*VLOOKUP($B$3:$B$210,'Potentialer og krav'!$B$2:$C$209,2,FALSE))</f>
        <v>1590354.021588447</v>
      </c>
      <c r="R12" s="53">
        <f>O12+(0.25*VLOOKUP($B$3:$B$210,'Potentialer og krav'!$B$2:$C$209,2,FALSE))</f>
        <v>2018804.6630551883</v>
      </c>
      <c r="S12" s="104">
        <f>P12+(0.25*VLOOKUP($B$3:$B$210,'Potentialer og krav'!$B$2:$C$209,2,FALSE))</f>
        <v>1714708.8895931935</v>
      </c>
      <c r="T12" s="84">
        <v>1290053</v>
      </c>
      <c r="U12" s="92">
        <f t="shared" si="5"/>
        <v>1309403.7949999999</v>
      </c>
      <c r="W12" s="70">
        <f t="shared" si="6"/>
        <v>0.17044405896088552</v>
      </c>
      <c r="X12" s="73">
        <f t="shared" si="7"/>
        <v>0.43012415250762404</v>
      </c>
      <c r="Y12" s="62">
        <f t="shared" si="8"/>
        <v>0</v>
      </c>
      <c r="Z12" s="73">
        <f t="shared" si="9"/>
        <v>0.13303034074523379</v>
      </c>
      <c r="AA12" s="62">
        <f t="shared" si="10"/>
        <v>0.12594656549675395</v>
      </c>
      <c r="AB12" s="64">
        <f t="shared" si="11"/>
        <v>0.14045488228950284</v>
      </c>
      <c r="AC12" s="62"/>
      <c r="AD12" s="145">
        <f t="shared" si="12"/>
        <v>0.2664014477862568</v>
      </c>
      <c r="AF12" s="57">
        <f>W$212-W12</f>
        <v>-5.1770653367967684E-2</v>
      </c>
      <c r="AG12" s="60">
        <f>X$212-X12</f>
        <v>-0.1403261553845559</v>
      </c>
      <c r="AH12" s="83">
        <f>Y$212-Y12</f>
        <v>4.91945139363381E-2</v>
      </c>
      <c r="AI12" s="60">
        <f>Z$212-Z12</f>
        <v>9.8308862055047047E-2</v>
      </c>
      <c r="AJ12" s="83">
        <f>AA$212-AA12</f>
        <v>2.2698347869409469E-2</v>
      </c>
      <c r="AK12" s="76">
        <f>AB$212-AB12</f>
        <v>2.1895084891728617E-2</v>
      </c>
      <c r="AL12" s="108"/>
      <c r="AM12" s="57">
        <f>$AD$212-AD12</f>
        <v>4.4593432761138196E-2</v>
      </c>
      <c r="AN12" s="106">
        <f>IF(AM12&lt;$AD$215,(AM12-$AD$215)*0.5683,0)</f>
        <v>0</v>
      </c>
    </row>
    <row r="13" spans="1:40" x14ac:dyDescent="0.25">
      <c r="A13" s="17" t="s">
        <v>116</v>
      </c>
      <c r="B13" s="90" t="s">
        <v>150</v>
      </c>
      <c r="C13" s="88">
        <f>VLOOKUP($B$3:$B$210,Costdrivere!$B$3:$H$211,2,FALSE)</f>
        <v>158234.74933155961</v>
      </c>
      <c r="D13" s="46">
        <f>VLOOKUP($B$3:$B$210,Costdrivere!$B$3:$H$211,3,FALSE)</f>
        <v>390129.85800000001</v>
      </c>
      <c r="E13" s="23">
        <f>VLOOKUP($B$3:$B$210,Costdrivere!$B$3:$H$211,4,FALSE)</f>
        <v>35453</v>
      </c>
      <c r="F13" s="46">
        <f>VLOOKUP($B$3:$B$210,Costdrivere!$B$3:$H$211,5,FALSE)</f>
        <v>129504</v>
      </c>
      <c r="G13" s="23">
        <f>VLOOKUP($B$3:$B$210,Costdrivere!$B$3:$H$211,6,FALSE)</f>
        <v>121948.40000000001</v>
      </c>
      <c r="H13" s="93">
        <f>VLOOKUP($B$3:$B$210,Costdrivere!$B$3:$H$211,7,FALSE)</f>
        <v>134520.40000000002</v>
      </c>
      <c r="I13" s="27">
        <v>25.540587561469039</v>
      </c>
      <c r="J13" s="20">
        <f>VLOOKUP($B$3:$B$210,Costdrivere!$B$3:$I$211,8,FALSE)</f>
        <v>2.8062500000000001E-2</v>
      </c>
      <c r="K13" s="74">
        <f t="shared" si="1"/>
        <v>969790.40733155969</v>
      </c>
      <c r="L13" s="89">
        <f t="shared" si="13"/>
        <v>1003471.7868806865</v>
      </c>
      <c r="M13" s="167">
        <f t="shared" si="2"/>
        <v>1058117.4629457071</v>
      </c>
      <c r="N13" s="74">
        <f>K13+VLOOKUP($B$3:$B$210,'Potentialer og krav'!$B$2:$F$209,5,FALSE)</f>
        <v>969790.40733155969</v>
      </c>
      <c r="O13" s="160">
        <f t="shared" si="3"/>
        <v>1003471.7868806865</v>
      </c>
      <c r="P13" s="163">
        <f t="shared" si="4"/>
        <v>1058117.4629457071</v>
      </c>
      <c r="Q13" s="104">
        <f>N13+(0.25*VLOOKUP($B$3:$B$210,'Potentialer og krav'!$B$2:$C$209,2,FALSE))</f>
        <v>1238773.6573315598</v>
      </c>
      <c r="R13" s="53">
        <f>O13+(0.25*VLOOKUP($B$3:$B$210,'Potentialer og krav'!$B$2:$C$209,2,FALSE))</f>
        <v>1272455.0368806864</v>
      </c>
      <c r="S13" s="104">
        <f>P13+(0.25*VLOOKUP($B$3:$B$210,'Potentialer og krav'!$B$2:$C$209,2,FALSE))</f>
        <v>1327100.7129457071</v>
      </c>
      <c r="T13" s="84">
        <v>782094</v>
      </c>
      <c r="U13" s="92">
        <f t="shared" si="5"/>
        <v>793825.40999999992</v>
      </c>
      <c r="W13" s="70">
        <f t="shared" si="6"/>
        <v>0.16316386317632553</v>
      </c>
      <c r="X13" s="73">
        <f t="shared" si="7"/>
        <v>0.40228265308734829</v>
      </c>
      <c r="Y13" s="62">
        <f t="shared" si="8"/>
        <v>3.6557383669685077E-2</v>
      </c>
      <c r="Z13" s="73">
        <f t="shared" si="9"/>
        <v>0.13353813259128694</v>
      </c>
      <c r="AA13" s="62">
        <f t="shared" si="10"/>
        <v>0.12574717080935954</v>
      </c>
      <c r="AB13" s="64">
        <f t="shared" si="11"/>
        <v>0.13871079666599456</v>
      </c>
      <c r="AC13" s="62"/>
      <c r="AD13" s="145">
        <f t="shared" si="12"/>
        <v>0.26445796747535411</v>
      </c>
      <c r="AF13" s="57">
        <f>W$212-W13</f>
        <v>-4.4490457583407694E-2</v>
      </c>
      <c r="AG13" s="60">
        <f>X$212-X13</f>
        <v>-0.11248465596428014</v>
      </c>
      <c r="AH13" s="83">
        <f>Y$212-Y13</f>
        <v>1.2637130266653022E-2</v>
      </c>
      <c r="AI13" s="60">
        <f>Z$212-Z13</f>
        <v>9.7801070208993895E-2</v>
      </c>
      <c r="AJ13" s="83">
        <f>AA$212-AA13</f>
        <v>2.2897742556803879E-2</v>
      </c>
      <c r="AK13" s="76">
        <f>AB$212-AB13</f>
        <v>2.3639170515236896E-2</v>
      </c>
      <c r="AL13" s="108"/>
      <c r="AM13" s="57">
        <f>$AD$212-AD13</f>
        <v>4.6536913072040886E-2</v>
      </c>
      <c r="AN13" s="106">
        <f>IF(AM13&lt;$AD$215,(AM13-$AD$215)*0.5683,0)</f>
        <v>0</v>
      </c>
    </row>
    <row r="14" spans="1:40" x14ac:dyDescent="0.25">
      <c r="A14" s="17" t="s">
        <v>151</v>
      </c>
      <c r="B14" s="90" t="s">
        <v>152</v>
      </c>
      <c r="C14" s="88">
        <f>VLOOKUP($B$3:$B$210,Costdrivere!$B$3:$H$211,2,FALSE)</f>
        <v>350399.95419133682</v>
      </c>
      <c r="D14" s="46">
        <f>VLOOKUP($B$3:$B$210,Costdrivere!$B$3:$H$211,3,FALSE)</f>
        <v>860246.77300000004</v>
      </c>
      <c r="E14" s="23">
        <f>VLOOKUP($B$3:$B$210,Costdrivere!$B$3:$H$211,4,FALSE)</f>
        <v>35453</v>
      </c>
      <c r="F14" s="46">
        <f>VLOOKUP($B$3:$B$210,Costdrivere!$B$3:$H$211,5,FALSE)</f>
        <v>643473</v>
      </c>
      <c r="G14" s="23">
        <f>VLOOKUP($B$3:$B$210,Costdrivere!$B$3:$H$211,6,FALSE)</f>
        <v>187404.00000000003</v>
      </c>
      <c r="H14" s="93">
        <f>VLOOKUP($B$3:$B$210,Costdrivere!$B$3:$H$211,7,FALSE)</f>
        <v>213315.20000000001</v>
      </c>
      <c r="I14" s="27">
        <v>30.297565193755968</v>
      </c>
      <c r="J14" s="20">
        <f>VLOOKUP($B$3:$B$210,Costdrivere!$B$3:$I$211,8,FALSE)</f>
        <v>8.9559748427672954E-3</v>
      </c>
      <c r="K14" s="74">
        <f t="shared" si="1"/>
        <v>2290291.9271913371</v>
      </c>
      <c r="L14" s="89">
        <f t="shared" si="13"/>
        <v>2565942.6997176441</v>
      </c>
      <c r="M14" s="167">
        <f t="shared" si="2"/>
        <v>1906209.3372098731</v>
      </c>
      <c r="N14" s="74">
        <f>K14+VLOOKUP($B$3:$B$210,'Potentialer og krav'!$B$2:$F$209,5,FALSE)</f>
        <v>2290291.9271913371</v>
      </c>
      <c r="O14" s="160">
        <f t="shared" si="3"/>
        <v>2565942.6997176441</v>
      </c>
      <c r="P14" s="163">
        <f t="shared" si="4"/>
        <v>1906209.3372098731</v>
      </c>
      <c r="Q14" s="104">
        <f>N14+(0.25*VLOOKUP($B$3:$B$210,'Potentialer og krav'!$B$2:$C$209,2,FALSE))</f>
        <v>2652747.4271913371</v>
      </c>
      <c r="R14" s="53">
        <f>O14+(0.25*VLOOKUP($B$3:$B$210,'Potentialer og krav'!$B$2:$C$209,2,FALSE))</f>
        <v>2928398.1997176441</v>
      </c>
      <c r="S14" s="104">
        <f>P14+(0.25*VLOOKUP($B$3:$B$210,'Potentialer og krav'!$B$2:$C$209,2,FALSE))</f>
        <v>2268664.8372098729</v>
      </c>
      <c r="T14" s="84">
        <v>930952</v>
      </c>
      <c r="U14" s="92">
        <f t="shared" si="5"/>
        <v>944916.27999999991</v>
      </c>
      <c r="W14" s="70">
        <f t="shared" si="6"/>
        <v>0.15299357694590671</v>
      </c>
      <c r="X14" s="73">
        <f t="shared" si="7"/>
        <v>0.37560573077465714</v>
      </c>
      <c r="Y14" s="62">
        <f t="shared" si="8"/>
        <v>1.5479686051846334E-2</v>
      </c>
      <c r="Z14" s="73">
        <f t="shared" si="9"/>
        <v>0.2809567602978511</v>
      </c>
      <c r="AA14" s="62">
        <f t="shared" si="10"/>
        <v>8.1825376832996108E-2</v>
      </c>
      <c r="AB14" s="64">
        <f t="shared" si="11"/>
        <v>9.3138869096742488E-2</v>
      </c>
      <c r="AC14" s="62"/>
      <c r="AD14" s="145">
        <f t="shared" si="12"/>
        <v>0.17496424592973858</v>
      </c>
      <c r="AF14" s="57">
        <f>W$212-W14</f>
        <v>-3.4320171352988871E-2</v>
      </c>
      <c r="AG14" s="60">
        <f>X$212-X14</f>
        <v>-8.5807733651589002E-2</v>
      </c>
      <c r="AH14" s="83">
        <f>Y$212-Y14</f>
        <v>3.3714827884491767E-2</v>
      </c>
      <c r="AI14" s="60">
        <f>Z$212-Z14</f>
        <v>-4.9617557497570269E-2</v>
      </c>
      <c r="AJ14" s="83">
        <f>AA$212-AA14</f>
        <v>6.6819536533167315E-2</v>
      </c>
      <c r="AK14" s="76">
        <f>AB$212-AB14</f>
        <v>6.921109808448897E-2</v>
      </c>
      <c r="AL14" s="108"/>
      <c r="AM14" s="57">
        <f>$AD$212-AD14</f>
        <v>0.13603063461765641</v>
      </c>
      <c r="AN14" s="106">
        <f>IF(AM14&lt;$AD$215,(AM14-$AD$215)*0.5683,0)</f>
        <v>0</v>
      </c>
    </row>
    <row r="15" spans="1:40" x14ac:dyDescent="0.25">
      <c r="A15" s="17" t="s">
        <v>153</v>
      </c>
      <c r="B15" s="90" t="s">
        <v>154</v>
      </c>
      <c r="C15" s="88">
        <f>VLOOKUP($B$3:$B$210,Costdrivere!$B$3:$H$211,2,FALSE)</f>
        <v>134022.15157849583</v>
      </c>
      <c r="D15" s="46">
        <f>VLOOKUP($B$3:$B$210,Costdrivere!$B$3:$H$211,3,FALSE)</f>
        <v>322780.65600000002</v>
      </c>
      <c r="E15" s="23">
        <f>VLOOKUP($B$3:$B$210,Costdrivere!$B$3:$H$211,4,FALSE)</f>
        <v>35453</v>
      </c>
      <c r="F15" s="46">
        <f>VLOOKUP($B$3:$B$210,Costdrivere!$B$3:$H$211,5,FALSE)</f>
        <v>424935</v>
      </c>
      <c r="G15" s="23">
        <f>VLOOKUP($B$3:$B$210,Costdrivere!$B$3:$H$211,6,FALSE)</f>
        <v>235205.6</v>
      </c>
      <c r="H15" s="93">
        <f>VLOOKUP($B$3:$B$210,Costdrivere!$B$3:$H$211,7,FALSE)</f>
        <v>260352.40000000002</v>
      </c>
      <c r="I15" s="27">
        <v>32.974642909985405</v>
      </c>
      <c r="J15" s="20">
        <f>VLOOKUP($B$3:$B$210,Costdrivere!$B$3:$I$211,8,FALSE)</f>
        <v>1.6552380952380954E-2</v>
      </c>
      <c r="K15" s="74">
        <f t="shared" si="1"/>
        <v>1412748.8075784957</v>
      </c>
      <c r="L15" s="89">
        <f t="shared" si="13"/>
        <v>1650858.5384829892</v>
      </c>
      <c r="M15" s="167">
        <f t="shared" si="2"/>
        <v>1321182.1259885712</v>
      </c>
      <c r="N15" s="74">
        <f>K15+VLOOKUP($B$3:$B$210,'Potentialer og krav'!$B$2:$F$209,5,FALSE)</f>
        <v>1417322.8075784957</v>
      </c>
      <c r="O15" s="160">
        <f t="shared" si="3"/>
        <v>1656203.4567830539</v>
      </c>
      <c r="P15" s="163">
        <f t="shared" si="4"/>
        <v>1325459.6642259809</v>
      </c>
      <c r="Q15" s="104">
        <f>N15+(0.25*VLOOKUP($B$3:$B$210,'Potentialer og krav'!$B$2:$C$209,2,FALSE))</f>
        <v>1736456.3075784957</v>
      </c>
      <c r="R15" s="53">
        <f>O15+(0.25*VLOOKUP($B$3:$B$210,'Potentialer og krav'!$B$2:$C$209,2,FALSE))</f>
        <v>1975336.9567830539</v>
      </c>
      <c r="S15" s="104">
        <f>P15+(0.25*VLOOKUP($B$3:$B$210,'Potentialer og krav'!$B$2:$C$209,2,FALSE))</f>
        <v>1644593.1642259809</v>
      </c>
      <c r="T15" s="84">
        <v>854971</v>
      </c>
      <c r="U15" s="92">
        <f t="shared" si="5"/>
        <v>867795.56499999994</v>
      </c>
      <c r="W15" s="70">
        <f t="shared" si="6"/>
        <v>9.4866228772979691E-2</v>
      </c>
      <c r="X15" s="73">
        <f t="shared" si="7"/>
        <v>0.22847703304967437</v>
      </c>
      <c r="Y15" s="62">
        <f t="shared" si="8"/>
        <v>2.5095048610069448E-2</v>
      </c>
      <c r="Z15" s="73">
        <f t="shared" si="9"/>
        <v>0.30078595552195475</v>
      </c>
      <c r="AA15" s="62">
        <f t="shared" si="10"/>
        <v>0.16648791259866727</v>
      </c>
      <c r="AB15" s="64">
        <f t="shared" si="11"/>
        <v>0.18428782144665462</v>
      </c>
      <c r="AC15" s="62"/>
      <c r="AD15" s="145">
        <f t="shared" si="12"/>
        <v>0.35077573404532192</v>
      </c>
      <c r="AF15" s="57">
        <f>W$212-W15</f>
        <v>2.3807176819938144E-2</v>
      </c>
      <c r="AG15" s="60">
        <f>X$212-X15</f>
        <v>6.1320964073393769E-2</v>
      </c>
      <c r="AH15" s="83">
        <f>Y$212-Y15</f>
        <v>2.4099465326268651E-2</v>
      </c>
      <c r="AI15" s="60">
        <f>Z$212-Z15</f>
        <v>-6.9446752721673916E-2</v>
      </c>
      <c r="AJ15" s="83">
        <f>AA$212-AA15</f>
        <v>-1.7842999232503848E-2</v>
      </c>
      <c r="AK15" s="76">
        <f>AB$212-AB15</f>
        <v>-2.1937854265423162E-2</v>
      </c>
      <c r="AL15" s="108"/>
      <c r="AM15" s="57">
        <f>$AD$212-AD15</f>
        <v>-3.9780853497926927E-2</v>
      </c>
      <c r="AN15" s="106">
        <f>IF(AM15&lt;$AD$215,(AM15-$AD$215)*0.5683,0)</f>
        <v>0</v>
      </c>
    </row>
    <row r="16" spans="1:40" x14ac:dyDescent="0.25">
      <c r="A16" s="17" t="s">
        <v>155</v>
      </c>
      <c r="B16" s="90" t="s">
        <v>156</v>
      </c>
      <c r="C16" s="88">
        <f>VLOOKUP($B$3:$B$210,Costdrivere!$B$3:$H$211,2,FALSE)</f>
        <v>759186.11168942356</v>
      </c>
      <c r="D16" s="46">
        <f>VLOOKUP($B$3:$B$210,Costdrivere!$B$3:$H$211,3,FALSE)</f>
        <v>2066490.111</v>
      </c>
      <c r="E16" s="23">
        <f>VLOOKUP($B$3:$B$210,Costdrivere!$B$3:$H$211,4,FALSE)</f>
        <v>1026412</v>
      </c>
      <c r="F16" s="46">
        <f>VLOOKUP($B$3:$B$210,Costdrivere!$B$3:$H$211,5,FALSE)</f>
        <v>1044126</v>
      </c>
      <c r="G16" s="23">
        <f>VLOOKUP($B$3:$B$210,Costdrivere!$B$3:$H$211,6,FALSE)</f>
        <v>991204.20000000007</v>
      </c>
      <c r="H16" s="93">
        <f>VLOOKUP($B$3:$B$210,Costdrivere!$B$3:$H$211,7,FALSE)</f>
        <v>1047551.4</v>
      </c>
      <c r="I16" s="27">
        <v>31.1012681840526</v>
      </c>
      <c r="J16" s="20">
        <f>VLOOKUP($B$3:$B$210,Costdrivere!$B$3:$I$211,8,FALSE)</f>
        <v>2.7104651162790698E-2</v>
      </c>
      <c r="K16" s="74">
        <f t="shared" si="1"/>
        <v>6934969.8226894243</v>
      </c>
      <c r="L16" s="89">
        <f t="shared" si="13"/>
        <v>7869962.0615143776</v>
      </c>
      <c r="M16" s="167">
        <f t="shared" si="2"/>
        <v>7476628.3824228365</v>
      </c>
      <c r="N16" s="74">
        <f>K16+VLOOKUP($B$3:$B$210,'Potentialer og krav'!$B$2:$F$209,5,FALSE)</f>
        <v>6934969.8226894243</v>
      </c>
      <c r="O16" s="160">
        <f t="shared" si="3"/>
        <v>7869962.0615143776</v>
      </c>
      <c r="P16" s="163">
        <f t="shared" si="4"/>
        <v>7476628.3824228365</v>
      </c>
      <c r="Q16" s="104">
        <f>N16+(0.25*VLOOKUP($B$3:$B$210,'Potentialer og krav'!$B$2:$C$209,2,FALSE))</f>
        <v>8887739.8226894252</v>
      </c>
      <c r="R16" s="53">
        <f>O16+(0.25*VLOOKUP($B$3:$B$210,'Potentialer og krav'!$B$2:$C$209,2,FALSE))</f>
        <v>9822732.0615143776</v>
      </c>
      <c r="S16" s="104">
        <f>P16+(0.25*VLOOKUP($B$3:$B$210,'Potentialer og krav'!$B$2:$C$209,2,FALSE))</f>
        <v>9429398.3824228365</v>
      </c>
      <c r="T16" s="84">
        <v>7059766</v>
      </c>
      <c r="U16" s="92">
        <f t="shared" si="5"/>
        <v>7165662.4899999993</v>
      </c>
      <c r="W16" s="70">
        <f t="shared" si="6"/>
        <v>0.10947215793291029</v>
      </c>
      <c r="X16" s="73">
        <f t="shared" si="7"/>
        <v>0.29798112520100373</v>
      </c>
      <c r="Y16" s="62">
        <f t="shared" si="8"/>
        <v>0.14800525831299885</v>
      </c>
      <c r="Z16" s="73">
        <f t="shared" si="9"/>
        <v>0.15055955926208797</v>
      </c>
      <c r="AA16" s="62">
        <f t="shared" si="10"/>
        <v>0.14292840853568486</v>
      </c>
      <c r="AB16" s="64">
        <f t="shared" si="11"/>
        <v>0.15105349075531421</v>
      </c>
      <c r="AC16" s="62"/>
      <c r="AD16" s="145">
        <f t="shared" si="12"/>
        <v>0.29398189929099905</v>
      </c>
      <c r="AF16" s="57">
        <f>W$212-W16</f>
        <v>9.2012476600075443E-3</v>
      </c>
      <c r="AG16" s="60">
        <f>X$212-X16</f>
        <v>-8.1831280779355864E-3</v>
      </c>
      <c r="AH16" s="83">
        <f>Y$212-Y16</f>
        <v>-9.881074437666075E-2</v>
      </c>
      <c r="AI16" s="60">
        <f>Z$212-Z16</f>
        <v>8.0779643538192863E-2</v>
      </c>
      <c r="AJ16" s="83">
        <f>AA$212-AA16</f>
        <v>5.7165048304785582E-3</v>
      </c>
      <c r="AK16" s="76">
        <f>AB$212-AB16</f>
        <v>1.1296476425917246E-2</v>
      </c>
      <c r="AL16" s="108"/>
      <c r="AM16" s="57">
        <f>$AD$212-AD16</f>
        <v>1.7012981256395943E-2</v>
      </c>
      <c r="AN16" s="106">
        <f>IF(AM16&lt;$AD$215,(AM16-$AD$215)*0.5683,0)</f>
        <v>0</v>
      </c>
    </row>
    <row r="17" spans="1:40" x14ac:dyDescent="0.25">
      <c r="A17" s="17" t="s">
        <v>157</v>
      </c>
      <c r="B17" s="90" t="s">
        <v>158</v>
      </c>
      <c r="C17" s="88">
        <f>VLOOKUP($B$3:$B$210,Costdrivere!$B$3:$H$211,2,FALSE)</f>
        <v>157459.55119695858</v>
      </c>
      <c r="D17" s="46">
        <f>VLOOKUP($B$3:$B$210,Costdrivere!$B$3:$H$211,3,FALSE)</f>
        <v>375909.65</v>
      </c>
      <c r="E17" s="23">
        <f>VLOOKUP($B$3:$B$210,Costdrivere!$B$3:$H$211,4,FALSE)</f>
        <v>505225</v>
      </c>
      <c r="F17" s="46">
        <f>VLOOKUP($B$3:$B$210,Costdrivere!$B$3:$H$211,5,FALSE)</f>
        <v>343995</v>
      </c>
      <c r="G17" s="23">
        <f>VLOOKUP($B$3:$B$210,Costdrivere!$B$3:$H$211,6,FALSE)</f>
        <v>254625.00000000003</v>
      </c>
      <c r="H17" s="93">
        <f>VLOOKUP($B$3:$B$210,Costdrivere!$B$3:$H$211,7,FALSE)</f>
        <v>280725.2</v>
      </c>
      <c r="I17" s="27">
        <v>32.044568595605497</v>
      </c>
      <c r="J17" s="20">
        <f>VLOOKUP($B$3:$B$210,Costdrivere!$B$3:$I$211,8,FALSE)</f>
        <v>2.2047058823529413E-2</v>
      </c>
      <c r="K17" s="74">
        <f t="shared" si="1"/>
        <v>1917939.4011969585</v>
      </c>
      <c r="L17" s="89">
        <f t="shared" si="13"/>
        <v>2209086.8883579192</v>
      </c>
      <c r="M17" s="167">
        <f t="shared" si="2"/>
        <v>1936361.9086292372</v>
      </c>
      <c r="N17" s="74">
        <f>K17+VLOOKUP($B$3:$B$210,'Potentialer og krav'!$B$2:$F$209,5,FALSE)</f>
        <v>1917939.4011969585</v>
      </c>
      <c r="O17" s="160">
        <f t="shared" si="3"/>
        <v>2209086.8883579192</v>
      </c>
      <c r="P17" s="163">
        <f t="shared" si="4"/>
        <v>1936361.9086292372</v>
      </c>
      <c r="Q17" s="104">
        <f>N17+(0.25*VLOOKUP($B$3:$B$210,'Potentialer og krav'!$B$2:$C$209,2,FALSE))</f>
        <v>2343089.9011969585</v>
      </c>
      <c r="R17" s="53">
        <f>O17+(0.25*VLOOKUP($B$3:$B$210,'Potentialer og krav'!$B$2:$C$209,2,FALSE))</f>
        <v>2634237.3883579192</v>
      </c>
      <c r="S17" s="104">
        <f>P17+(0.25*VLOOKUP($B$3:$B$210,'Potentialer og krav'!$B$2:$C$209,2,FALSE))</f>
        <v>2361512.4086292372</v>
      </c>
      <c r="T17" s="84">
        <v>1243740</v>
      </c>
      <c r="U17" s="92">
        <f t="shared" si="5"/>
        <v>1262396.0999999999</v>
      </c>
      <c r="W17" s="70">
        <f t="shared" si="6"/>
        <v>8.2098293146639731E-2</v>
      </c>
      <c r="X17" s="73">
        <f t="shared" si="7"/>
        <v>0.19599662521422742</v>
      </c>
      <c r="Y17" s="62">
        <f t="shared" si="8"/>
        <v>0.26342073148124301</v>
      </c>
      <c r="Z17" s="73">
        <f t="shared" si="9"/>
        <v>0.17935655307217613</v>
      </c>
      <c r="AA17" s="62">
        <f t="shared" si="10"/>
        <v>0.13275966896612698</v>
      </c>
      <c r="AB17" s="64">
        <f t="shared" si="11"/>
        <v>0.1463681281195868</v>
      </c>
      <c r="AC17" s="62"/>
      <c r="AD17" s="145">
        <f t="shared" si="12"/>
        <v>0.27912779708571378</v>
      </c>
      <c r="AF17" s="57">
        <f>W$212-W17</f>
        <v>3.6575112446278105E-2</v>
      </c>
      <c r="AG17" s="60">
        <f>X$212-X17</f>
        <v>9.3801371908840719E-2</v>
      </c>
      <c r="AH17" s="83">
        <f>Y$212-Y17</f>
        <v>-0.2142262175449049</v>
      </c>
      <c r="AI17" s="60">
        <f>Z$212-Z17</f>
        <v>5.1982649728104707E-2</v>
      </c>
      <c r="AJ17" s="83">
        <f>AA$212-AA17</f>
        <v>1.5885244400036441E-2</v>
      </c>
      <c r="AK17" s="76">
        <f>AB$212-AB17</f>
        <v>1.5981839061644659E-2</v>
      </c>
      <c r="AL17" s="108"/>
      <c r="AM17" s="57">
        <f>$AD$212-AD17</f>
        <v>3.1867083461681212E-2</v>
      </c>
      <c r="AN17" s="106">
        <f>IF(AM17&lt;$AD$215,(AM17-$AD$215)*0.5683,0)</f>
        <v>0</v>
      </c>
    </row>
    <row r="18" spans="1:40" x14ac:dyDescent="0.25">
      <c r="A18" s="17" t="s">
        <v>159</v>
      </c>
      <c r="B18" s="90" t="s">
        <v>160</v>
      </c>
      <c r="C18" s="88">
        <f>VLOOKUP($B$3:$B$210,Costdrivere!$B$3:$H$211,2,FALSE)</f>
        <v>452793.41755508166</v>
      </c>
      <c r="D18" s="46">
        <f>VLOOKUP($B$3:$B$210,Costdrivere!$B$3:$H$211,3,FALSE)</f>
        <v>1106666.3959999999</v>
      </c>
      <c r="E18" s="23">
        <f>VLOOKUP($B$3:$B$210,Costdrivere!$B$3:$H$211,4,FALSE)</f>
        <v>254750</v>
      </c>
      <c r="F18" s="46">
        <f>VLOOKUP($B$3:$B$210,Costdrivere!$B$3:$H$211,5,FALSE)</f>
        <v>562533</v>
      </c>
      <c r="G18" s="23">
        <f>VLOOKUP($B$3:$B$210,Costdrivere!$B$3:$H$211,6,FALSE)</f>
        <v>510608.00000000006</v>
      </c>
      <c r="H18" s="93">
        <f>VLOOKUP($B$3:$B$210,Costdrivere!$B$3:$H$211,7,FALSE)</f>
        <v>563248</v>
      </c>
      <c r="I18" s="27">
        <v>31.084537889076561</v>
      </c>
      <c r="J18" s="20">
        <f>VLOOKUP($B$3:$B$210,Costdrivere!$B$3:$I$211,8,FALSE)</f>
        <v>2.7050359712230215E-2</v>
      </c>
      <c r="K18" s="74">
        <f t="shared" si="1"/>
        <v>3450598.8135550814</v>
      </c>
      <c r="L18" s="89">
        <f t="shared" si="13"/>
        <v>3914779.1698733717</v>
      </c>
      <c r="M18" s="167">
        <f t="shared" si="2"/>
        <v>3717571.8920043567</v>
      </c>
      <c r="N18" s="74">
        <f>K18+VLOOKUP($B$3:$B$210,'Potentialer og krav'!$B$2:$F$209,5,FALSE)</f>
        <v>3450598.8135550814</v>
      </c>
      <c r="O18" s="160">
        <f t="shared" si="3"/>
        <v>3914779.1698733717</v>
      </c>
      <c r="P18" s="163">
        <f t="shared" si="4"/>
        <v>3717571.8920043567</v>
      </c>
      <c r="Q18" s="104">
        <f>N18+(0.25*VLOOKUP($B$3:$B$210,'Potentialer og krav'!$B$2:$C$209,2,FALSE))</f>
        <v>4310760.5635550814</v>
      </c>
      <c r="R18" s="53">
        <f>O18+(0.25*VLOOKUP($B$3:$B$210,'Potentialer og krav'!$B$2:$C$209,2,FALSE))</f>
        <v>4774940.9198733717</v>
      </c>
      <c r="S18" s="104">
        <f>P18+(0.25*VLOOKUP($B$3:$B$210,'Potentialer og krav'!$B$2:$C$209,2,FALSE))</f>
        <v>4577733.6420043567</v>
      </c>
      <c r="T18" s="84">
        <v>3030858</v>
      </c>
      <c r="U18" s="92">
        <f t="shared" si="5"/>
        <v>3076320.8699999996</v>
      </c>
      <c r="W18" s="70">
        <f t="shared" si="6"/>
        <v>0.13122169281933355</v>
      </c>
      <c r="X18" s="73">
        <f t="shared" si="7"/>
        <v>0.32071720179484564</v>
      </c>
      <c r="Y18" s="62">
        <f t="shared" si="8"/>
        <v>7.3827765487908537E-2</v>
      </c>
      <c r="Z18" s="73">
        <f t="shared" si="9"/>
        <v>0.16302474741201042</v>
      </c>
      <c r="AA18" s="62">
        <f t="shared" si="10"/>
        <v>0.14797663466241417</v>
      </c>
      <c r="AB18" s="64">
        <f t="shared" si="11"/>
        <v>0.16323195782348779</v>
      </c>
      <c r="AC18" s="62"/>
      <c r="AD18" s="145">
        <f t="shared" si="12"/>
        <v>0.31120859248590194</v>
      </c>
      <c r="AF18" s="57">
        <f>W$212-W18</f>
        <v>-1.2548287226415711E-2</v>
      </c>
      <c r="AG18" s="60">
        <f>X$212-X18</f>
        <v>-3.09192046717775E-2</v>
      </c>
      <c r="AH18" s="83">
        <f>Y$212-Y18</f>
        <v>-2.4633251551570437E-2</v>
      </c>
      <c r="AI18" s="60">
        <f>Z$212-Z18</f>
        <v>6.8314455388270412E-2</v>
      </c>
      <c r="AJ18" s="83">
        <f>AA$212-AA18</f>
        <v>6.6827870374924769E-4</v>
      </c>
      <c r="AK18" s="76">
        <f>AB$212-AB18</f>
        <v>-8.8199064225633061E-4</v>
      </c>
      <c r="AL18" s="108"/>
      <c r="AM18" s="57">
        <f>$AD$212-AD18</f>
        <v>-2.1371193850694414E-4</v>
      </c>
      <c r="AN18" s="106">
        <f>IF(AM18&lt;$AD$215,(AM18-$AD$215)*0.5683,0)</f>
        <v>0</v>
      </c>
    </row>
    <row r="19" spans="1:40" x14ac:dyDescent="0.25">
      <c r="A19" s="17" t="s">
        <v>161</v>
      </c>
      <c r="B19" s="90" t="s">
        <v>162</v>
      </c>
      <c r="C19" s="88">
        <f>VLOOKUP($B$3:$B$210,Costdrivere!$B$3:$H$211,2,FALSE)</f>
        <v>202767.99489947534</v>
      </c>
      <c r="D19" s="46">
        <f>VLOOKUP($B$3:$B$210,Costdrivere!$B$3:$H$211,3,FALSE)</f>
        <v>500931.66700000002</v>
      </c>
      <c r="E19" s="23">
        <f>VLOOKUP($B$3:$B$210,Costdrivere!$B$3:$H$211,4,FALSE)</f>
        <v>106359</v>
      </c>
      <c r="F19" s="46">
        <f>VLOOKUP($B$3:$B$210,Costdrivere!$B$3:$H$211,5,FALSE)</f>
        <v>493734</v>
      </c>
      <c r="G19" s="23">
        <f>VLOOKUP($B$3:$B$210,Costdrivere!$B$3:$H$211,6,FALSE)</f>
        <v>247291.80000000002</v>
      </c>
      <c r="H19" s="93">
        <f>VLOOKUP($B$3:$B$210,Costdrivere!$B$3:$H$211,7,FALSE)</f>
        <v>289863</v>
      </c>
      <c r="I19" s="27">
        <v>25.38985360991002</v>
      </c>
      <c r="J19" s="20">
        <f>VLOOKUP($B$3:$B$210,Costdrivere!$B$3:$I$211,8,FALSE)</f>
        <v>1.5860655737704919E-2</v>
      </c>
      <c r="K19" s="74">
        <f t="shared" si="1"/>
        <v>1840947.4618994754</v>
      </c>
      <c r="L19" s="89">
        <f t="shared" si="13"/>
        <v>1899889.7486931335</v>
      </c>
      <c r="M19" s="167">
        <f t="shared" si="2"/>
        <v>1704379.9432824547</v>
      </c>
      <c r="N19" s="74">
        <f>K19+VLOOKUP($B$3:$B$210,'Potentialer og krav'!$B$2:$F$209,5,FALSE)</f>
        <v>1840947.4618994754</v>
      </c>
      <c r="O19" s="160">
        <f t="shared" si="3"/>
        <v>1899889.7486931335</v>
      </c>
      <c r="P19" s="163">
        <f t="shared" si="4"/>
        <v>1704379.9432824547</v>
      </c>
      <c r="Q19" s="104">
        <f>N19+(0.25*VLOOKUP($B$3:$B$210,'Potentialer og krav'!$B$2:$C$209,2,FALSE))</f>
        <v>2225794.7118994752</v>
      </c>
      <c r="R19" s="53">
        <f>O19+(0.25*VLOOKUP($B$3:$B$210,'Potentialer og krav'!$B$2:$C$209,2,FALSE))</f>
        <v>2284736.9986931337</v>
      </c>
      <c r="S19" s="104">
        <f>P19+(0.25*VLOOKUP($B$3:$B$210,'Potentialer og krav'!$B$2:$C$209,2,FALSE))</f>
        <v>2089227.1932824547</v>
      </c>
      <c r="T19" s="84">
        <v>1283144</v>
      </c>
      <c r="U19" s="92">
        <f t="shared" si="5"/>
        <v>1302391.1599999999</v>
      </c>
      <c r="W19" s="70">
        <f t="shared" si="6"/>
        <v>0.11014328170466141</v>
      </c>
      <c r="X19" s="73">
        <f t="shared" si="7"/>
        <v>0.2721053573593798</v>
      </c>
      <c r="Y19" s="62">
        <f t="shared" si="8"/>
        <v>5.7774055045688048E-2</v>
      </c>
      <c r="Z19" s="73">
        <f t="shared" si="9"/>
        <v>0.26819559505004509</v>
      </c>
      <c r="AA19" s="62">
        <f t="shared" si="10"/>
        <v>0.13432854827092472</v>
      </c>
      <c r="AB19" s="64">
        <f t="shared" si="11"/>
        <v>0.15745316256930092</v>
      </c>
      <c r="AC19" s="62"/>
      <c r="AD19" s="145">
        <f t="shared" si="12"/>
        <v>0.29178171084022564</v>
      </c>
      <c r="AF19" s="57">
        <f>W$212-W19</f>
        <v>8.5301238882564273E-3</v>
      </c>
      <c r="AG19" s="60">
        <f>X$212-X19</f>
        <v>1.7692639763688345E-2</v>
      </c>
      <c r="AH19" s="83">
        <f>Y$212-Y19</f>
        <v>-8.5795411093499488E-3</v>
      </c>
      <c r="AI19" s="60">
        <f>Z$212-Z19</f>
        <v>-3.6856392249764253E-2</v>
      </c>
      <c r="AJ19" s="83">
        <f>AA$212-AA19</f>
        <v>1.4316365095238703E-2</v>
      </c>
      <c r="AK19" s="76">
        <f>AB$212-AB19</f>
        <v>4.8968046119305386E-3</v>
      </c>
      <c r="AL19" s="108"/>
      <c r="AM19" s="57">
        <f>$AD$212-AD19</f>
        <v>1.9213169707169353E-2</v>
      </c>
      <c r="AN19" s="106">
        <f>IF(AM19&lt;$AD$215,(AM19-$AD$215)*0.5683,0)</f>
        <v>0</v>
      </c>
    </row>
    <row r="20" spans="1:40" x14ac:dyDescent="0.25">
      <c r="A20" s="17" t="s">
        <v>163</v>
      </c>
      <c r="B20" s="90" t="s">
        <v>164</v>
      </c>
      <c r="C20" s="88">
        <f>VLOOKUP($B$3:$B$210,Costdrivere!$B$3:$H$211,2,FALSE)</f>
        <v>161231.70497136933</v>
      </c>
      <c r="D20" s="46">
        <f>VLOOKUP($B$3:$B$210,Costdrivere!$B$3:$H$211,3,FALSE)</f>
        <v>455333.77</v>
      </c>
      <c r="E20" s="23">
        <f>VLOOKUP($B$3:$B$210,Costdrivere!$B$3:$H$211,4,FALSE)</f>
        <v>35453</v>
      </c>
      <c r="F20" s="46">
        <f>VLOOKUP($B$3:$B$210,Costdrivere!$B$3:$H$211,5,FALSE)</f>
        <v>667755</v>
      </c>
      <c r="G20" s="23">
        <f>VLOOKUP($B$3:$B$210,Costdrivere!$B$3:$H$211,6,FALSE)</f>
        <v>398437.2</v>
      </c>
      <c r="H20" s="93">
        <f>VLOOKUP($B$3:$B$210,Costdrivere!$B$3:$H$211,7,FALSE)</f>
        <v>433970.60000000003</v>
      </c>
      <c r="I20" s="27">
        <v>37.816737355965223</v>
      </c>
      <c r="J20" s="20">
        <f>VLOOKUP($B$3:$B$210,Costdrivere!$B$3:$I$211,8,FALSE)</f>
        <v>1.7557575757575758E-2</v>
      </c>
      <c r="K20" s="74">
        <f t="shared" si="1"/>
        <v>2152181.2749713692</v>
      </c>
      <c r="L20" s="89">
        <f t="shared" si="13"/>
        <v>2702496.7654328728</v>
      </c>
      <c r="M20" s="167">
        <f t="shared" si="2"/>
        <v>2041989.1763001028</v>
      </c>
      <c r="N20" s="74">
        <f>K20+VLOOKUP($B$3:$B$210,'Potentialer og krav'!$B$2:$F$209,5,FALSE)</f>
        <v>2152181.2749713692</v>
      </c>
      <c r="O20" s="160">
        <f t="shared" si="3"/>
        <v>2702496.7654328728</v>
      </c>
      <c r="P20" s="163">
        <f t="shared" si="4"/>
        <v>2041989.1763001028</v>
      </c>
      <c r="Q20" s="104">
        <f>N20+(0.25*VLOOKUP($B$3:$B$210,'Potentialer og krav'!$B$2:$C$209,2,FALSE))</f>
        <v>3068344.5249713692</v>
      </c>
      <c r="R20" s="53">
        <f>O20+(0.25*VLOOKUP($B$3:$B$210,'Potentialer og krav'!$B$2:$C$209,2,FALSE))</f>
        <v>3618660.0154328728</v>
      </c>
      <c r="S20" s="104">
        <f>P20+(0.25*VLOOKUP($B$3:$B$210,'Potentialer og krav'!$B$2:$C$209,2,FALSE))</f>
        <v>2958152.4263001028</v>
      </c>
      <c r="T20" s="84">
        <v>3027679</v>
      </c>
      <c r="U20" s="92">
        <f t="shared" si="5"/>
        <v>3073094.1849999996</v>
      </c>
      <c r="W20" s="70">
        <f t="shared" si="6"/>
        <v>7.4915485440934446E-2</v>
      </c>
      <c r="X20" s="73">
        <f t="shared" si="7"/>
        <v>0.21156850275358771</v>
      </c>
      <c r="Y20" s="62">
        <f t="shared" si="8"/>
        <v>1.6473054761835356E-2</v>
      </c>
      <c r="Z20" s="73">
        <f t="shared" si="9"/>
        <v>0.31026893866497524</v>
      </c>
      <c r="AA20" s="62">
        <f t="shared" si="10"/>
        <v>0.18513180308443139</v>
      </c>
      <c r="AB20" s="64">
        <f t="shared" si="11"/>
        <v>0.20164221529423595</v>
      </c>
      <c r="AC20" s="62"/>
      <c r="AD20" s="145">
        <f t="shared" si="12"/>
        <v>0.38677401837866732</v>
      </c>
      <c r="AF20" s="57">
        <f>W$212-W20</f>
        <v>4.375792015198339E-2</v>
      </c>
      <c r="AG20" s="60">
        <f>X$212-X20</f>
        <v>7.8229494369480429E-2</v>
      </c>
      <c r="AH20" s="83">
        <f>Y$212-Y20</f>
        <v>3.272145917450274E-2</v>
      </c>
      <c r="AI20" s="60">
        <f>Z$212-Z20</f>
        <v>-7.89297358646944E-2</v>
      </c>
      <c r="AJ20" s="83">
        <f>AA$212-AA20</f>
        <v>-3.6486889718267967E-2</v>
      </c>
      <c r="AK20" s="76">
        <f>AB$212-AB20</f>
        <v>-3.9292248113004496E-2</v>
      </c>
      <c r="AL20" s="108"/>
      <c r="AM20" s="57">
        <f>$AD$212-AD20</f>
        <v>-7.5779137831272325E-2</v>
      </c>
      <c r="AN20" s="106">
        <f>IF(AM20&lt;$AD$215,(AM20-$AD$215)*0.5683,0)</f>
        <v>0</v>
      </c>
    </row>
    <row r="21" spans="1:40" x14ac:dyDescent="0.25">
      <c r="A21" s="17" t="s">
        <v>165</v>
      </c>
      <c r="B21" s="90" t="s">
        <v>166</v>
      </c>
      <c r="C21" s="88">
        <f>VLOOKUP($B$3:$B$210,Costdrivere!$B$3:$H$211,2,FALSE)</f>
        <v>435348.30383743742</v>
      </c>
      <c r="D21" s="46">
        <f>VLOOKUP($B$3:$B$210,Costdrivere!$B$3:$H$211,3,FALSE)</f>
        <v>1155480.615</v>
      </c>
      <c r="E21" s="23">
        <f>VLOOKUP($B$3:$B$210,Costdrivere!$B$3:$H$211,4,FALSE)</f>
        <v>493031</v>
      </c>
      <c r="F21" s="46">
        <f>VLOOKUP($B$3:$B$210,Costdrivere!$B$3:$H$211,5,FALSE)</f>
        <v>663708</v>
      </c>
      <c r="G21" s="23">
        <f>VLOOKUP($B$3:$B$210,Costdrivere!$B$3:$H$211,6,FALSE)</f>
        <v>521472.00000000006</v>
      </c>
      <c r="H21" s="93">
        <f>VLOOKUP($B$3:$B$210,Costdrivere!$B$3:$H$211,7,FALSE)</f>
        <v>548867.20000000007</v>
      </c>
      <c r="I21" s="27">
        <v>22.600501726338567</v>
      </c>
      <c r="J21" s="20">
        <f>VLOOKUP($B$3:$B$210,Costdrivere!$B$3:$I$211,8,FALSE)</f>
        <v>2.2341463414634145E-2</v>
      </c>
      <c r="K21" s="74">
        <f t="shared" si="1"/>
        <v>3817907.1188374376</v>
      </c>
      <c r="L21" s="89">
        <f t="shared" si="13"/>
        <v>3748455.6890766709</v>
      </c>
      <c r="M21" s="167">
        <f t="shared" si="2"/>
        <v>3869803.0922266226</v>
      </c>
      <c r="N21" s="74">
        <f>K21+VLOOKUP($B$3:$B$210,'Potentialer og krav'!$B$2:$F$209,5,FALSE)</f>
        <v>3817907.1188374376</v>
      </c>
      <c r="O21" s="160">
        <f t="shared" si="3"/>
        <v>3748455.6890766709</v>
      </c>
      <c r="P21" s="163">
        <f t="shared" si="4"/>
        <v>3869803.0922266226</v>
      </c>
      <c r="Q21" s="104">
        <f>N21+(0.25*VLOOKUP($B$3:$B$210,'Potentialer og krav'!$B$2:$C$209,2,FALSE))</f>
        <v>4639308.6188374376</v>
      </c>
      <c r="R21" s="53">
        <f>O21+(0.25*VLOOKUP($B$3:$B$210,'Potentialer og krav'!$B$2:$C$209,2,FALSE))</f>
        <v>4569857.1890766714</v>
      </c>
      <c r="S21" s="104">
        <f>P21+(0.25*VLOOKUP($B$3:$B$210,'Potentialer og krav'!$B$2:$C$209,2,FALSE))</f>
        <v>4691204.5922266226</v>
      </c>
      <c r="T21" s="84">
        <v>2465723</v>
      </c>
      <c r="U21" s="92">
        <f t="shared" si="5"/>
        <v>2502708.8449999997</v>
      </c>
      <c r="W21" s="70">
        <f t="shared" si="6"/>
        <v>0.11402799761404413</v>
      </c>
      <c r="X21" s="73">
        <f t="shared" si="7"/>
        <v>0.3026476493623676</v>
      </c>
      <c r="Y21" s="62">
        <f t="shared" si="8"/>
        <v>0.12913645739766691</v>
      </c>
      <c r="Z21" s="73">
        <f t="shared" si="9"/>
        <v>0.17384079270165712</v>
      </c>
      <c r="AA21" s="62">
        <f t="shared" si="10"/>
        <v>0.13658582667636754</v>
      </c>
      <c r="AB21" s="64">
        <f t="shared" si="11"/>
        <v>0.14376127624789667</v>
      </c>
      <c r="AC21" s="62"/>
      <c r="AD21" s="145">
        <f t="shared" si="12"/>
        <v>0.28034710292426424</v>
      </c>
      <c r="AF21" s="57">
        <f>W$212-W21</f>
        <v>4.6454079788737085E-3</v>
      </c>
      <c r="AG21" s="60">
        <f>X$212-X21</f>
        <v>-1.2849652239299458E-2</v>
      </c>
      <c r="AH21" s="83">
        <f>Y$212-Y21</f>
        <v>-7.994194346132881E-2</v>
      </c>
      <c r="AI21" s="60">
        <f>Z$212-Z21</f>
        <v>5.749841009862372E-2</v>
      </c>
      <c r="AJ21" s="83">
        <f>AA$212-AA21</f>
        <v>1.2059086689795884E-2</v>
      </c>
      <c r="AK21" s="76">
        <f>AB$212-AB21</f>
        <v>1.8588690933334789E-2</v>
      </c>
      <c r="AL21" s="108"/>
      <c r="AM21" s="57">
        <f>$AD$212-AD21</f>
        <v>3.0647777623130756E-2</v>
      </c>
      <c r="AN21" s="106">
        <f>IF(AM21&lt;$AD$215,(AM21-$AD$215)*0.5683,0)</f>
        <v>0</v>
      </c>
    </row>
    <row r="22" spans="1:40" x14ac:dyDescent="0.25">
      <c r="A22" s="17" t="s">
        <v>167</v>
      </c>
      <c r="B22" s="90" t="s">
        <v>168</v>
      </c>
      <c r="C22" s="88">
        <f>VLOOKUP($B$3:$B$210,Costdrivere!$B$3:$H$211,2,FALSE)</f>
        <v>746290.26702421438</v>
      </c>
      <c r="D22" s="46">
        <f>VLOOKUP($B$3:$B$210,Costdrivere!$B$3:$H$211,3,FALSE)</f>
        <v>2052350.5530000001</v>
      </c>
      <c r="E22" s="23">
        <f>VLOOKUP($B$3:$B$210,Costdrivere!$B$3:$H$211,4,FALSE)</f>
        <v>183844</v>
      </c>
      <c r="F22" s="46">
        <f>VLOOKUP($B$3:$B$210,Costdrivere!$B$3:$H$211,5,FALSE)</f>
        <v>586815</v>
      </c>
      <c r="G22" s="23">
        <f>VLOOKUP($B$3:$B$210,Costdrivere!$B$3:$H$211,6,FALSE)</f>
        <v>823491.20000000007</v>
      </c>
      <c r="H22" s="93">
        <f>VLOOKUP($B$3:$B$210,Costdrivere!$B$3:$H$211,7,FALSE)</f>
        <v>908387.20000000007</v>
      </c>
      <c r="I22" s="27">
        <v>36.608565477636425</v>
      </c>
      <c r="J22" s="20">
        <f>VLOOKUP($B$3:$B$210,Costdrivere!$B$3:$I$211,8,FALSE)</f>
        <v>4.1820689655172411E-2</v>
      </c>
      <c r="K22" s="74">
        <f t="shared" si="1"/>
        <v>5301178.2200242151</v>
      </c>
      <c r="L22" s="89">
        <f t="shared" si="13"/>
        <v>6541411.0160887027</v>
      </c>
      <c r="M22" s="167">
        <f t="shared" si="2"/>
        <v>6771828.01079595</v>
      </c>
      <c r="N22" s="74">
        <f>K22+VLOOKUP($B$3:$B$210,'Potentialer og krav'!$B$2:$F$209,5,FALSE)</f>
        <v>5301178.2200242151</v>
      </c>
      <c r="O22" s="160">
        <f t="shared" si="3"/>
        <v>6541411.0160887027</v>
      </c>
      <c r="P22" s="163">
        <f t="shared" si="4"/>
        <v>6771828.01079595</v>
      </c>
      <c r="Q22" s="104">
        <f>N22+(0.25*VLOOKUP($B$3:$B$210,'Potentialer og krav'!$B$2:$C$209,2,FALSE))</f>
        <v>6914278.4700242151</v>
      </c>
      <c r="R22" s="53">
        <f>O22+(0.25*VLOOKUP($B$3:$B$210,'Potentialer og krav'!$B$2:$C$209,2,FALSE))</f>
        <v>8154511.2660887027</v>
      </c>
      <c r="S22" s="104">
        <f>P22+(0.25*VLOOKUP($B$3:$B$210,'Potentialer og krav'!$B$2:$C$209,2,FALSE))</f>
        <v>8384928.26079595</v>
      </c>
      <c r="T22" s="84">
        <v>4613852</v>
      </c>
      <c r="U22" s="92">
        <f t="shared" si="5"/>
        <v>4683059.7799999993</v>
      </c>
      <c r="W22" s="70">
        <f t="shared" si="6"/>
        <v>0.14077818855537466</v>
      </c>
      <c r="X22" s="73">
        <f t="shared" si="7"/>
        <v>0.38714988778298898</v>
      </c>
      <c r="Y22" s="62">
        <f t="shared" si="8"/>
        <v>3.4679837645443322E-2</v>
      </c>
      <c r="Z22" s="73">
        <f t="shared" si="9"/>
        <v>0.11069520315001209</v>
      </c>
      <c r="AA22" s="62">
        <f t="shared" si="10"/>
        <v>0.15534116489225266</v>
      </c>
      <c r="AB22" s="64">
        <f t="shared" si="11"/>
        <v>0.17135571797392821</v>
      </c>
      <c r="AC22" s="62"/>
      <c r="AD22" s="145">
        <f t="shared" si="12"/>
        <v>0.32669688286618087</v>
      </c>
      <c r="AF22" s="57">
        <f>W$212-W22</f>
        <v>-2.2104782962456826E-2</v>
      </c>
      <c r="AG22" s="60">
        <f>X$212-X22</f>
        <v>-9.7351890659920837E-2</v>
      </c>
      <c r="AH22" s="83">
        <f>Y$212-Y22</f>
        <v>1.4514676290894778E-2</v>
      </c>
      <c r="AI22" s="60">
        <f>Z$212-Z22</f>
        <v>0.12064399965026874</v>
      </c>
      <c r="AJ22" s="83">
        <f>AA$212-AA22</f>
        <v>-6.6962515260892419E-3</v>
      </c>
      <c r="AK22" s="76">
        <f>AB$212-AB22</f>
        <v>-9.0057507926967484E-3</v>
      </c>
      <c r="AL22" s="108"/>
      <c r="AM22" s="57">
        <f>$AD$212-AD22</f>
        <v>-1.5702002318785879E-2</v>
      </c>
      <c r="AN22" s="106">
        <f>IF(AM22&lt;$AD$215,(AM22-$AD$215)*0.5683,0)</f>
        <v>0</v>
      </c>
    </row>
    <row r="23" spans="1:40" x14ac:dyDescent="0.25">
      <c r="A23" s="17" t="s">
        <v>169</v>
      </c>
      <c r="B23" s="90" t="s">
        <v>170</v>
      </c>
      <c r="C23" s="88">
        <f>VLOOKUP($B$3:$B$210,Costdrivere!$B$3:$H$211,2,FALSE)</f>
        <v>330237.76192009507</v>
      </c>
      <c r="D23" s="46">
        <f>VLOOKUP($B$3:$B$210,Costdrivere!$B$3:$H$211,3,FALSE)</f>
        <v>859033.79700000002</v>
      </c>
      <c r="E23" s="23">
        <f>VLOOKUP($B$3:$B$210,Costdrivere!$B$3:$H$211,4,FALSE)</f>
        <v>251132</v>
      </c>
      <c r="F23" s="46">
        <f>VLOOKUP($B$3:$B$210,Costdrivere!$B$3:$H$211,5,FALSE)</f>
        <v>335901</v>
      </c>
      <c r="G23" s="23">
        <f>VLOOKUP($B$3:$B$210,Costdrivere!$B$3:$H$211,6,FALSE)</f>
        <v>420165.2</v>
      </c>
      <c r="H23" s="93">
        <f>VLOOKUP($B$3:$B$210,Costdrivere!$B$3:$H$211,7,FALSE)</f>
        <v>468574.4</v>
      </c>
      <c r="I23" s="27">
        <v>31.685719118904352</v>
      </c>
      <c r="J23" s="20">
        <f>VLOOKUP($B$3:$B$210,Costdrivere!$B$3:$I$211,8,FALSE)</f>
        <v>3.7686746987951804E-2</v>
      </c>
      <c r="K23" s="74">
        <f t="shared" si="1"/>
        <v>2665044.1589200953</v>
      </c>
      <c r="L23" s="89">
        <f t="shared" si="13"/>
        <v>3052389.5232413937</v>
      </c>
      <c r="M23" s="167">
        <f t="shared" si="2"/>
        <v>3255163.024709757</v>
      </c>
      <c r="N23" s="74">
        <f>K23+VLOOKUP($B$3:$B$210,'Potentialer og krav'!$B$2:$F$209,5,FALSE)</f>
        <v>2665044.1589200953</v>
      </c>
      <c r="O23" s="160">
        <f t="shared" si="3"/>
        <v>3052389.5232413937</v>
      </c>
      <c r="P23" s="163">
        <f t="shared" si="4"/>
        <v>3255163.024709757</v>
      </c>
      <c r="Q23" s="104">
        <f>N23+(0.25*VLOOKUP($B$3:$B$210,'Potentialer og krav'!$B$2:$C$209,2,FALSE))</f>
        <v>3248254.1589200953</v>
      </c>
      <c r="R23" s="53">
        <f>O23+(0.25*VLOOKUP($B$3:$B$210,'Potentialer og krav'!$B$2:$C$209,2,FALSE))</f>
        <v>3635599.5232413937</v>
      </c>
      <c r="S23" s="104">
        <f>P23+(0.25*VLOOKUP($B$3:$B$210,'Potentialer og krav'!$B$2:$C$209,2,FALSE))</f>
        <v>3838373.024709757</v>
      </c>
      <c r="T23" s="84">
        <v>2274939</v>
      </c>
      <c r="U23" s="92">
        <f t="shared" si="5"/>
        <v>2309063.085</v>
      </c>
      <c r="W23" s="70">
        <f t="shared" si="6"/>
        <v>0.12391455534226907</v>
      </c>
      <c r="X23" s="73">
        <f t="shared" si="7"/>
        <v>0.32233379477962937</v>
      </c>
      <c r="Y23" s="62">
        <f t="shared" si="8"/>
        <v>9.4231834455516639E-2</v>
      </c>
      <c r="Z23" s="73">
        <f t="shared" si="9"/>
        <v>0.12603956256248705</v>
      </c>
      <c r="AA23" s="62">
        <f t="shared" si="10"/>
        <v>0.15765787542156731</v>
      </c>
      <c r="AB23" s="64">
        <f t="shared" si="11"/>
        <v>0.17582237743853049</v>
      </c>
      <c r="AC23" s="62"/>
      <c r="AD23" s="145">
        <f t="shared" si="12"/>
        <v>0.3334802528600978</v>
      </c>
      <c r="AF23" s="57">
        <f>W$212-W23</f>
        <v>-5.2411497493512343E-3</v>
      </c>
      <c r="AG23" s="60">
        <f>X$212-X23</f>
        <v>-3.2535797656561227E-2</v>
      </c>
      <c r="AH23" s="83">
        <f>Y$212-Y23</f>
        <v>-4.5037320519178539E-2</v>
      </c>
      <c r="AI23" s="60">
        <f>Z$212-Z23</f>
        <v>0.10529964023779378</v>
      </c>
      <c r="AJ23" s="83">
        <f>AA$212-AA23</f>
        <v>-9.0129620554038892E-3</v>
      </c>
      <c r="AK23" s="76">
        <f>AB$212-AB23</f>
        <v>-1.3472410257299033E-2</v>
      </c>
      <c r="AL23" s="108"/>
      <c r="AM23" s="57">
        <f>$AD$212-AD23</f>
        <v>-2.2485372312702812E-2</v>
      </c>
      <c r="AN23" s="106">
        <f>IF(AM23&lt;$AD$215,(AM23-$AD$215)*0.5683,0)</f>
        <v>0</v>
      </c>
    </row>
    <row r="24" spans="1:40" x14ac:dyDescent="0.25">
      <c r="A24" s="17" t="s">
        <v>171</v>
      </c>
      <c r="B24" s="90" t="s">
        <v>172</v>
      </c>
      <c r="C24" s="88">
        <f>VLOOKUP($B$3:$B$210,Costdrivere!$B$3:$H$211,2,FALSE)</f>
        <v>291944.5443668486</v>
      </c>
      <c r="D24" s="46">
        <f>VLOOKUP($B$3:$B$210,Costdrivere!$B$3:$H$211,3,FALSE)</f>
        <v>741410.61100000003</v>
      </c>
      <c r="E24" s="23">
        <f>VLOOKUP($B$3:$B$210,Costdrivere!$B$3:$H$211,4,FALSE)</f>
        <v>141812</v>
      </c>
      <c r="F24" s="46">
        <f>VLOOKUP($B$3:$B$210,Costdrivere!$B$3:$H$211,5,FALSE)</f>
        <v>44517</v>
      </c>
      <c r="G24" s="23">
        <f>VLOOKUP($B$3:$B$210,Costdrivere!$B$3:$H$211,6,FALSE)</f>
        <v>0</v>
      </c>
      <c r="H24" s="93">
        <f>VLOOKUP($B$3:$B$210,Costdrivere!$B$3:$H$211,7,FALSE)</f>
        <v>1797.6000000000001</v>
      </c>
      <c r="I24" s="27">
        <v>9</v>
      </c>
      <c r="J24" s="20">
        <f>VLOOKUP($B$3:$B$210,Costdrivere!$B$3:$I$211,8,FALSE)</f>
        <v>1.090909090909091E-3</v>
      </c>
      <c r="K24" s="74">
        <f t="shared" si="1"/>
        <v>1221481.7553668488</v>
      </c>
      <c r="L24" s="89">
        <f t="shared" si="13"/>
        <v>900232.05370536738</v>
      </c>
      <c r="M24" s="167">
        <f t="shared" si="2"/>
        <v>886521.25413276243</v>
      </c>
      <c r="N24" s="74">
        <f>K24+VLOOKUP($B$3:$B$210,'Potentialer og krav'!$B$2:$F$209,5,FALSE)</f>
        <v>1221481.7553668488</v>
      </c>
      <c r="O24" s="160">
        <f t="shared" si="3"/>
        <v>900232.05370536738</v>
      </c>
      <c r="P24" s="163">
        <f t="shared" si="4"/>
        <v>886521.25413276243</v>
      </c>
      <c r="Q24" s="104">
        <f>N24+(0.25*VLOOKUP($B$3:$B$210,'Potentialer og krav'!$B$2:$C$209,2,FALSE))</f>
        <v>1437510.7553668488</v>
      </c>
      <c r="R24" s="53">
        <f>O24+(0.25*VLOOKUP($B$3:$B$210,'Potentialer og krav'!$B$2:$C$209,2,FALSE))</f>
        <v>1116261.0537053673</v>
      </c>
      <c r="S24" s="104">
        <f>P24+(0.25*VLOOKUP($B$3:$B$210,'Potentialer og krav'!$B$2:$C$209,2,FALSE))</f>
        <v>1102550.2541327626</v>
      </c>
      <c r="T24" s="84">
        <v>661957</v>
      </c>
      <c r="U24" s="92">
        <f t="shared" si="5"/>
        <v>671886.35499999998</v>
      </c>
      <c r="W24" s="70">
        <f t="shared" si="6"/>
        <v>0.23900851820678126</v>
      </c>
      <c r="X24" s="73">
        <f t="shared" si="7"/>
        <v>0.60697641020215765</v>
      </c>
      <c r="Y24" s="62">
        <f t="shared" si="8"/>
        <v>0.11609833661200242</v>
      </c>
      <c r="Z24" s="73">
        <f t="shared" si="9"/>
        <v>3.6445079760221363E-2</v>
      </c>
      <c r="AA24" s="62">
        <f t="shared" si="10"/>
        <v>0</v>
      </c>
      <c r="AB24" s="64">
        <f t="shared" si="11"/>
        <v>1.4716552188371616E-3</v>
      </c>
      <c r="AC24" s="62"/>
      <c r="AD24" s="145">
        <f t="shared" si="12"/>
        <v>1.4716552188371616E-3</v>
      </c>
      <c r="AF24" s="57">
        <f>W$212-W24</f>
        <v>-0.12033511261386343</v>
      </c>
      <c r="AG24" s="60">
        <f>X$212-X24</f>
        <v>-0.31717841307908951</v>
      </c>
      <c r="AH24" s="83">
        <f>Y$212-Y24</f>
        <v>-6.6903822675664318E-2</v>
      </c>
      <c r="AI24" s="60">
        <f>Z$212-Z24</f>
        <v>0.19489412304005949</v>
      </c>
      <c r="AJ24" s="83">
        <f>AA$212-AA24</f>
        <v>0.14864491336616342</v>
      </c>
      <c r="AK24" s="76">
        <f>AB$212-AB24</f>
        <v>0.1608783119623943</v>
      </c>
      <c r="AL24" s="108"/>
      <c r="AM24" s="57">
        <f>$AD$212-AD24</f>
        <v>0.30952322532855781</v>
      </c>
      <c r="AN24" s="106">
        <f>IF(AM24&lt;$AD$215,(AM24-$AD$215)*0.5683,0)</f>
        <v>0</v>
      </c>
    </row>
    <row r="25" spans="1:40" x14ac:dyDescent="0.25">
      <c r="A25" s="17" t="s">
        <v>173</v>
      </c>
      <c r="B25" s="90" t="s">
        <v>174</v>
      </c>
      <c r="C25" s="88">
        <f>VLOOKUP($B$3:$B$210,Costdrivere!$B$3:$H$211,2,FALSE)</f>
        <v>167345.94213450051</v>
      </c>
      <c r="D25" s="46">
        <f>VLOOKUP($B$3:$B$210,Costdrivere!$B$3:$H$211,3,FALSE)</f>
        <v>406756.66200000001</v>
      </c>
      <c r="E25" s="23">
        <f>VLOOKUP($B$3:$B$210,Costdrivere!$B$3:$H$211,4,FALSE)</f>
        <v>0</v>
      </c>
      <c r="F25" s="46">
        <f>VLOOKUP($B$3:$B$210,Costdrivere!$B$3:$H$211,5,FALSE)</f>
        <v>238773</v>
      </c>
      <c r="G25" s="23">
        <f>VLOOKUP($B$3:$B$210,Costdrivere!$B$3:$H$211,6,FALSE)</f>
        <v>247970.80000000002</v>
      </c>
      <c r="H25" s="93">
        <f>VLOOKUP($B$3:$B$210,Costdrivere!$B$3:$H$211,7,FALSE)</f>
        <v>277879</v>
      </c>
      <c r="I25" s="27">
        <v>34.247535540013985</v>
      </c>
      <c r="J25" s="20">
        <f>VLOOKUP($B$3:$B$210,Costdrivere!$B$3:$I$211,8,FALSE)</f>
        <v>3.1440677966101692E-2</v>
      </c>
      <c r="K25" s="74">
        <f t="shared" si="1"/>
        <v>1338725.4041345005</v>
      </c>
      <c r="L25" s="89">
        <f t="shared" si="13"/>
        <v>1595031.9327928238</v>
      </c>
      <c r="M25" s="167">
        <f t="shared" si="2"/>
        <v>1521906.6047213874</v>
      </c>
      <c r="N25" s="74">
        <f>K25+VLOOKUP($B$3:$B$210,'Potentialer og krav'!$B$2:$F$209,5,FALSE)</f>
        <v>1338725.4041345005</v>
      </c>
      <c r="O25" s="160">
        <f t="shared" si="3"/>
        <v>1595031.9327928238</v>
      </c>
      <c r="P25" s="163">
        <f t="shared" si="4"/>
        <v>1521906.6047213874</v>
      </c>
      <c r="Q25" s="104">
        <f>N25+(0.25*VLOOKUP($B$3:$B$210,'Potentialer og krav'!$B$2:$C$209,2,FALSE))</f>
        <v>1820304.6541345005</v>
      </c>
      <c r="R25" s="53">
        <f>O25+(0.25*VLOOKUP($B$3:$B$210,'Potentialer og krav'!$B$2:$C$209,2,FALSE))</f>
        <v>2076611.1827928238</v>
      </c>
      <c r="S25" s="104">
        <f>P25+(0.25*VLOOKUP($B$3:$B$210,'Potentialer og krav'!$B$2:$C$209,2,FALSE))</f>
        <v>2003485.8547213874</v>
      </c>
      <c r="T25" s="84">
        <v>1843725</v>
      </c>
      <c r="U25" s="92">
        <f t="shared" si="5"/>
        <v>1871380.8749999998</v>
      </c>
      <c r="W25" s="70">
        <f t="shared" si="6"/>
        <v>0.12500393405374371</v>
      </c>
      <c r="X25" s="73">
        <f t="shared" si="7"/>
        <v>0.30383875643487346</v>
      </c>
      <c r="Y25" s="62">
        <f t="shared" si="8"/>
        <v>0</v>
      </c>
      <c r="Z25" s="73">
        <f t="shared" si="9"/>
        <v>0.17835845892113264</v>
      </c>
      <c r="AA25" s="62">
        <f t="shared" si="10"/>
        <v>0.18522902399115646</v>
      </c>
      <c r="AB25" s="64">
        <f t="shared" si="11"/>
        <v>0.20756982659909376</v>
      </c>
      <c r="AC25" s="62"/>
      <c r="AD25" s="145">
        <f t="shared" si="12"/>
        <v>0.39279885059025021</v>
      </c>
      <c r="AF25" s="57">
        <f>W$212-W25</f>
        <v>-6.3305284608258794E-3</v>
      </c>
      <c r="AG25" s="60">
        <f>X$212-X25</f>
        <v>-1.4040759311805318E-2</v>
      </c>
      <c r="AH25" s="83">
        <f>Y$212-Y25</f>
        <v>4.91945139363381E-2</v>
      </c>
      <c r="AI25" s="60">
        <f>Z$212-Z25</f>
        <v>5.2980743879148195E-2</v>
      </c>
      <c r="AJ25" s="83">
        <f>AA$212-AA25</f>
        <v>-3.6584110624993033E-2</v>
      </c>
      <c r="AK25" s="76">
        <f>AB$212-AB25</f>
        <v>-4.5219859417862301E-2</v>
      </c>
      <c r="AL25" s="108"/>
      <c r="AM25" s="57">
        <f>$AD$212-AD25</f>
        <v>-8.1803970042855223E-2</v>
      </c>
      <c r="AN25" s="106">
        <f>IF(AM25&lt;$AD$215,(AM25-$AD$215)*0.5683,0)</f>
        <v>0</v>
      </c>
    </row>
    <row r="26" spans="1:40" x14ac:dyDescent="0.25">
      <c r="A26" s="17" t="s">
        <v>175</v>
      </c>
      <c r="B26" s="90" t="s">
        <v>176</v>
      </c>
      <c r="C26" s="88">
        <f>VLOOKUP($B$3:$B$210,Costdrivere!$B$3:$H$211,2,FALSE)</f>
        <v>164041.54578633644</v>
      </c>
      <c r="D26" s="46">
        <f>VLOOKUP($B$3:$B$210,Costdrivere!$B$3:$H$211,3,FALSE)</f>
        <v>405509.81300000002</v>
      </c>
      <c r="E26" s="23">
        <f>VLOOKUP($B$3:$B$210,Costdrivere!$B$3:$H$211,4,FALSE)</f>
        <v>35453</v>
      </c>
      <c r="F26" s="46">
        <f>VLOOKUP($B$3:$B$210,Costdrivere!$B$3:$H$211,5,FALSE)</f>
        <v>259008</v>
      </c>
      <c r="G26" s="23">
        <f>VLOOKUP($B$3:$B$210,Costdrivere!$B$3:$H$211,6,FALSE)</f>
        <v>101985.8</v>
      </c>
      <c r="H26" s="93">
        <f>VLOOKUP($B$3:$B$210,Costdrivere!$B$3:$H$211,7,FALSE)</f>
        <v>112649.60000000001</v>
      </c>
      <c r="I26" s="27">
        <v>23.033103746709457</v>
      </c>
      <c r="J26" s="20">
        <f>VLOOKUP($B$3:$B$210,Costdrivere!$B$3:$I$211,8,FALSE)</f>
        <v>1.175E-2</v>
      </c>
      <c r="K26" s="74">
        <f t="shared" si="1"/>
        <v>1078647.7587863365</v>
      </c>
      <c r="L26" s="89">
        <f t="shared" si="13"/>
        <v>1067425.3645192073</v>
      </c>
      <c r="M26" s="167">
        <f t="shared" si="2"/>
        <v>938576.71812586044</v>
      </c>
      <c r="N26" s="74">
        <f>K26+VLOOKUP($B$3:$B$210,'Potentialer og krav'!$B$2:$F$209,5,FALSE)</f>
        <v>1078647.7587863365</v>
      </c>
      <c r="O26" s="160">
        <f t="shared" si="3"/>
        <v>1067425.3645192073</v>
      </c>
      <c r="P26" s="163">
        <f t="shared" si="4"/>
        <v>938576.71812586044</v>
      </c>
      <c r="Q26" s="104">
        <f>N26+(0.25*VLOOKUP($B$3:$B$210,'Potentialer og krav'!$B$2:$C$209,2,FALSE))</f>
        <v>1257446.5087863365</v>
      </c>
      <c r="R26" s="53">
        <f>O26+(0.25*VLOOKUP($B$3:$B$210,'Potentialer og krav'!$B$2:$C$209,2,FALSE))</f>
        <v>1246224.1145192073</v>
      </c>
      <c r="S26" s="104">
        <f>P26+(0.25*VLOOKUP($B$3:$B$210,'Potentialer og krav'!$B$2:$C$209,2,FALSE))</f>
        <v>1117375.4681258604</v>
      </c>
      <c r="T26" s="84">
        <v>858888</v>
      </c>
      <c r="U26" s="92">
        <f t="shared" si="5"/>
        <v>871771.32</v>
      </c>
      <c r="W26" s="70">
        <f t="shared" si="6"/>
        <v>0.15208073669101327</v>
      </c>
      <c r="X26" s="73">
        <f t="shared" si="7"/>
        <v>0.37594275767676744</v>
      </c>
      <c r="Y26" s="62">
        <f t="shared" si="8"/>
        <v>3.2868005065797103E-2</v>
      </c>
      <c r="Z26" s="73">
        <f t="shared" si="9"/>
        <v>0.24012287411733776</v>
      </c>
      <c r="AA26" s="62">
        <f t="shared" si="10"/>
        <v>9.4549679605093223E-2</v>
      </c>
      <c r="AB26" s="64">
        <f t="shared" si="11"/>
        <v>0.10443594684399113</v>
      </c>
      <c r="AC26" s="62"/>
      <c r="AD26" s="145">
        <f t="shared" si="12"/>
        <v>0.19898562644908435</v>
      </c>
      <c r="AF26" s="57">
        <f>W$212-W26</f>
        <v>-3.3407331098095433E-2</v>
      </c>
      <c r="AG26" s="60">
        <f>X$212-X26</f>
        <v>-8.6144760553699296E-2</v>
      </c>
      <c r="AH26" s="83">
        <f>Y$212-Y26</f>
        <v>1.6326508870540997E-2</v>
      </c>
      <c r="AI26" s="60">
        <f>Z$212-Z26</f>
        <v>-8.7836713170569292E-3</v>
      </c>
      <c r="AJ26" s="83">
        <f>AA$212-AA26</f>
        <v>5.4095233761070199E-2</v>
      </c>
      <c r="AK26" s="76">
        <f>AB$212-AB26</f>
        <v>5.7914020337240329E-2</v>
      </c>
      <c r="AL26" s="108"/>
      <c r="AM26" s="57">
        <f>$AD$212-AD26</f>
        <v>0.11200925409831064</v>
      </c>
      <c r="AN26" s="106">
        <f>IF(AM26&lt;$AD$215,(AM26-$AD$215)*0.5683,0)</f>
        <v>0</v>
      </c>
    </row>
    <row r="27" spans="1:40" x14ac:dyDescent="0.25">
      <c r="A27" s="17" t="s">
        <v>177</v>
      </c>
      <c r="B27" s="90" t="s">
        <v>178</v>
      </c>
      <c r="C27" s="88">
        <f>VLOOKUP($B$3:$B$210,Costdrivere!$B$3:$H$211,2,FALSE)</f>
        <v>205354.58436122883</v>
      </c>
      <c r="D27" s="46">
        <f>VLOOKUP($B$3:$B$210,Costdrivere!$B$3:$H$211,3,FALSE)</f>
        <v>500981.67</v>
      </c>
      <c r="E27" s="23">
        <f>VLOOKUP($B$3:$B$210,Costdrivere!$B$3:$H$211,4,FALSE)</f>
        <v>70906</v>
      </c>
      <c r="F27" s="46">
        <f>VLOOKUP($B$3:$B$210,Costdrivere!$B$3:$H$211,5,FALSE)</f>
        <v>527405.03999999992</v>
      </c>
      <c r="G27" s="23">
        <f>VLOOKUP($B$3:$B$210,Costdrivere!$B$3:$H$211,6,FALSE)</f>
        <v>224884.80000000002</v>
      </c>
      <c r="H27" s="93">
        <f>VLOOKUP($B$3:$B$210,Costdrivere!$B$3:$H$211,7,FALSE)</f>
        <v>261850.40000000002</v>
      </c>
      <c r="I27" s="27">
        <v>22.807967323963585</v>
      </c>
      <c r="J27" s="20">
        <f>VLOOKUP($B$3:$B$210,Costdrivere!$B$3:$I$211,8,FALSE)</f>
        <v>1.3413136893799877E-2</v>
      </c>
      <c r="K27" s="74">
        <f t="shared" si="1"/>
        <v>1791382.4943612288</v>
      </c>
      <c r="L27" s="89">
        <f t="shared" si="13"/>
        <v>1765485.2153877094</v>
      </c>
      <c r="M27" s="167">
        <f t="shared" si="2"/>
        <v>1599108.9795217006</v>
      </c>
      <c r="N27" s="74">
        <f>K27+VLOOKUP($B$3:$B$210,'Potentialer og krav'!$B$2:$F$209,5,FALSE)</f>
        <v>1791382.4943612288</v>
      </c>
      <c r="O27" s="160">
        <f t="shared" si="3"/>
        <v>1765485.2153877094</v>
      </c>
      <c r="P27" s="163">
        <f t="shared" si="4"/>
        <v>1599108.9795217006</v>
      </c>
      <c r="Q27" s="104">
        <f>N27+(0.25*VLOOKUP($B$3:$B$210,'Potentialer og krav'!$B$2:$C$209,2,FALSE))</f>
        <v>2100432.4943612288</v>
      </c>
      <c r="R27" s="53">
        <f>O27+(0.25*VLOOKUP($B$3:$B$210,'Potentialer og krav'!$B$2:$C$209,2,FALSE))</f>
        <v>2074535.2153877094</v>
      </c>
      <c r="S27" s="104">
        <f>P27+(0.25*VLOOKUP($B$3:$B$210,'Potentialer og krav'!$B$2:$C$209,2,FALSE))</f>
        <v>1908158.9795217006</v>
      </c>
      <c r="T27" s="84">
        <v>1196030</v>
      </c>
      <c r="U27" s="92">
        <f t="shared" si="5"/>
        <v>1213970.45</v>
      </c>
      <c r="W27" s="70">
        <f t="shared" si="6"/>
        <v>0.11463469415807492</v>
      </c>
      <c r="X27" s="73">
        <f t="shared" si="7"/>
        <v>0.27966203285839303</v>
      </c>
      <c r="Y27" s="62">
        <f t="shared" si="8"/>
        <v>3.9581719829903585E-2</v>
      </c>
      <c r="Z27" s="73">
        <f t="shared" si="9"/>
        <v>0.29441229980761985</v>
      </c>
      <c r="AA27" s="62">
        <f t="shared" si="10"/>
        <v>0.12553700882300373</v>
      </c>
      <c r="AB27" s="64">
        <f t="shared" si="11"/>
        <v>0.14617224452300492</v>
      </c>
      <c r="AC27" s="62"/>
      <c r="AD27" s="145">
        <f t="shared" si="12"/>
        <v>0.27170925334600865</v>
      </c>
      <c r="AF27" s="57">
        <f>W$212-W27</f>
        <v>4.0387114348429121E-3</v>
      </c>
      <c r="AG27" s="60">
        <f>X$212-X27</f>
        <v>1.0135964264675112E-2</v>
      </c>
      <c r="AH27" s="83">
        <f>Y$212-Y27</f>
        <v>9.6127941064345149E-3</v>
      </c>
      <c r="AI27" s="60">
        <f>Z$212-Z27</f>
        <v>-6.3073097007339013E-2</v>
      </c>
      <c r="AJ27" s="83">
        <f>AA$212-AA27</f>
        <v>2.3107904543159696E-2</v>
      </c>
      <c r="AK27" s="76">
        <f>AB$212-AB27</f>
        <v>1.6177722658226534E-2</v>
      </c>
      <c r="AL27" s="108"/>
      <c r="AM27" s="57">
        <f>$AD$212-AD27</f>
        <v>3.9285627201386342E-2</v>
      </c>
      <c r="AN27" s="106">
        <f>IF(AM27&lt;$AD$215,(AM27-$AD$215)*0.5683,0)</f>
        <v>0</v>
      </c>
    </row>
    <row r="28" spans="1:40" x14ac:dyDescent="0.25">
      <c r="A28" s="17" t="s">
        <v>21</v>
      </c>
      <c r="B28" s="90" t="s">
        <v>179</v>
      </c>
      <c r="C28" s="88">
        <f>VLOOKUP($B$3:$B$210,Costdrivere!$B$3:$H$211,2,FALSE)</f>
        <v>856071.57332672935</v>
      </c>
      <c r="D28" s="46">
        <f>VLOOKUP($B$3:$B$210,Costdrivere!$B$3:$H$211,3,FALSE)</f>
        <v>2386870.6230000001</v>
      </c>
      <c r="E28" s="23">
        <f>VLOOKUP($B$3:$B$210,Costdrivere!$B$3:$H$211,4,FALSE)</f>
        <v>375546</v>
      </c>
      <c r="F28" s="46">
        <f>VLOOKUP($B$3:$B$210,Costdrivere!$B$3:$H$211,5,FALSE)</f>
        <v>2743866</v>
      </c>
      <c r="G28" s="23">
        <f>VLOOKUP($B$3:$B$210,Costdrivere!$B$3:$H$211,6,FALSE)</f>
        <v>1477096.6</v>
      </c>
      <c r="H28" s="93">
        <f>VLOOKUP($B$3:$B$210,Costdrivere!$B$3:$H$211,7,FALSE)</f>
        <v>1628326.0000000002</v>
      </c>
      <c r="I28" s="27">
        <v>29.335795727654741</v>
      </c>
      <c r="J28" s="20">
        <f>VLOOKUP($B$3:$B$210,Costdrivere!$B$3:$I$211,8,FALSE)</f>
        <v>1.603244837758112E-2</v>
      </c>
      <c r="K28" s="74">
        <f t="shared" si="1"/>
        <v>9467776.7963267285</v>
      </c>
      <c r="L28" s="89">
        <f t="shared" si="13"/>
        <v>10443377.447545134</v>
      </c>
      <c r="M28" s="167">
        <f t="shared" si="2"/>
        <v>8787455.3114259336</v>
      </c>
      <c r="N28" s="74">
        <f>K28+VLOOKUP($B$3:$B$210,'Potentialer og krav'!$B$2:$F$209,5,FALSE)</f>
        <v>9467776.7963267285</v>
      </c>
      <c r="O28" s="160">
        <f t="shared" si="3"/>
        <v>10443377.447545134</v>
      </c>
      <c r="P28" s="163">
        <f t="shared" si="4"/>
        <v>8787455.3114259336</v>
      </c>
      <c r="Q28" s="104">
        <f>N28+(0.25*VLOOKUP($B$3:$B$210,'Potentialer og krav'!$B$2:$C$209,2,FALSE))</f>
        <v>11773735.046326729</v>
      </c>
      <c r="R28" s="53">
        <f>O28+(0.25*VLOOKUP($B$3:$B$210,'Potentialer og krav'!$B$2:$C$209,2,FALSE))</f>
        <v>12749335.697545134</v>
      </c>
      <c r="S28" s="104">
        <f>P28+(0.25*VLOOKUP($B$3:$B$210,'Potentialer og krav'!$B$2:$C$209,2,FALSE))</f>
        <v>11093413.561425934</v>
      </c>
      <c r="T28" s="84">
        <v>8397093</v>
      </c>
      <c r="U28" s="92">
        <f t="shared" si="5"/>
        <v>8523049.3949999996</v>
      </c>
      <c r="W28" s="70">
        <f t="shared" si="6"/>
        <v>9.0419492531643192E-2</v>
      </c>
      <c r="X28" s="73">
        <f t="shared" si="7"/>
        <v>0.25210465712774821</v>
      </c>
      <c r="Y28" s="62">
        <f t="shared" si="8"/>
        <v>3.9665700626328966E-2</v>
      </c>
      <c r="Z28" s="73">
        <f t="shared" si="9"/>
        <v>0.28981101466867643</v>
      </c>
      <c r="AA28" s="62">
        <f t="shared" si="10"/>
        <v>0.15601303577129938</v>
      </c>
      <c r="AB28" s="64">
        <f t="shared" si="11"/>
        <v>0.17198609927430397</v>
      </c>
      <c r="AC28" s="62"/>
      <c r="AD28" s="145">
        <f t="shared" si="12"/>
        <v>0.32799913504560335</v>
      </c>
      <c r="AF28" s="57">
        <f>W$212-W28</f>
        <v>2.8253913061274644E-2</v>
      </c>
      <c r="AG28" s="60">
        <f>X$212-X28</f>
        <v>3.769333999531993E-2</v>
      </c>
      <c r="AH28" s="83">
        <f>Y$212-Y28</f>
        <v>9.5288133100091335E-3</v>
      </c>
      <c r="AI28" s="60">
        <f>Z$212-Z28</f>
        <v>-5.847181186839559E-2</v>
      </c>
      <c r="AJ28" s="83">
        <f>AA$212-AA28</f>
        <v>-7.3681224051359573E-3</v>
      </c>
      <c r="AK28" s="76">
        <f>AB$212-AB28</f>
        <v>-9.6361320930725136E-3</v>
      </c>
      <c r="AL28" s="108"/>
      <c r="AM28" s="57">
        <f>$AD$212-AD28</f>
        <v>-1.700425449820836E-2</v>
      </c>
      <c r="AN28" s="106">
        <f>IF(AM28&lt;$AD$215,(AM28-$AD$215)*0.5683,0)</f>
        <v>0</v>
      </c>
    </row>
    <row r="29" spans="1:40" x14ac:dyDescent="0.25">
      <c r="A29" s="17" t="s">
        <v>180</v>
      </c>
      <c r="B29" s="90" t="s">
        <v>181</v>
      </c>
      <c r="C29" s="88">
        <f>VLOOKUP($B$3:$B$210,Costdrivere!$B$3:$H$211,2,FALSE)</f>
        <v>172153.97491986013</v>
      </c>
      <c r="D29" s="46">
        <f>VLOOKUP($B$3:$B$210,Costdrivere!$B$3:$H$211,3,FALSE)</f>
        <v>427062.71899999998</v>
      </c>
      <c r="E29" s="23">
        <f>VLOOKUP($B$3:$B$210,Costdrivere!$B$3:$H$211,4,FALSE)</f>
        <v>106359</v>
      </c>
      <c r="F29" s="46">
        <f>VLOOKUP($B$3:$B$210,Costdrivere!$B$3:$H$211,5,FALSE)</f>
        <v>343995</v>
      </c>
      <c r="G29" s="23">
        <f>VLOOKUP($B$3:$B$210,Costdrivere!$B$3:$H$211,6,FALSE)</f>
        <v>217008.40000000002</v>
      </c>
      <c r="H29" s="93">
        <f>VLOOKUP($B$3:$B$210,Costdrivere!$B$3:$H$211,7,FALSE)</f>
        <v>236833.80000000002</v>
      </c>
      <c r="I29" s="27">
        <v>24.096128119740104</v>
      </c>
      <c r="J29" s="20">
        <f>VLOOKUP($B$3:$B$210,Costdrivere!$B$3:$I$211,8,FALSE)</f>
        <v>1.8599999999999998E-2</v>
      </c>
      <c r="K29" s="74">
        <f t="shared" si="1"/>
        <v>1503412.8939198602</v>
      </c>
      <c r="L29" s="89">
        <f t="shared" si="13"/>
        <v>1516538.1487616391</v>
      </c>
      <c r="M29" s="167">
        <f t="shared" si="2"/>
        <v>1447663.9383526815</v>
      </c>
      <c r="N29" s="74">
        <f>K29+VLOOKUP($B$3:$B$210,'Potentialer og krav'!$B$2:$F$209,5,FALSE)</f>
        <v>1503412.8939198602</v>
      </c>
      <c r="O29" s="160">
        <f t="shared" si="3"/>
        <v>1516538.1487616391</v>
      </c>
      <c r="P29" s="163">
        <f t="shared" si="4"/>
        <v>1447663.9383526815</v>
      </c>
      <c r="Q29" s="104">
        <f>N29+(0.25*VLOOKUP($B$3:$B$210,'Potentialer og krav'!$B$2:$C$209,2,FALSE))</f>
        <v>1809577.1439198602</v>
      </c>
      <c r="R29" s="53">
        <f>O29+(0.25*VLOOKUP($B$3:$B$210,'Potentialer og krav'!$B$2:$C$209,2,FALSE))</f>
        <v>1822702.3987616391</v>
      </c>
      <c r="S29" s="104">
        <f>P29+(0.25*VLOOKUP($B$3:$B$210,'Potentialer og krav'!$B$2:$C$209,2,FALSE))</f>
        <v>1753828.1883526815</v>
      </c>
      <c r="T29" s="84">
        <v>1442650</v>
      </c>
      <c r="U29" s="92">
        <f t="shared" si="5"/>
        <v>1464289.7499999998</v>
      </c>
      <c r="W29" s="70">
        <f t="shared" si="6"/>
        <v>0.11450877906933585</v>
      </c>
      <c r="X29" s="73">
        <f t="shared" si="7"/>
        <v>0.28406216331331041</v>
      </c>
      <c r="Y29" s="62">
        <f t="shared" si="8"/>
        <v>7.0745036463462377E-2</v>
      </c>
      <c r="Z29" s="73">
        <f t="shared" si="9"/>
        <v>0.22880939852996679</v>
      </c>
      <c r="AA29" s="62">
        <f t="shared" si="10"/>
        <v>0.14434384650925292</v>
      </c>
      <c r="AB29" s="64">
        <f t="shared" si="11"/>
        <v>0.15753077611467159</v>
      </c>
      <c r="AC29" s="62"/>
      <c r="AD29" s="145">
        <f t="shared" si="12"/>
        <v>0.3018746226239245</v>
      </c>
      <c r="AF29" s="57">
        <f>W$212-W29</f>
        <v>4.1646265235819879E-3</v>
      </c>
      <c r="AG29" s="60">
        <f>X$212-X29</f>
        <v>5.7358338097577288E-3</v>
      </c>
      <c r="AH29" s="83">
        <f>Y$212-Y29</f>
        <v>-2.1550522527124277E-2</v>
      </c>
      <c r="AI29" s="60">
        <f>Z$212-Z29</f>
        <v>2.5298042703140455E-3</v>
      </c>
      <c r="AJ29" s="83">
        <f>AA$212-AA29</f>
        <v>4.3010668569105071E-3</v>
      </c>
      <c r="AK29" s="76">
        <f>AB$212-AB29</f>
        <v>4.8191910665598692E-3</v>
      </c>
      <c r="AL29" s="108"/>
      <c r="AM29" s="57">
        <f>$AD$212-AD29</f>
        <v>9.1202579234704872E-3</v>
      </c>
      <c r="AN29" s="106">
        <f>IF(AM29&lt;$AD$215,(AM29-$AD$215)*0.5683,0)</f>
        <v>0</v>
      </c>
    </row>
    <row r="30" spans="1:40" x14ac:dyDescent="0.25">
      <c r="A30" s="17" t="s">
        <v>22</v>
      </c>
      <c r="B30" s="90" t="s">
        <v>182</v>
      </c>
      <c r="C30" s="88">
        <f>VLOOKUP($B$3:$B$210,Costdrivere!$B$3:$H$211,2,FALSE)</f>
        <v>552311.13316536346</v>
      </c>
      <c r="D30" s="46">
        <f>VLOOKUP($B$3:$B$210,Costdrivere!$B$3:$H$211,3,FALSE)</f>
        <v>1378479.4779999999</v>
      </c>
      <c r="E30" s="23">
        <f>VLOOKUP($B$3:$B$210,Costdrivere!$B$3:$H$211,4,FALSE)</f>
        <v>141812</v>
      </c>
      <c r="F30" s="46">
        <f>VLOOKUP($B$3:$B$210,Costdrivere!$B$3:$H$211,5,FALSE)</f>
        <v>692037</v>
      </c>
      <c r="G30" s="23">
        <f>VLOOKUP($B$3:$B$210,Costdrivere!$B$3:$H$211,6,FALSE)</f>
        <v>373721.60000000003</v>
      </c>
      <c r="H30" s="93">
        <f>VLOOKUP($B$3:$B$210,Costdrivere!$B$3:$H$211,7,FALSE)</f>
        <v>412249.60000000003</v>
      </c>
      <c r="I30" s="27">
        <v>31.551451893533667</v>
      </c>
      <c r="J30" s="20">
        <f>VLOOKUP($B$3:$B$210,Costdrivere!$B$3:$I$211,8,FALSE)</f>
        <v>1.609356725146199E-2</v>
      </c>
      <c r="K30" s="74">
        <f t="shared" si="1"/>
        <v>3550610.8111653635</v>
      </c>
      <c r="L30" s="89">
        <f t="shared" si="13"/>
        <v>4058085.8880406851</v>
      </c>
      <c r="M30" s="167">
        <f t="shared" si="2"/>
        <v>3298415.4517579768</v>
      </c>
      <c r="N30" s="74">
        <f>K30+VLOOKUP($B$3:$B$210,'Potentialer og krav'!$B$2:$F$209,5,FALSE)</f>
        <v>3550610.8111653635</v>
      </c>
      <c r="O30" s="160">
        <f t="shared" si="3"/>
        <v>4058085.8880406851</v>
      </c>
      <c r="P30" s="163">
        <f t="shared" si="4"/>
        <v>3298415.4517579768</v>
      </c>
      <c r="Q30" s="104">
        <f>N30+(0.25*VLOOKUP($B$3:$B$210,'Potentialer og krav'!$B$2:$C$209,2,FALSE))</f>
        <v>4339663.5611653635</v>
      </c>
      <c r="R30" s="53">
        <f>O30+(0.25*VLOOKUP($B$3:$B$210,'Potentialer og krav'!$B$2:$C$209,2,FALSE))</f>
        <v>4847138.6380406851</v>
      </c>
      <c r="S30" s="104">
        <f>P30+(0.25*VLOOKUP($B$3:$B$210,'Potentialer og krav'!$B$2:$C$209,2,FALSE))</f>
        <v>4087468.2017579768</v>
      </c>
      <c r="T30" s="84">
        <v>3240152</v>
      </c>
      <c r="U30" s="92">
        <f t="shared" si="5"/>
        <v>3288754.28</v>
      </c>
      <c r="W30" s="70">
        <f t="shared" si="6"/>
        <v>0.1555538363789544</v>
      </c>
      <c r="X30" s="73">
        <f t="shared" si="7"/>
        <v>0.38823727840437749</v>
      </c>
      <c r="Y30" s="62">
        <f t="shared" si="8"/>
        <v>3.9940170168482975E-2</v>
      </c>
      <c r="Z30" s="73">
        <f t="shared" si="9"/>
        <v>0.19490646449444654</v>
      </c>
      <c r="AA30" s="62">
        <f t="shared" si="10"/>
        <v>0.10525557992015999</v>
      </c>
      <c r="AB30" s="64">
        <f t="shared" si="11"/>
        <v>0.11610667063357855</v>
      </c>
      <c r="AC30" s="62"/>
      <c r="AD30" s="145">
        <f t="shared" si="12"/>
        <v>0.22136225055373854</v>
      </c>
      <c r="AF30" s="57">
        <f>W$212-W30</f>
        <v>-3.6880430786036561E-2</v>
      </c>
      <c r="AG30" s="60">
        <f>X$212-X30</f>
        <v>-9.8439281281309354E-2</v>
      </c>
      <c r="AH30" s="83">
        <f>Y$212-Y30</f>
        <v>9.2543437678551249E-3</v>
      </c>
      <c r="AI30" s="60">
        <f>Z$212-Z30</f>
        <v>3.6432738305834295E-2</v>
      </c>
      <c r="AJ30" s="83">
        <f>AA$212-AA30</f>
        <v>4.3389333446003431E-2</v>
      </c>
      <c r="AK30" s="76">
        <f>AB$212-AB30</f>
        <v>4.6243296547652912E-2</v>
      </c>
      <c r="AL30" s="108"/>
      <c r="AM30" s="57">
        <f>$AD$212-AD30</f>
        <v>8.9632629993656454E-2</v>
      </c>
      <c r="AN30" s="106">
        <f>IF(AM30&lt;$AD$215,(AM30-$AD$215)*0.5683,0)</f>
        <v>0</v>
      </c>
    </row>
    <row r="31" spans="1:40" x14ac:dyDescent="0.25">
      <c r="A31" s="17" t="s">
        <v>183</v>
      </c>
      <c r="B31" s="90" t="s">
        <v>184</v>
      </c>
      <c r="C31" s="88">
        <f>VLOOKUP($B$3:$B$210,Costdrivere!$B$3:$H$211,2,FALSE)</f>
        <v>233354.66218761518</v>
      </c>
      <c r="D31" s="46">
        <f>VLOOKUP($B$3:$B$210,Costdrivere!$B$3:$H$211,3,FALSE)</f>
        <v>572795.57631779998</v>
      </c>
      <c r="E31" s="23">
        <f>VLOOKUP($B$3:$B$210,Costdrivere!$B$3:$H$211,4,FALSE)</f>
        <v>35453</v>
      </c>
      <c r="F31" s="46">
        <f>VLOOKUP($B$3:$B$210,Costdrivere!$B$3:$H$211,5,FALSE)</f>
        <v>117363</v>
      </c>
      <c r="G31" s="23">
        <f>VLOOKUP($B$3:$B$210,Costdrivere!$B$3:$H$211,6,FALSE)</f>
        <v>34221.600000000006</v>
      </c>
      <c r="H31" s="93">
        <f>VLOOKUP($B$3:$B$210,Costdrivere!$B$3:$H$211,7,FALSE)</f>
        <v>35802.200000000004</v>
      </c>
      <c r="I31" s="27">
        <v>24.828965662490464</v>
      </c>
      <c r="J31" s="20">
        <f>VLOOKUP($B$3:$B$210,Costdrivere!$B$3:$I$211,8,FALSE)</f>
        <v>8.241379310344828E-3</v>
      </c>
      <c r="K31" s="74">
        <f t="shared" si="1"/>
        <v>1028990.0385054151</v>
      </c>
      <c r="L31" s="89">
        <f t="shared" si="13"/>
        <v>1051546.9221363361</v>
      </c>
      <c r="M31" s="167">
        <f t="shared" si="2"/>
        <v>846469.06284226896</v>
      </c>
      <c r="N31" s="74">
        <f>K31+VLOOKUP($B$3:$B$210,'Potentialer og krav'!$B$2:$F$209,5,FALSE)</f>
        <v>1028990.0385054151</v>
      </c>
      <c r="O31" s="160">
        <f t="shared" si="3"/>
        <v>1051546.9221363361</v>
      </c>
      <c r="P31" s="163">
        <f t="shared" si="4"/>
        <v>846469.06284226896</v>
      </c>
      <c r="Q31" s="104">
        <f>N31+(0.25*VLOOKUP($B$3:$B$210,'Potentialer og krav'!$B$2:$C$209,2,FALSE))</f>
        <v>1109081.038505415</v>
      </c>
      <c r="R31" s="53">
        <f>O31+(0.25*VLOOKUP($B$3:$B$210,'Potentialer og krav'!$B$2:$C$209,2,FALSE))</f>
        <v>1131637.9221363361</v>
      </c>
      <c r="S31" s="104">
        <f>P31+(0.25*VLOOKUP($B$3:$B$210,'Potentialer og krav'!$B$2:$C$209,2,FALSE))</f>
        <v>926560.06284226896</v>
      </c>
      <c r="T31" s="84">
        <v>-2610057</v>
      </c>
      <c r="U31" s="92">
        <f t="shared" si="5"/>
        <v>-2649207.8549999995</v>
      </c>
      <c r="W31" s="70">
        <f t="shared" si="6"/>
        <v>0.22678029276800152</v>
      </c>
      <c r="X31" s="73">
        <f t="shared" si="7"/>
        <v>0.55665803835163719</v>
      </c>
      <c r="Y31" s="62">
        <f t="shared" si="8"/>
        <v>3.4454172220651121E-2</v>
      </c>
      <c r="Z31" s="73">
        <f t="shared" si="9"/>
        <v>0.11405649773876055</v>
      </c>
      <c r="AA31" s="62">
        <f t="shared" si="10"/>
        <v>3.3257464814436991E-2</v>
      </c>
      <c r="AB31" s="64">
        <f t="shared" si="11"/>
        <v>3.479353410651273E-2</v>
      </c>
      <c r="AC31" s="62"/>
      <c r="AD31" s="145">
        <f t="shared" si="12"/>
        <v>6.8050998920949721E-2</v>
      </c>
      <c r="AF31" s="57">
        <f>W$212-W31</f>
        <v>-0.10810688717508368</v>
      </c>
      <c r="AG31" s="60">
        <f>X$212-X31</f>
        <v>-0.26686004122856904</v>
      </c>
      <c r="AH31" s="83">
        <f>Y$212-Y31</f>
        <v>1.4740341715686979E-2</v>
      </c>
      <c r="AI31" s="60">
        <f>Z$212-Z31</f>
        <v>0.11728270506152029</v>
      </c>
      <c r="AJ31" s="83">
        <f>AA$212-AA31</f>
        <v>0.11538744855172643</v>
      </c>
      <c r="AK31" s="76">
        <f>AB$212-AB31</f>
        <v>0.12755643307471873</v>
      </c>
      <c r="AL31" s="108"/>
      <c r="AM31" s="57">
        <f>$AD$212-AD31</f>
        <v>0.24294388162644526</v>
      </c>
      <c r="AN31" s="106">
        <f>IF(AM31&lt;$AD$215,(AM31-$AD$215)*0.5683,0)</f>
        <v>0</v>
      </c>
    </row>
    <row r="32" spans="1:40" x14ac:dyDescent="0.25">
      <c r="A32" s="17" t="s">
        <v>185</v>
      </c>
      <c r="B32" s="90" t="s">
        <v>186</v>
      </c>
      <c r="C32" s="88">
        <f>VLOOKUP($B$3:$B$210,Costdrivere!$B$3:$H$211,2,FALSE)</f>
        <v>146470.74447289473</v>
      </c>
      <c r="D32" s="46">
        <f>VLOOKUP($B$3:$B$210,Costdrivere!$B$3:$H$211,3,FALSE)</f>
        <v>350048.42099999997</v>
      </c>
      <c r="E32" s="23">
        <f>VLOOKUP($B$3:$B$210,Costdrivere!$B$3:$H$211,4,FALSE)</f>
        <v>0</v>
      </c>
      <c r="F32" s="46">
        <f>VLOOKUP($B$3:$B$210,Costdrivere!$B$3:$H$211,5,FALSE)</f>
        <v>211253.4</v>
      </c>
      <c r="G32" s="23">
        <f>VLOOKUP($B$3:$B$210,Costdrivere!$B$3:$H$211,6,FALSE)</f>
        <v>120183.00000000001</v>
      </c>
      <c r="H32" s="93">
        <f>VLOOKUP($B$3:$B$210,Costdrivere!$B$3:$H$211,7,FALSE)</f>
        <v>143059</v>
      </c>
      <c r="I32" s="27">
        <v>28.462418547253336</v>
      </c>
      <c r="J32" s="20">
        <f>VLOOKUP($B$3:$B$210,Costdrivere!$B$3:$I$211,8,FALSE)</f>
        <v>1.8295019157088126E-2</v>
      </c>
      <c r="K32" s="74">
        <f t="shared" si="1"/>
        <v>971014.5654728947</v>
      </c>
      <c r="L32" s="89">
        <f t="shared" si="13"/>
        <v>1055806.9887503537</v>
      </c>
      <c r="M32" s="167">
        <f t="shared" si="2"/>
        <v>930996.86021598801</v>
      </c>
      <c r="N32" s="74">
        <f>K32+VLOOKUP($B$3:$B$210,'Potentialer og krav'!$B$2:$F$209,5,FALSE)</f>
        <v>971014.5654728947</v>
      </c>
      <c r="O32" s="160">
        <f t="shared" si="3"/>
        <v>1055806.9887503537</v>
      </c>
      <c r="P32" s="163">
        <f t="shared" si="4"/>
        <v>930996.86021598801</v>
      </c>
      <c r="Q32" s="104">
        <f>N32+(0.25*VLOOKUP($B$3:$B$210,'Potentialer og krav'!$B$2:$C$209,2,FALSE))</f>
        <v>1102759.3154728948</v>
      </c>
      <c r="R32" s="53">
        <f>O32+(0.25*VLOOKUP($B$3:$B$210,'Potentialer og krav'!$B$2:$C$209,2,FALSE))</f>
        <v>1187551.7387503537</v>
      </c>
      <c r="S32" s="104">
        <f>P32+(0.25*VLOOKUP($B$3:$B$210,'Potentialer og krav'!$B$2:$C$209,2,FALSE))</f>
        <v>1062741.610215988</v>
      </c>
      <c r="T32" s="84">
        <v>514133</v>
      </c>
      <c r="U32" s="92">
        <f t="shared" si="5"/>
        <v>521844.99499999994</v>
      </c>
      <c r="W32" s="70">
        <f t="shared" si="6"/>
        <v>0.15084299420530511</v>
      </c>
      <c r="X32" s="73">
        <f t="shared" si="7"/>
        <v>0.36049760059935104</v>
      </c>
      <c r="Y32" s="62">
        <f t="shared" si="8"/>
        <v>0</v>
      </c>
      <c r="Z32" s="73">
        <f t="shared" si="9"/>
        <v>0.21755945534876428</v>
      </c>
      <c r="AA32" s="62">
        <f t="shared" si="10"/>
        <v>0.12377054296963051</v>
      </c>
      <c r="AB32" s="64">
        <f t="shared" si="11"/>
        <v>0.14732940687694907</v>
      </c>
      <c r="AC32" s="62"/>
      <c r="AD32" s="145">
        <f t="shared" si="12"/>
        <v>0.27109994984657959</v>
      </c>
      <c r="AF32" s="57">
        <f>W$212-W32</f>
        <v>-3.2169588612387279E-2</v>
      </c>
      <c r="AG32" s="60">
        <f>X$212-X32</f>
        <v>-7.0699603476282902E-2</v>
      </c>
      <c r="AH32" s="83">
        <f>Y$212-Y32</f>
        <v>4.91945139363381E-2</v>
      </c>
      <c r="AI32" s="60">
        <f>Z$212-Z32</f>
        <v>1.3779747451516555E-2</v>
      </c>
      <c r="AJ32" s="83">
        <f>AA$212-AA32</f>
        <v>2.487437039653291E-2</v>
      </c>
      <c r="AK32" s="76">
        <f>AB$212-AB32</f>
        <v>1.5020560304282393E-2</v>
      </c>
      <c r="AL32" s="108"/>
      <c r="AM32" s="57">
        <f>$AD$212-AD32</f>
        <v>3.9894930700815401E-2</v>
      </c>
      <c r="AN32" s="106">
        <f>IF(AM32&lt;$AD$215,(AM32-$AD$215)*0.5683,0)</f>
        <v>0</v>
      </c>
    </row>
    <row r="33" spans="1:40" x14ac:dyDescent="0.25">
      <c r="A33" s="17" t="s">
        <v>187</v>
      </c>
      <c r="B33" s="90" t="s">
        <v>188</v>
      </c>
      <c r="C33" s="88">
        <f>VLOOKUP($B$3:$B$210,Costdrivere!$B$3:$H$211,2,FALSE)</f>
        <v>187455.65886252135</v>
      </c>
      <c r="D33" s="46">
        <f>VLOOKUP($B$3:$B$210,Costdrivere!$B$3:$H$211,3,FALSE)</f>
        <v>446717.12400000001</v>
      </c>
      <c r="E33" s="23">
        <f>VLOOKUP($B$3:$B$210,Costdrivere!$B$3:$H$211,4,FALSE)</f>
        <v>178851</v>
      </c>
      <c r="F33" s="46">
        <f>VLOOKUP($B$3:$B$210,Costdrivere!$B$3:$H$211,5,FALSE)</f>
        <v>226632</v>
      </c>
      <c r="G33" s="23">
        <f>VLOOKUP($B$3:$B$210,Costdrivere!$B$3:$H$211,6,FALSE)</f>
        <v>229909.40000000002</v>
      </c>
      <c r="H33" s="93">
        <f>VLOOKUP($B$3:$B$210,Costdrivere!$B$3:$H$211,7,FALSE)</f>
        <v>253311.80000000002</v>
      </c>
      <c r="I33" s="27">
        <v>29.394031151526157</v>
      </c>
      <c r="J33" s="20">
        <f>VLOOKUP($B$3:$B$210,Costdrivere!$B$3:$I$211,8,FALSE)</f>
        <v>3.0196428571428572E-2</v>
      </c>
      <c r="K33" s="74">
        <f t="shared" si="1"/>
        <v>1522876.9828625214</v>
      </c>
      <c r="L33" s="89">
        <f t="shared" si="13"/>
        <v>1681397.1476816058</v>
      </c>
      <c r="M33" s="167">
        <f t="shared" si="2"/>
        <v>1705592.4159279307</v>
      </c>
      <c r="N33" s="74">
        <f>K33+VLOOKUP($B$3:$B$210,'Potentialer og krav'!$B$2:$F$209,5,FALSE)</f>
        <v>1522876.9828625214</v>
      </c>
      <c r="O33" s="160">
        <f t="shared" si="3"/>
        <v>1681397.1476816058</v>
      </c>
      <c r="P33" s="163">
        <f t="shared" si="4"/>
        <v>1705592.4159279307</v>
      </c>
      <c r="Q33" s="104">
        <f>N33+(0.25*VLOOKUP($B$3:$B$210,'Potentialer og krav'!$B$2:$C$209,2,FALSE))</f>
        <v>1879345.2328625214</v>
      </c>
      <c r="R33" s="53">
        <f>O33+(0.25*VLOOKUP($B$3:$B$210,'Potentialer og krav'!$B$2:$C$209,2,FALSE))</f>
        <v>2037865.3976816058</v>
      </c>
      <c r="S33" s="104">
        <f>P33+(0.25*VLOOKUP($B$3:$B$210,'Potentialer og krav'!$B$2:$C$209,2,FALSE))</f>
        <v>2062060.6659279307</v>
      </c>
      <c r="T33" s="84">
        <v>1269802</v>
      </c>
      <c r="U33" s="92">
        <f t="shared" si="5"/>
        <v>1288849.0299999998</v>
      </c>
      <c r="W33" s="70">
        <f t="shared" si="6"/>
        <v>0.1230931066475013</v>
      </c>
      <c r="X33" s="73">
        <f t="shared" si="7"/>
        <v>0.29333762938639651</v>
      </c>
      <c r="Y33" s="62">
        <f t="shared" si="8"/>
        <v>0.11744284141967748</v>
      </c>
      <c r="Z33" s="73">
        <f t="shared" si="9"/>
        <v>0.14881832383729668</v>
      </c>
      <c r="AA33" s="62">
        <f t="shared" si="10"/>
        <v>0.15097043463605572</v>
      </c>
      <c r="AB33" s="64">
        <f t="shared" si="11"/>
        <v>0.16633766407307232</v>
      </c>
      <c r="AC33" s="62"/>
      <c r="AD33" s="145">
        <f t="shared" si="12"/>
        <v>0.31730809870912802</v>
      </c>
      <c r="AF33" s="57">
        <f>W$212-W33</f>
        <v>-4.4197010545834609E-3</v>
      </c>
      <c r="AG33" s="60">
        <f>X$212-X33</f>
        <v>-3.5396322633283739E-3</v>
      </c>
      <c r="AH33" s="83">
        <f>Y$212-Y33</f>
        <v>-6.824832748333938E-2</v>
      </c>
      <c r="AI33" s="60">
        <f>Z$212-Z33</f>
        <v>8.2520878962984157E-2</v>
      </c>
      <c r="AJ33" s="83">
        <f>AA$212-AA33</f>
        <v>-2.3255212698923E-3</v>
      </c>
      <c r="AK33" s="76">
        <f>AB$212-AB33</f>
        <v>-3.987696891840864E-3</v>
      </c>
      <c r="AL33" s="108"/>
      <c r="AM33" s="57">
        <f>$AD$212-AD33</f>
        <v>-6.3132181617330252E-3</v>
      </c>
      <c r="AN33" s="106">
        <f>IF(AM33&lt;$AD$215,(AM33-$AD$215)*0.5683,0)</f>
        <v>0</v>
      </c>
    </row>
    <row r="34" spans="1:40" x14ac:dyDescent="0.25">
      <c r="A34" s="17" t="s">
        <v>189</v>
      </c>
      <c r="B34" s="90" t="s">
        <v>190</v>
      </c>
      <c r="C34" s="88">
        <f>VLOOKUP($B$3:$B$210,Costdrivere!$B$3:$H$211,2,FALSE)</f>
        <v>546540.67709255242</v>
      </c>
      <c r="D34" s="46">
        <f>VLOOKUP($B$3:$B$210,Costdrivere!$B$3:$H$211,3,FALSE)</f>
        <v>1468636.5</v>
      </c>
      <c r="E34" s="23">
        <f>VLOOKUP($B$3:$B$210,Costdrivere!$B$3:$H$211,4,FALSE)</f>
        <v>254750</v>
      </c>
      <c r="F34" s="46">
        <f>VLOOKUP($B$3:$B$210,Costdrivere!$B$3:$H$211,5,FALSE)</f>
        <v>1136357.1299999999</v>
      </c>
      <c r="G34" s="23">
        <f>VLOOKUP($B$3:$B$210,Costdrivere!$B$3:$H$211,6,FALSE)</f>
        <v>763467.60000000009</v>
      </c>
      <c r="H34" s="93">
        <f>VLOOKUP($B$3:$B$210,Costdrivere!$B$3:$H$211,7,FALSE)</f>
        <v>842325.4</v>
      </c>
      <c r="I34" s="27">
        <v>23.52060419234795</v>
      </c>
      <c r="J34" s="20">
        <f>VLOOKUP($B$3:$B$210,Costdrivere!$B$3:$I$211,8,FALSE)</f>
        <v>2.0025641938815487E-2</v>
      </c>
      <c r="K34" s="74">
        <f t="shared" si="1"/>
        <v>5012077.3070925521</v>
      </c>
      <c r="L34" s="89">
        <f t="shared" si="13"/>
        <v>5003912.0089665325</v>
      </c>
      <c r="M34" s="167">
        <f t="shared" si="2"/>
        <v>4922999.132765973</v>
      </c>
      <c r="N34" s="74">
        <f>K34+VLOOKUP($B$3:$B$210,'Potentialer og krav'!$B$2:$F$209,5,FALSE)</f>
        <v>5012077.3070925521</v>
      </c>
      <c r="O34" s="160">
        <f t="shared" si="3"/>
        <v>5003912.0089665325</v>
      </c>
      <c r="P34" s="163">
        <f t="shared" si="4"/>
        <v>4922999.132765973</v>
      </c>
      <c r="Q34" s="104">
        <f>N34+(0.25*VLOOKUP($B$3:$B$210,'Potentialer og krav'!$B$2:$C$209,2,FALSE))</f>
        <v>6525088.8070925521</v>
      </c>
      <c r="R34" s="53">
        <f>O34+(0.25*VLOOKUP($B$3:$B$210,'Potentialer og krav'!$B$2:$C$209,2,FALSE))</f>
        <v>6516923.5089665325</v>
      </c>
      <c r="S34" s="104">
        <f>P34+(0.25*VLOOKUP($B$3:$B$210,'Potentialer og krav'!$B$2:$C$209,2,FALSE))</f>
        <v>6436010.632765973</v>
      </c>
      <c r="T34" s="84">
        <v>5056963</v>
      </c>
      <c r="U34" s="92">
        <f t="shared" si="5"/>
        <v>5132817.4449999994</v>
      </c>
      <c r="W34" s="70">
        <f t="shared" si="6"/>
        <v>0.10904474205119441</v>
      </c>
      <c r="X34" s="73">
        <f t="shared" si="7"/>
        <v>0.29301952264817299</v>
      </c>
      <c r="Y34" s="62">
        <f t="shared" si="8"/>
        <v>5.0827228789848321E-2</v>
      </c>
      <c r="Z34" s="73">
        <f t="shared" si="9"/>
        <v>0.22672378344842162</v>
      </c>
      <c r="AA34" s="62">
        <f t="shared" si="10"/>
        <v>0.15232558343017236</v>
      </c>
      <c r="AB34" s="64">
        <f t="shared" si="11"/>
        <v>0.16805913963219041</v>
      </c>
      <c r="AC34" s="62"/>
      <c r="AD34" s="145">
        <f t="shared" si="12"/>
        <v>0.32038472306236276</v>
      </c>
      <c r="AF34" s="57">
        <f>W$212-W34</f>
        <v>9.6286635417234256E-3</v>
      </c>
      <c r="AG34" s="60">
        <f>X$212-X34</f>
        <v>-3.2215255251048514E-3</v>
      </c>
      <c r="AH34" s="83">
        <f>Y$212-Y34</f>
        <v>-1.6327148535102212E-3</v>
      </c>
      <c r="AI34" s="60">
        <f>Z$212-Z34</f>
        <v>4.6154193518592179E-3</v>
      </c>
      <c r="AJ34" s="83">
        <f>AA$212-AA34</f>
        <v>-3.680670064008934E-3</v>
      </c>
      <c r="AK34" s="76">
        <f>AB$212-AB34</f>
        <v>-5.7091724509589492E-3</v>
      </c>
      <c r="AL34" s="108"/>
      <c r="AM34" s="57">
        <f>$AD$212-AD34</f>
        <v>-9.3898425149677722E-3</v>
      </c>
      <c r="AN34" s="106">
        <f>IF(AM34&lt;$AD$215,(AM34-$AD$215)*0.5683,0)</f>
        <v>0</v>
      </c>
    </row>
    <row r="35" spans="1:40" x14ac:dyDescent="0.25">
      <c r="A35" s="17" t="s">
        <v>191</v>
      </c>
      <c r="B35" s="90" t="s">
        <v>192</v>
      </c>
      <c r="C35" s="88">
        <f>VLOOKUP($B$3:$B$210,Costdrivere!$B$3:$H$211,2,FALSE)</f>
        <v>308829.19989119208</v>
      </c>
      <c r="D35" s="46">
        <f>VLOOKUP($B$3:$B$210,Costdrivere!$B$3:$H$211,3,FALSE)</f>
        <v>823296.16899999999</v>
      </c>
      <c r="E35" s="23">
        <f>VLOOKUP($B$3:$B$210,Costdrivere!$B$3:$H$211,4,FALSE)</f>
        <v>0</v>
      </c>
      <c r="F35" s="46">
        <f>VLOOKUP($B$3:$B$210,Costdrivere!$B$3:$H$211,5,FALSE)</f>
        <v>303525</v>
      </c>
      <c r="G35" s="23">
        <f>VLOOKUP($B$3:$B$210,Costdrivere!$B$3:$H$211,6,FALSE)</f>
        <v>307315.40000000002</v>
      </c>
      <c r="H35" s="93">
        <f>VLOOKUP($B$3:$B$210,Costdrivere!$B$3:$H$211,7,FALSE)</f>
        <v>338997.4</v>
      </c>
      <c r="I35" s="27">
        <v>23.096440250970332</v>
      </c>
      <c r="J35" s="20">
        <f>VLOOKUP($B$3:$B$210,Costdrivere!$B$3:$I$211,8,FALSE)</f>
        <v>3.0173333333333333E-2</v>
      </c>
      <c r="K35" s="74">
        <f t="shared" si="1"/>
        <v>2081963.1688911919</v>
      </c>
      <c r="L35" s="89">
        <f t="shared" si="13"/>
        <v>2062675.7049427279</v>
      </c>
      <c r="M35" s="167">
        <f t="shared" si="2"/>
        <v>2331106.7601198135</v>
      </c>
      <c r="N35" s="74">
        <f>K35+VLOOKUP($B$3:$B$210,'Potentialer og krav'!$B$2:$F$209,5,FALSE)</f>
        <v>2081963.1688911919</v>
      </c>
      <c r="O35" s="160">
        <f t="shared" si="3"/>
        <v>2062675.7049427279</v>
      </c>
      <c r="P35" s="163">
        <f t="shared" si="4"/>
        <v>2331106.7601198135</v>
      </c>
      <c r="Q35" s="104">
        <f>N35+(0.25*VLOOKUP($B$3:$B$210,'Potentialer og krav'!$B$2:$C$209,2,FALSE))</f>
        <v>2455548.1688911919</v>
      </c>
      <c r="R35" s="53">
        <f>O35+(0.25*VLOOKUP($B$3:$B$210,'Potentialer og krav'!$B$2:$C$209,2,FALSE))</f>
        <v>2436260.7049427279</v>
      </c>
      <c r="S35" s="104">
        <f>P35+(0.25*VLOOKUP($B$3:$B$210,'Potentialer og krav'!$B$2:$C$209,2,FALSE))</f>
        <v>2704691.7601198135</v>
      </c>
      <c r="T35" s="84">
        <v>1301150</v>
      </c>
      <c r="U35" s="92">
        <f t="shared" si="5"/>
        <v>1320667.2499999998</v>
      </c>
      <c r="W35" s="70">
        <f t="shared" si="6"/>
        <v>0.14833557312911916</v>
      </c>
      <c r="X35" s="73">
        <f t="shared" si="7"/>
        <v>0.39544223514696925</v>
      </c>
      <c r="Y35" s="62">
        <f t="shared" si="8"/>
        <v>0</v>
      </c>
      <c r="Z35" s="73">
        <f t="shared" si="9"/>
        <v>0.14578788161831449</v>
      </c>
      <c r="AA35" s="62">
        <f t="shared" si="10"/>
        <v>0.14760847098158297</v>
      </c>
      <c r="AB35" s="64">
        <f t="shared" si="11"/>
        <v>0.16282583912401419</v>
      </c>
      <c r="AC35" s="62"/>
      <c r="AD35" s="145">
        <f t="shared" si="12"/>
        <v>0.31043431010559719</v>
      </c>
      <c r="AF35" s="57">
        <f>W$212-W35</f>
        <v>-2.9662167536201323E-2</v>
      </c>
      <c r="AG35" s="60">
        <f>X$212-X35</f>
        <v>-0.1056442380239011</v>
      </c>
      <c r="AH35" s="83">
        <f>Y$212-Y35</f>
        <v>4.91945139363381E-2</v>
      </c>
      <c r="AI35" s="60">
        <f>Z$212-Z35</f>
        <v>8.5551321181966344E-2</v>
      </c>
      <c r="AJ35" s="83">
        <f>AA$212-AA35</f>
        <v>1.0364423845804493E-3</v>
      </c>
      <c r="AK35" s="76">
        <f>AB$212-AB35</f>
        <v>-4.758719427827296E-4</v>
      </c>
      <c r="AL35" s="108"/>
      <c r="AM35" s="57">
        <f>$AD$212-AD35</f>
        <v>5.6057044179780302E-4</v>
      </c>
      <c r="AN35" s="106">
        <f>IF(AM35&lt;$AD$215,(AM35-$AD$215)*0.5683,0)</f>
        <v>0</v>
      </c>
    </row>
    <row r="36" spans="1:40" x14ac:dyDescent="0.25">
      <c r="A36" s="17" t="s">
        <v>193</v>
      </c>
      <c r="B36" s="90" t="s">
        <v>194</v>
      </c>
      <c r="C36" s="88">
        <f>VLOOKUP($B$3:$B$210,Costdrivere!$B$3:$H$211,2,FALSE)</f>
        <v>159237.64418258384</v>
      </c>
      <c r="D36" s="46">
        <f>VLOOKUP($B$3:$B$210,Costdrivere!$B$3:$H$211,3,FALSE)</f>
        <v>370549.65100000001</v>
      </c>
      <c r="E36" s="23">
        <f>VLOOKUP($B$3:$B$210,Costdrivere!$B$3:$H$211,4,FALSE)</f>
        <v>56469</v>
      </c>
      <c r="F36" s="46">
        <f>VLOOKUP($B$3:$B$210,Costdrivere!$B$3:$H$211,5,FALSE)</f>
        <v>228262.94099999999</v>
      </c>
      <c r="G36" s="23">
        <f>VLOOKUP($B$3:$B$210,Costdrivere!$B$3:$H$211,6,FALSE)</f>
        <v>251909.00000000003</v>
      </c>
      <c r="H36" s="93">
        <f>VLOOKUP($B$3:$B$210,Costdrivere!$B$3:$H$211,7,FALSE)</f>
        <v>274583.40000000002</v>
      </c>
      <c r="I36" s="27">
        <v>21.62</v>
      </c>
      <c r="J36" s="20">
        <f>VLOOKUP($B$3:$B$210,Costdrivere!$B$3:$I$211,8,FALSE)</f>
        <v>3.2498271368544225E-2</v>
      </c>
      <c r="K36" s="74">
        <f t="shared" si="1"/>
        <v>1341011.6361825839</v>
      </c>
      <c r="L36" s="89">
        <f t="shared" si="13"/>
        <v>1292949.7791418</v>
      </c>
      <c r="M36" s="167">
        <f t="shared" si="2"/>
        <v>1543714.3787925036</v>
      </c>
      <c r="N36" s="74">
        <f>K36+VLOOKUP($B$3:$B$210,'Potentialer og krav'!$B$2:$F$209,5,FALSE)</f>
        <v>1341011.6361825839</v>
      </c>
      <c r="O36" s="160">
        <f t="shared" si="3"/>
        <v>1292949.7791418</v>
      </c>
      <c r="P36" s="163">
        <f t="shared" si="4"/>
        <v>1543714.3787925036</v>
      </c>
      <c r="Q36" s="104">
        <f>N36+(0.25*VLOOKUP($B$3:$B$210,'Potentialer og krav'!$B$2:$C$209,2,FALSE))</f>
        <v>1935939.3861825839</v>
      </c>
      <c r="R36" s="53">
        <f>O36+(0.25*VLOOKUP($B$3:$B$210,'Potentialer og krav'!$B$2:$C$209,2,FALSE))</f>
        <v>1887877.5291418</v>
      </c>
      <c r="S36" s="104">
        <f>P36+(0.25*VLOOKUP($B$3:$B$210,'Potentialer og krav'!$B$2:$C$209,2,FALSE))</f>
        <v>2138642.1287925038</v>
      </c>
      <c r="T36" s="84">
        <v>0</v>
      </c>
      <c r="U36" s="92">
        <f t="shared" si="5"/>
        <v>0</v>
      </c>
      <c r="W36" s="70">
        <f t="shared" ref="W36" si="14">C36/(SUM($C36:$H36))</f>
        <v>0.11874441644360424</v>
      </c>
      <c r="X36" s="73">
        <f t="shared" ref="X36" si="15">D36/(SUM($C36:$H36))</f>
        <v>0.27632098111753317</v>
      </c>
      <c r="Y36" s="62">
        <f t="shared" ref="Y36" si="16">E36/(SUM($C36:$H36))</f>
        <v>4.2109254294577597E-2</v>
      </c>
      <c r="Z36" s="73">
        <f t="shared" ref="Z36" si="17">F36/(SUM($C36:$H36))</f>
        <v>0.17021697265043054</v>
      </c>
      <c r="AA36" s="62">
        <f t="shared" ref="AA36" si="18">G36/(SUM($C36:$H36))</f>
        <v>0.18784997326130706</v>
      </c>
      <c r="AB36" s="64">
        <f t="shared" ref="AB36" si="19">H36/(SUM($C36:$H36))</f>
        <v>0.2047584022325474</v>
      </c>
      <c r="AC36" s="62"/>
      <c r="AD36" s="145">
        <f t="shared" si="12"/>
        <v>0.39260837549385447</v>
      </c>
      <c r="AF36" s="57">
        <f>W$212-W36</f>
        <v>-7.1010850686406557E-5</v>
      </c>
      <c r="AG36" s="60">
        <f>X$212-X36</f>
        <v>1.347701600553497E-2</v>
      </c>
      <c r="AH36" s="83">
        <f>Y$212-Y36</f>
        <v>7.0852596417605024E-3</v>
      </c>
      <c r="AI36" s="60">
        <f>Z$212-Z36</f>
        <v>6.1122230149850298E-2</v>
      </c>
      <c r="AJ36" s="83">
        <f>AA$212-AA36</f>
        <v>-3.920505989514364E-2</v>
      </c>
      <c r="AK36" s="76">
        <f>AB$212-AB36</f>
        <v>-4.2408435051315946E-2</v>
      </c>
      <c r="AL36" s="108"/>
      <c r="AM36" s="57">
        <f>$AD$212-AD36</f>
        <v>-8.1613494946459475E-2</v>
      </c>
      <c r="AN36" s="106">
        <f>IF(AM36&lt;$AD$215,(AM36-$AD$215)*0.5683,0)</f>
        <v>0</v>
      </c>
    </row>
    <row r="37" spans="1:40" x14ac:dyDescent="0.25">
      <c r="A37" s="17" t="s">
        <v>23</v>
      </c>
      <c r="B37" s="90" t="s">
        <v>195</v>
      </c>
      <c r="C37" s="88">
        <f>VLOOKUP($B$3:$B$210,Costdrivere!$B$3:$H$211,2,FALSE)</f>
        <v>156486.34789634057</v>
      </c>
      <c r="D37" s="46">
        <f>VLOOKUP($B$3:$B$210,Costdrivere!$B$3:$H$211,3,FALSE)</f>
        <v>376570.98</v>
      </c>
      <c r="E37" s="23">
        <f>VLOOKUP($B$3:$B$210,Costdrivere!$B$3:$H$211,4,FALSE)</f>
        <v>70906</v>
      </c>
      <c r="F37" s="46">
        <f>VLOOKUP($B$3:$B$210,Costdrivere!$B$3:$H$211,5,FALSE)</f>
        <v>267102</v>
      </c>
      <c r="G37" s="23">
        <f>VLOOKUP($B$3:$B$210,Costdrivere!$B$3:$H$211,6,FALSE)</f>
        <v>175182.00000000003</v>
      </c>
      <c r="H37" s="93">
        <f>VLOOKUP($B$3:$B$210,Costdrivere!$B$3:$H$211,7,FALSE)</f>
        <v>193242.00000000003</v>
      </c>
      <c r="I37" s="27">
        <v>31.11104462985444</v>
      </c>
      <c r="J37" s="20">
        <f>VLOOKUP($B$3:$B$210,Costdrivere!$B$3:$I$211,8,FALSE)</f>
        <v>1.9545454545454546E-2</v>
      </c>
      <c r="K37" s="74">
        <f t="shared" si="1"/>
        <v>1239489.3278963405</v>
      </c>
      <c r="L37" s="89">
        <f t="shared" si="13"/>
        <v>1406818.9039117994</v>
      </c>
      <c r="M37" s="167">
        <f t="shared" si="2"/>
        <v>1209399.0342489369</v>
      </c>
      <c r="N37" s="74">
        <f>K37+VLOOKUP($B$3:$B$210,'Potentialer og krav'!$B$2:$F$209,5,FALSE)</f>
        <v>1239489.3278963405</v>
      </c>
      <c r="O37" s="160">
        <f t="shared" si="3"/>
        <v>1406818.9039117994</v>
      </c>
      <c r="P37" s="163">
        <f t="shared" si="4"/>
        <v>1209399.0342489369</v>
      </c>
      <c r="Q37" s="104">
        <f>N37+(0.25*VLOOKUP($B$3:$B$210,'Potentialer og krav'!$B$2:$C$209,2,FALSE))</f>
        <v>1557893.5778963405</v>
      </c>
      <c r="R37" s="53">
        <f>O37+(0.25*VLOOKUP($B$3:$B$210,'Potentialer og krav'!$B$2:$C$209,2,FALSE))</f>
        <v>1725223.1539117994</v>
      </c>
      <c r="S37" s="104">
        <f>P37+(0.25*VLOOKUP($B$3:$B$210,'Potentialer og krav'!$B$2:$C$209,2,FALSE))</f>
        <v>1527803.2842489369</v>
      </c>
      <c r="T37" s="84">
        <v>1269625</v>
      </c>
      <c r="U37" s="92">
        <f t="shared" si="5"/>
        <v>1288669.3749999998</v>
      </c>
      <c r="W37" s="70">
        <f t="shared" si="6"/>
        <v>0.12625066176400968</v>
      </c>
      <c r="X37" s="73">
        <f t="shared" si="7"/>
        <v>0.30381139355117781</v>
      </c>
      <c r="Y37" s="62">
        <f t="shared" si="8"/>
        <v>5.720581727019914E-2</v>
      </c>
      <c r="Z37" s="73">
        <f t="shared" si="9"/>
        <v>0.21549358593778709</v>
      </c>
      <c r="AA37" s="62">
        <f t="shared" si="10"/>
        <v>0.14133401236888313</v>
      </c>
      <c r="AB37" s="64">
        <f t="shared" si="11"/>
        <v>0.15590452910794325</v>
      </c>
      <c r="AC37" s="62"/>
      <c r="AD37" s="145">
        <f t="shared" si="12"/>
        <v>0.29723854147682638</v>
      </c>
      <c r="AF37" s="57">
        <f>W$212-W37</f>
        <v>-7.5772561710918396E-3</v>
      </c>
      <c r="AG37" s="60">
        <f>X$212-X37</f>
        <v>-1.401339642810967E-2</v>
      </c>
      <c r="AH37" s="83">
        <f>Y$212-Y37</f>
        <v>-8.0113033338610404E-3</v>
      </c>
      <c r="AI37" s="60">
        <f>Z$212-Z37</f>
        <v>1.584561686249375E-2</v>
      </c>
      <c r="AJ37" s="83">
        <f>AA$212-AA37</f>
        <v>7.3109009972802952E-3</v>
      </c>
      <c r="AK37" s="76">
        <f>AB$212-AB37</f>
        <v>6.4454380732882066E-3</v>
      </c>
      <c r="AL37" s="108"/>
      <c r="AM37" s="57">
        <f>$AD$212-AD37</f>
        <v>1.3756339070568613E-2</v>
      </c>
      <c r="AN37" s="106">
        <f>IF(AM37&lt;$AD$215,(AM37-$AD$215)*0.5683,0)</f>
        <v>0</v>
      </c>
    </row>
    <row r="38" spans="1:40" x14ac:dyDescent="0.25">
      <c r="A38" s="17" t="s">
        <v>196</v>
      </c>
      <c r="B38" s="90" t="s">
        <v>197</v>
      </c>
      <c r="C38" s="88">
        <f>VLOOKUP($B$3:$B$210,Costdrivere!$B$3:$H$211,2,FALSE)</f>
        <v>232515.75736026446</v>
      </c>
      <c r="D38" s="46">
        <f>VLOOKUP($B$3:$B$210,Costdrivere!$B$3:$H$211,3,FALSE)</f>
        <v>581644.57400000002</v>
      </c>
      <c r="E38" s="23">
        <f>VLOOKUP($B$3:$B$210,Costdrivere!$B$3:$H$211,4,FALSE)</f>
        <v>0</v>
      </c>
      <c r="F38" s="46">
        <f>VLOOKUP($B$3:$B$210,Costdrivere!$B$3:$H$211,5,FALSE)</f>
        <v>497781</v>
      </c>
      <c r="G38" s="23">
        <f>VLOOKUP($B$3:$B$210,Costdrivere!$B$3:$H$211,6,FALSE)</f>
        <v>327957</v>
      </c>
      <c r="H38" s="93">
        <f>VLOOKUP($B$3:$B$210,Costdrivere!$B$3:$H$211,7,FALSE)</f>
        <v>369856.2</v>
      </c>
      <c r="I38" s="27">
        <v>29.826558181730288</v>
      </c>
      <c r="J38" s="20">
        <f>VLOOKUP($B$3:$B$210,Costdrivere!$B$3:$I$211,8,FALSE)</f>
        <v>2.0073170731707318E-2</v>
      </c>
      <c r="K38" s="74">
        <f t="shared" si="1"/>
        <v>2009754.5313602644</v>
      </c>
      <c r="L38" s="89">
        <f t="shared" si="13"/>
        <v>2234601.9438231862</v>
      </c>
      <c r="M38" s="167">
        <f t="shared" si="2"/>
        <v>1975329.4950109976</v>
      </c>
      <c r="N38" s="74">
        <f>K38+VLOOKUP($B$3:$B$210,'Potentialer og krav'!$B$2:$F$209,5,FALSE)</f>
        <v>2009754.5313602644</v>
      </c>
      <c r="O38" s="160">
        <f t="shared" si="3"/>
        <v>2234601.9438231862</v>
      </c>
      <c r="P38" s="163">
        <f t="shared" si="4"/>
        <v>1975329.4950109976</v>
      </c>
      <c r="Q38" s="104">
        <f>N38+(0.25*VLOOKUP($B$3:$B$210,'Potentialer og krav'!$B$2:$C$209,2,FALSE))</f>
        <v>2327568.2813602644</v>
      </c>
      <c r="R38" s="53">
        <f>O38+(0.25*VLOOKUP($B$3:$B$210,'Potentialer og krav'!$B$2:$C$209,2,FALSE))</f>
        <v>2552415.6938231862</v>
      </c>
      <c r="S38" s="104">
        <f>P38+(0.25*VLOOKUP($B$3:$B$210,'Potentialer og krav'!$B$2:$C$209,2,FALSE))</f>
        <v>2293143.2450109976</v>
      </c>
      <c r="T38" s="84">
        <v>1030308</v>
      </c>
      <c r="U38" s="92">
        <f t="shared" si="5"/>
        <v>1045762.6199999999</v>
      </c>
      <c r="W38" s="70">
        <f t="shared" si="6"/>
        <v>0.11569361020566554</v>
      </c>
      <c r="X38" s="73">
        <f t="shared" si="7"/>
        <v>0.28941075386272413</v>
      </c>
      <c r="Y38" s="62">
        <f t="shared" si="8"/>
        <v>0</v>
      </c>
      <c r="Z38" s="73">
        <f t="shared" si="9"/>
        <v>0.24768248670800921</v>
      </c>
      <c r="AA38" s="62">
        <f t="shared" si="10"/>
        <v>0.16318261503210968</v>
      </c>
      <c r="AB38" s="64">
        <f t="shared" si="11"/>
        <v>0.18403053419149146</v>
      </c>
      <c r="AC38" s="62"/>
      <c r="AD38" s="145">
        <f t="shared" si="12"/>
        <v>0.34721314922360114</v>
      </c>
      <c r="AF38" s="57">
        <f>W$212-W38</f>
        <v>2.9797953872522931E-3</v>
      </c>
      <c r="AG38" s="60">
        <f>X$212-X38</f>
        <v>3.8724326034400569E-4</v>
      </c>
      <c r="AH38" s="83">
        <f>Y$212-Y38</f>
        <v>4.91945139363381E-2</v>
      </c>
      <c r="AI38" s="60">
        <f>Z$212-Z38</f>
        <v>-1.6343283907728379E-2</v>
      </c>
      <c r="AJ38" s="83">
        <f>AA$212-AA38</f>
        <v>-1.4537701665946257E-2</v>
      </c>
      <c r="AK38" s="76">
        <f>AB$212-AB38</f>
        <v>-2.1680567010259999E-2</v>
      </c>
      <c r="AL38" s="108"/>
      <c r="AM38" s="57">
        <f>$AD$212-AD38</f>
        <v>-3.6218268676206145E-2</v>
      </c>
      <c r="AN38" s="106">
        <f>IF(AM38&lt;$AD$215,(AM38-$AD$215)*0.5683,0)</f>
        <v>0</v>
      </c>
    </row>
    <row r="39" spans="1:40" x14ac:dyDescent="0.25">
      <c r="A39" s="17" t="s">
        <v>198</v>
      </c>
      <c r="B39" s="90" t="s">
        <v>199</v>
      </c>
      <c r="C39" s="88">
        <f>VLOOKUP($B$3:$B$210,Costdrivere!$B$3:$H$211,2,FALSE)</f>
        <v>0</v>
      </c>
      <c r="D39" s="46">
        <f>VLOOKUP($B$3:$B$210,Costdrivere!$B$3:$H$211,3,FALSE)</f>
        <v>703224.44900000002</v>
      </c>
      <c r="E39" s="23">
        <f>VLOOKUP($B$3:$B$210,Costdrivere!$B$3:$H$211,4,FALSE)</f>
        <v>141812</v>
      </c>
      <c r="F39" s="46">
        <f>VLOOKUP($B$3:$B$210,Costdrivere!$B$3:$H$211,5,FALSE)</f>
        <v>659661</v>
      </c>
      <c r="G39" s="23">
        <f>VLOOKUP($B$3:$B$210,Costdrivere!$B$3:$H$211,6,FALSE)</f>
        <v>255711.40000000002</v>
      </c>
      <c r="H39" s="93">
        <f>VLOOKUP($B$3:$B$210,Costdrivere!$B$3:$H$211,7,FALSE)</f>
        <v>275632</v>
      </c>
      <c r="I39" s="27">
        <v>29.757014557673802</v>
      </c>
      <c r="J39" s="20">
        <f>VLOOKUP($B$3:$B$210,Costdrivere!$B$3:$I$211,8,FALSE)</f>
        <v>1.1288343558282208E-2</v>
      </c>
      <c r="K39" s="74">
        <f t="shared" si="1"/>
        <v>2036040.8489999999</v>
      </c>
      <c r="L39" s="89">
        <f t="shared" si="13"/>
        <v>2261280.4374818075</v>
      </c>
      <c r="M39" s="167">
        <f t="shared" si="2"/>
        <v>1758913.955027313</v>
      </c>
      <c r="N39" s="74">
        <f>K39+VLOOKUP($B$3:$B$210,'Potentialer og krav'!$B$2:$F$209,5,FALSE)</f>
        <v>2036040.8489999999</v>
      </c>
      <c r="O39" s="160">
        <f t="shared" si="3"/>
        <v>2261280.4374818075</v>
      </c>
      <c r="P39" s="163">
        <f t="shared" si="4"/>
        <v>1758913.955027313</v>
      </c>
      <c r="Q39" s="104">
        <f>N39+(0.25*VLOOKUP($B$3:$B$210,'Potentialer og krav'!$B$2:$C$209,2,FALSE))</f>
        <v>2415704.5989999999</v>
      </c>
      <c r="R39" s="53">
        <f>O39+(0.25*VLOOKUP($B$3:$B$210,'Potentialer og krav'!$B$2:$C$209,2,FALSE))</f>
        <v>2640944.1874818075</v>
      </c>
      <c r="S39" s="104">
        <f>P39+(0.25*VLOOKUP($B$3:$B$210,'Potentialer og krav'!$B$2:$C$209,2,FALSE))</f>
        <v>2138577.705027313</v>
      </c>
      <c r="T39" s="84">
        <v>1409939</v>
      </c>
      <c r="U39" s="92">
        <f t="shared" si="5"/>
        <v>1431088.085</v>
      </c>
      <c r="W39" s="70">
        <f t="shared" si="6"/>
        <v>0</v>
      </c>
      <c r="X39" s="73">
        <f t="shared" si="7"/>
        <v>0.34538818282815309</v>
      </c>
      <c r="Y39" s="62">
        <f t="shared" si="8"/>
        <v>6.9650861901739775E-2</v>
      </c>
      <c r="Z39" s="73">
        <f t="shared" si="9"/>
        <v>0.32399202615408823</v>
      </c>
      <c r="AA39" s="62">
        <f t="shared" si="10"/>
        <v>0.12559247036993021</v>
      </c>
      <c r="AB39" s="64">
        <f t="shared" si="11"/>
        <v>0.13537645874608875</v>
      </c>
      <c r="AC39" s="62"/>
      <c r="AD39" s="145">
        <f t="shared" si="12"/>
        <v>0.26096892911601899</v>
      </c>
      <c r="AF39" s="57">
        <f>W$212-W39</f>
        <v>0.11867340559291784</v>
      </c>
      <c r="AG39" s="60">
        <f>X$212-X39</f>
        <v>-5.5590185705084949E-2</v>
      </c>
      <c r="AH39" s="83">
        <f>Y$212-Y39</f>
        <v>-2.0456347965401675E-2</v>
      </c>
      <c r="AI39" s="60">
        <f>Z$212-Z39</f>
        <v>-9.2652823353807395E-2</v>
      </c>
      <c r="AJ39" s="83">
        <f>AA$212-AA39</f>
        <v>2.3052442996233213E-2</v>
      </c>
      <c r="AK39" s="76">
        <f>AB$212-AB39</f>
        <v>2.6973508435142707E-2</v>
      </c>
      <c r="AL39" s="108"/>
      <c r="AM39" s="57">
        <f>$AD$212-AD39</f>
        <v>5.0025951431376003E-2</v>
      </c>
      <c r="AN39" s="106">
        <f>IF(AM39&lt;$AD$215,(AM39-$AD$215)*0.5683,0)</f>
        <v>0</v>
      </c>
    </row>
    <row r="40" spans="1:40" x14ac:dyDescent="0.25">
      <c r="A40" s="17" t="s">
        <v>200</v>
      </c>
      <c r="B40" s="90" t="s">
        <v>201</v>
      </c>
      <c r="C40" s="88">
        <f>VLOOKUP($B$3:$B$210,Costdrivere!$B$3:$H$211,2,FALSE)</f>
        <v>423256.72148536623</v>
      </c>
      <c r="D40" s="46">
        <f>VLOOKUP($B$3:$B$210,Costdrivere!$B$3:$H$211,3,FALSE)</f>
        <v>1064133.199</v>
      </c>
      <c r="E40" s="23">
        <f>VLOOKUP($B$3:$B$210,Costdrivere!$B$3:$H$211,4,FALSE)</f>
        <v>35453</v>
      </c>
      <c r="F40" s="46">
        <f>VLOOKUP($B$3:$B$210,Costdrivere!$B$3:$H$211,5,FALSE)</f>
        <v>1428374</v>
      </c>
      <c r="G40" s="23">
        <f>VLOOKUP($B$3:$B$210,Costdrivere!$B$3:$H$211,6,FALSE)</f>
        <v>952490.20000000007</v>
      </c>
      <c r="H40" s="93">
        <f>VLOOKUP($B$3:$B$210,Costdrivere!$B$3:$H$211,7,FALSE)</f>
        <v>851613.00000000012</v>
      </c>
      <c r="I40" s="27">
        <v>30.428917388673749</v>
      </c>
      <c r="J40" s="20">
        <f>VLOOKUP($B$3:$B$210,Costdrivere!$B$3:$I$211,8,FALSE)</f>
        <v>3.7401315789473685E-2</v>
      </c>
      <c r="K40" s="74">
        <f t="shared" si="1"/>
        <v>4755320.1204853663</v>
      </c>
      <c r="L40" s="89">
        <f t="shared" si="13"/>
        <v>5338895.4451321373</v>
      </c>
      <c r="M40" s="167">
        <f t="shared" si="2"/>
        <v>5789903.8340985747</v>
      </c>
      <c r="N40" s="74">
        <f>K40+VLOOKUP($B$3:$B$210,'Potentialer og krav'!$B$2:$F$209,5,FALSE)</f>
        <v>4780661.1204853663</v>
      </c>
      <c r="O40" s="160">
        <f t="shared" si="3"/>
        <v>5367346.3056519721</v>
      </c>
      <c r="P40" s="163">
        <f t="shared" si="4"/>
        <v>5820758.1087514693</v>
      </c>
      <c r="Q40" s="104">
        <f>N40+(0.25*VLOOKUP($B$3:$B$210,'Potentialer og krav'!$B$2:$C$209,2,FALSE))</f>
        <v>5783540.1204853663</v>
      </c>
      <c r="R40" s="53">
        <f>O40+(0.25*VLOOKUP($B$3:$B$210,'Potentialer og krav'!$B$2:$C$209,2,FALSE))</f>
        <v>6370225.3056519721</v>
      </c>
      <c r="S40" s="104">
        <f>P40+(0.25*VLOOKUP($B$3:$B$210,'Potentialer og krav'!$B$2:$C$209,2,FALSE))</f>
        <v>6823637.1087514693</v>
      </c>
      <c r="T40" s="84">
        <v>4713420</v>
      </c>
      <c r="U40" s="92">
        <f t="shared" si="5"/>
        <v>4784121.3</v>
      </c>
      <c r="W40" s="70">
        <f t="shared" si="6"/>
        <v>8.9006988123055159E-2</v>
      </c>
      <c r="X40" s="73">
        <f t="shared" si="7"/>
        <v>0.22377740552435951</v>
      </c>
      <c r="Y40" s="62">
        <f t="shared" si="8"/>
        <v>7.4554391926786581E-3</v>
      </c>
      <c r="Z40" s="73">
        <f t="shared" si="9"/>
        <v>0.30037388941424381</v>
      </c>
      <c r="AA40" s="62">
        <f t="shared" si="10"/>
        <v>0.20029991164985569</v>
      </c>
      <c r="AB40" s="64">
        <f t="shared" si="11"/>
        <v>0.17908636609580716</v>
      </c>
      <c r="AC40" s="62"/>
      <c r="AD40" s="145">
        <f t="shared" si="12"/>
        <v>0.37938627774566286</v>
      </c>
      <c r="AF40" s="57">
        <f>W$212-W40</f>
        <v>2.9666417469862677E-2</v>
      </c>
      <c r="AG40" s="60">
        <f>X$212-X40</f>
        <v>6.6020591598708628E-2</v>
      </c>
      <c r="AH40" s="83">
        <f>Y$212-Y40</f>
        <v>4.1739074743659441E-2</v>
      </c>
      <c r="AI40" s="60">
        <f>Z$212-Z40</f>
        <v>-6.9034686613962976E-2</v>
      </c>
      <c r="AJ40" s="83">
        <f>AA$212-AA40</f>
        <v>-5.1654998283692272E-2</v>
      </c>
      <c r="AK40" s="76">
        <f>AB$212-AB40</f>
        <v>-1.6736398914575706E-2</v>
      </c>
      <c r="AL40" s="108"/>
      <c r="AM40" s="57">
        <f>$AD$212-AD40</f>
        <v>-6.8391397198267867E-2</v>
      </c>
      <c r="AN40" s="106">
        <f>IF(AM40&lt;$AD$215,(AM40-$AD$215)*0.5683,0)</f>
        <v>0</v>
      </c>
    </row>
    <row r="41" spans="1:40" x14ac:dyDescent="0.25">
      <c r="A41" s="17" t="s">
        <v>202</v>
      </c>
      <c r="B41" s="90" t="s">
        <v>203</v>
      </c>
      <c r="C41" s="88">
        <f>VLOOKUP($B$3:$B$210,Costdrivere!$B$3:$H$211,2,FALSE)</f>
        <v>156024.30351613014</v>
      </c>
      <c r="D41" s="46">
        <f>VLOOKUP($B$3:$B$210,Costdrivere!$B$3:$H$211,3,FALSE)</f>
        <v>391700.97399999999</v>
      </c>
      <c r="E41" s="23">
        <f>VLOOKUP($B$3:$B$210,Costdrivere!$B$3:$H$211,4,FALSE)</f>
        <v>70906</v>
      </c>
      <c r="F41" s="46">
        <f>VLOOKUP($B$3:$B$210,Costdrivere!$B$3:$H$211,5,FALSE)</f>
        <v>178068</v>
      </c>
      <c r="G41" s="23">
        <f>VLOOKUP($B$3:$B$210,Costdrivere!$B$3:$H$211,6,FALSE)</f>
        <v>212527.00000000003</v>
      </c>
      <c r="H41" s="93">
        <f>VLOOKUP($B$3:$B$210,Costdrivere!$B$3:$H$211,7,FALSE)</f>
        <v>252413.00000000003</v>
      </c>
      <c r="I41" s="27">
        <v>29.892857543409256</v>
      </c>
      <c r="J41" s="20">
        <f>VLOOKUP($B$3:$B$210,Costdrivere!$B$3:$I$211,8,FALSE)</f>
        <v>3.8295454545454542E-2</v>
      </c>
      <c r="K41" s="74">
        <f t="shared" si="1"/>
        <v>1261639.2775161301</v>
      </c>
      <c r="L41" s="89">
        <f t="shared" si="13"/>
        <v>1404294.6420630452</v>
      </c>
      <c r="M41" s="167">
        <f t="shared" si="2"/>
        <v>1551404.5581624508</v>
      </c>
      <c r="N41" s="74">
        <f>K41+VLOOKUP($B$3:$B$210,'Potentialer og krav'!$B$2:$F$209,5,FALSE)</f>
        <v>1276279.2775161301</v>
      </c>
      <c r="O41" s="160">
        <f t="shared" si="3"/>
        <v>1420590.0078828842</v>
      </c>
      <c r="P41" s="163">
        <f t="shared" si="4"/>
        <v>1569406.9801988145</v>
      </c>
      <c r="Q41" s="104">
        <f>N41+(0.25*VLOOKUP($B$3:$B$210,'Potentialer og krav'!$B$2:$C$209,2,FALSE))</f>
        <v>1697623.7775161301</v>
      </c>
      <c r="R41" s="53">
        <f>O41+(0.25*VLOOKUP($B$3:$B$210,'Potentialer og krav'!$B$2:$C$209,2,FALSE))</f>
        <v>1841934.5078828842</v>
      </c>
      <c r="S41" s="104">
        <f>P41+(0.25*VLOOKUP($B$3:$B$210,'Potentialer og krav'!$B$2:$C$209,2,FALSE))</f>
        <v>1990751.4801988145</v>
      </c>
      <c r="T41" s="84">
        <v>1815062</v>
      </c>
      <c r="U41" s="92">
        <f t="shared" si="5"/>
        <v>1842287.93</v>
      </c>
      <c r="W41" s="70">
        <f t="shared" si="6"/>
        <v>0.12366791863305425</v>
      </c>
      <c r="X41" s="73">
        <f t="shared" si="7"/>
        <v>0.31046986328070469</v>
      </c>
      <c r="Y41" s="62">
        <f t="shared" si="8"/>
        <v>5.6201484262282303E-2</v>
      </c>
      <c r="Z41" s="73">
        <f t="shared" si="9"/>
        <v>0.14114018418210145</v>
      </c>
      <c r="AA41" s="62">
        <f t="shared" si="10"/>
        <v>0.1684530624461974</v>
      </c>
      <c r="AB41" s="64">
        <f t="shared" si="11"/>
        <v>0.20006748719565995</v>
      </c>
      <c r="AC41" s="62"/>
      <c r="AD41" s="145">
        <f t="shared" si="12"/>
        <v>0.36852054964185732</v>
      </c>
      <c r="AF41" s="57">
        <f>W$212-W41</f>
        <v>-4.9945130401364141E-3</v>
      </c>
      <c r="AG41" s="60">
        <f>X$212-X41</f>
        <v>-2.0671866157636554E-2</v>
      </c>
      <c r="AH41" s="83">
        <f>Y$212-Y41</f>
        <v>-7.0069703259442034E-3</v>
      </c>
      <c r="AI41" s="60">
        <f>Z$212-Z41</f>
        <v>9.0199018618179388E-2</v>
      </c>
      <c r="AJ41" s="83">
        <f>AA$212-AA41</f>
        <v>-1.9808149080033977E-2</v>
      </c>
      <c r="AK41" s="76">
        <f>AB$212-AB41</f>
        <v>-3.7717520014428491E-2</v>
      </c>
      <c r="AL41" s="108"/>
      <c r="AM41" s="57">
        <f>$AD$212-AD41</f>
        <v>-5.7525669094462328E-2</v>
      </c>
      <c r="AN41" s="106">
        <f>IF(AM41&lt;$AD$215,(AM41-$AD$215)*0.5683,0)</f>
        <v>0</v>
      </c>
    </row>
    <row r="42" spans="1:40" x14ac:dyDescent="0.25">
      <c r="A42" s="17" t="s">
        <v>204</v>
      </c>
      <c r="B42" s="90" t="s">
        <v>205</v>
      </c>
      <c r="C42" s="88">
        <f>VLOOKUP($B$3:$B$210,Costdrivere!$B$3:$H$211,2,FALSE)</f>
        <v>1819196.3480942666</v>
      </c>
      <c r="D42" s="46">
        <f>VLOOKUP($B$3:$B$210,Costdrivere!$B$3:$H$211,3,FALSE)</f>
        <v>4071423.8829999999</v>
      </c>
      <c r="E42" s="23">
        <f>VLOOKUP($B$3:$B$210,Costdrivere!$B$3:$H$211,4,FALSE)</f>
        <v>1756834</v>
      </c>
      <c r="F42" s="46">
        <f>VLOOKUP($B$3:$B$210,Costdrivere!$B$3:$H$211,5,FALSE)</f>
        <v>5572234</v>
      </c>
      <c r="G42" s="23">
        <f>VLOOKUP($B$3:$B$210,Costdrivere!$B$3:$H$211,6,FALSE)</f>
        <v>2069539.4000000001</v>
      </c>
      <c r="H42" s="93">
        <f>VLOOKUP($B$3:$B$210,Costdrivere!$B$3:$H$211,7,FALSE)</f>
        <v>2185731.8000000003</v>
      </c>
      <c r="I42" s="27">
        <v>29.768643193915331</v>
      </c>
      <c r="J42" s="20">
        <f>VLOOKUP($B$3:$B$210,Costdrivere!$B$3:$I$211,8,FALSE)</f>
        <v>2.6385171790235081E-2</v>
      </c>
      <c r="K42" s="74">
        <f t="shared" si="1"/>
        <v>17474959.431094266</v>
      </c>
      <c r="L42" s="89">
        <f t="shared" si="13"/>
        <v>19411806.651262239</v>
      </c>
      <c r="M42" s="167">
        <f t="shared" si="2"/>
        <v>18669561.05632611</v>
      </c>
      <c r="N42" s="74">
        <f>K42+VLOOKUP($B$3:$B$210,'Potentialer og krav'!$B$2:$F$209,5,FALSE)</f>
        <v>17878368.431094266</v>
      </c>
      <c r="O42" s="160">
        <f t="shared" si="3"/>
        <v>19859927.720742092</v>
      </c>
      <c r="P42" s="163">
        <f t="shared" si="4"/>
        <v>19100547.404870659</v>
      </c>
      <c r="Q42" s="104">
        <f>N42+(0.25*VLOOKUP($B$3:$B$210,'Potentialer og krav'!$B$2:$C$209,2,FALSE))</f>
        <v>21843498.931094266</v>
      </c>
      <c r="R42" s="53">
        <f>O42+(0.25*VLOOKUP($B$3:$B$210,'Potentialer og krav'!$B$2:$C$209,2,FALSE))</f>
        <v>23825058.220742092</v>
      </c>
      <c r="S42" s="104">
        <f>P42+(0.25*VLOOKUP($B$3:$B$210,'Potentialer og krav'!$B$2:$C$209,2,FALSE))</f>
        <v>23065677.904870659</v>
      </c>
      <c r="T42" s="84">
        <v>11208948</v>
      </c>
      <c r="U42" s="92">
        <f t="shared" si="5"/>
        <v>11377082.219999999</v>
      </c>
      <c r="W42" s="70">
        <f t="shared" si="6"/>
        <v>0.10410303699230677</v>
      </c>
      <c r="X42" s="73">
        <f t="shared" si="7"/>
        <v>0.23298617081510736</v>
      </c>
      <c r="Y42" s="62">
        <f t="shared" si="8"/>
        <v>0.10053436787234868</v>
      </c>
      <c r="Z42" s="73">
        <f t="shared" si="9"/>
        <v>0.31886963869483909</v>
      </c>
      <c r="AA42" s="62">
        <f t="shared" si="10"/>
        <v>0.11842885290580657</v>
      </c>
      <c r="AB42" s="64">
        <f t="shared" si="11"/>
        <v>0.12507793271959153</v>
      </c>
      <c r="AC42" s="62"/>
      <c r="AD42" s="145">
        <f t="shared" si="12"/>
        <v>0.2435067856253981</v>
      </c>
      <c r="AF42" s="57">
        <f>W$212-W42</f>
        <v>1.4570368600611061E-2</v>
      </c>
      <c r="AG42" s="60">
        <f>X$212-X42</f>
        <v>5.6811826307960778E-2</v>
      </c>
      <c r="AH42" s="83">
        <f>Y$212-Y42</f>
        <v>-5.1339853936010579E-2</v>
      </c>
      <c r="AI42" s="60">
        <f>Z$212-Z42</f>
        <v>-8.7530435894558251E-2</v>
      </c>
      <c r="AJ42" s="83">
        <f>AA$212-AA42</f>
        <v>3.0216060460356853E-2</v>
      </c>
      <c r="AK42" s="76">
        <f>AB$212-AB42</f>
        <v>3.727203446163993E-2</v>
      </c>
      <c r="AL42" s="108"/>
      <c r="AM42" s="57">
        <f>$AD$212-AD42</f>
        <v>6.7488094921996894E-2</v>
      </c>
      <c r="AN42" s="106">
        <f>IF(AM42&lt;$AD$215,(AM42-$AD$215)*0.5683,0)</f>
        <v>0</v>
      </c>
    </row>
    <row r="43" spans="1:40" x14ac:dyDescent="0.25">
      <c r="A43" s="17" t="s">
        <v>24</v>
      </c>
      <c r="B43" s="90" t="s">
        <v>206</v>
      </c>
      <c r="C43" s="88">
        <f>VLOOKUP($B$3:$B$210,Costdrivere!$B$3:$H$211,2,FALSE)</f>
        <v>3883846.6798982783</v>
      </c>
      <c r="D43" s="46">
        <f>VLOOKUP($B$3:$B$210,Costdrivere!$B$3:$H$211,3,FALSE)</f>
        <v>11806294.297</v>
      </c>
      <c r="E43" s="23">
        <f>VLOOKUP($B$3:$B$210,Costdrivere!$B$3:$H$211,4,FALSE)</f>
        <v>703601</v>
      </c>
      <c r="F43" s="46">
        <f>VLOOKUP($B$3:$B$210,Costdrivere!$B$3:$H$211,5,FALSE)</f>
        <v>8003498</v>
      </c>
      <c r="G43" s="23">
        <f>VLOOKUP($B$3:$B$210,Costdrivere!$B$3:$H$211,6,FALSE)</f>
        <v>4379846.4000000004</v>
      </c>
      <c r="H43" s="93">
        <f>VLOOKUP($B$3:$B$210,Costdrivere!$B$3:$H$211,7,FALSE)</f>
        <v>4910144.4000000004</v>
      </c>
      <c r="I43" s="27">
        <v>25.529930300609848</v>
      </c>
      <c r="J43" s="20">
        <f>VLOOKUP($B$3:$B$210,Costdrivere!$B$3:$I$211,8,FALSE)</f>
        <v>3.3009063444108762E-2</v>
      </c>
      <c r="K43" s="74">
        <f t="shared" si="1"/>
        <v>33687230.77689828</v>
      </c>
      <c r="L43" s="89">
        <f t="shared" si="13"/>
        <v>34850745.464302406</v>
      </c>
      <c r="M43" s="167">
        <f t="shared" si="2"/>
        <v>39012331.538253471</v>
      </c>
      <c r="N43" s="74">
        <f>K43+VLOOKUP($B$3:$B$210,'Potentialer og krav'!$B$2:$F$209,5,FALSE)</f>
        <v>34101710.77689828</v>
      </c>
      <c r="O43" s="160">
        <f t="shared" si="3"/>
        <v>35279541.083500348</v>
      </c>
      <c r="P43" s="163">
        <f t="shared" si="4"/>
        <v>39492330.362824835</v>
      </c>
      <c r="Q43" s="104">
        <f>N43+(0.25*VLOOKUP($B$3:$B$210,'Potentialer og krav'!$B$2:$C$209,2,FALSE))</f>
        <v>42311981.77689828</v>
      </c>
      <c r="R43" s="53">
        <f>O43+(0.25*VLOOKUP($B$3:$B$210,'Potentialer og krav'!$B$2:$C$209,2,FALSE))</f>
        <v>43489812.083500348</v>
      </c>
      <c r="S43" s="104">
        <f>P43+(0.25*VLOOKUP($B$3:$B$210,'Potentialer og krav'!$B$2:$C$209,2,FALSE))</f>
        <v>47702601.362824835</v>
      </c>
      <c r="T43" s="84">
        <v>24929724</v>
      </c>
      <c r="U43" s="92">
        <f t="shared" si="5"/>
        <v>25303669.859999999</v>
      </c>
      <c r="W43" s="70">
        <f t="shared" si="6"/>
        <v>0.1152913608607362</v>
      </c>
      <c r="X43" s="73">
        <f t="shared" si="7"/>
        <v>0.3504679376939589</v>
      </c>
      <c r="Y43" s="62">
        <f t="shared" si="8"/>
        <v>2.0886281946407688E-2</v>
      </c>
      <c r="Z43" s="73">
        <f t="shared" si="9"/>
        <v>0.23758254434759196</v>
      </c>
      <c r="AA43" s="62">
        <f t="shared" si="10"/>
        <v>0.13001503237255024</v>
      </c>
      <c r="AB43" s="64">
        <f t="shared" si="11"/>
        <v>0.14575684277875503</v>
      </c>
      <c r="AC43" s="62"/>
      <c r="AD43" s="145">
        <f t="shared" si="12"/>
        <v>0.2757718751513053</v>
      </c>
      <c r="AF43" s="57">
        <f>W$212-W43</f>
        <v>3.3820447321816355E-3</v>
      </c>
      <c r="AG43" s="60">
        <f>X$212-X43</f>
        <v>-6.0669940570890757E-2</v>
      </c>
      <c r="AH43" s="83">
        <f>Y$212-Y43</f>
        <v>2.8308231989930412E-2</v>
      </c>
      <c r="AI43" s="60">
        <f>Z$212-Z43</f>
        <v>-6.2433415473111264E-3</v>
      </c>
      <c r="AJ43" s="83">
        <f>AA$212-AA43</f>
        <v>1.8629880993613179E-2</v>
      </c>
      <c r="AK43" s="76">
        <f>AB$212-AB43</f>
        <v>1.6593124402476428E-2</v>
      </c>
      <c r="AL43" s="108"/>
      <c r="AM43" s="57">
        <f>$AD$212-AD43</f>
        <v>3.522300539608969E-2</v>
      </c>
      <c r="AN43" s="106">
        <f>IF(AM43&lt;$AD$215,(AM43-$AD$215)*0.5683,0)</f>
        <v>0</v>
      </c>
    </row>
    <row r="44" spans="1:40" x14ac:dyDescent="0.25">
      <c r="A44" s="100" t="s">
        <v>207</v>
      </c>
      <c r="B44" s="90" t="s">
        <v>208</v>
      </c>
      <c r="C44" s="88">
        <f>VLOOKUP($B$3:$B$210,Costdrivere!$B$3:$H$211,2,FALSE)</f>
        <v>132429.63616422086</v>
      </c>
      <c r="D44" s="46">
        <f>VLOOKUP($B$3:$B$210,Costdrivere!$B$3:$H$211,3,FALSE)</f>
        <v>318670.73200000002</v>
      </c>
      <c r="E44" s="23">
        <f>VLOOKUP($B$3:$B$210,Costdrivere!$B$3:$H$211,4,FALSE)</f>
        <v>177265</v>
      </c>
      <c r="F44" s="46">
        <f>VLOOKUP($B$3:$B$210,Costdrivere!$B$3:$H$211,5,FALSE)</f>
        <v>182115</v>
      </c>
      <c r="G44" s="23">
        <f>VLOOKUP($B$3:$B$210,Costdrivere!$B$3:$H$211,6,FALSE)</f>
        <v>181021.40000000002</v>
      </c>
      <c r="H44" s="93">
        <f>VLOOKUP($B$3:$B$210,Costdrivere!$B$3:$H$211,7,FALSE)</f>
        <v>226947.00000000003</v>
      </c>
      <c r="I44" s="27">
        <v>32.149911553513327</v>
      </c>
      <c r="J44" s="20">
        <f>VLOOKUP($B$3:$B$210,Costdrivere!$B$3:$I$211,8,FALSE)</f>
        <v>3.3666666666666664E-2</v>
      </c>
      <c r="K44" s="74">
        <f t="shared" si="1"/>
        <v>1218448.768164221</v>
      </c>
      <c r="L44" s="89">
        <f t="shared" si="13"/>
        <v>1405722.4040158323</v>
      </c>
      <c r="M44" s="167">
        <f t="shared" si="2"/>
        <v>1421906.96807064</v>
      </c>
      <c r="N44" s="74">
        <f>K44+VLOOKUP($B$3:$B$210,'Potentialer og krav'!$B$2:$F$209,5,FALSE)</f>
        <v>1218448.768164221</v>
      </c>
      <c r="O44" s="160">
        <f t="shared" si="3"/>
        <v>1405722.4040158323</v>
      </c>
      <c r="P44" s="163">
        <f t="shared" si="4"/>
        <v>1421906.96807064</v>
      </c>
      <c r="Q44" s="104">
        <f>N44+(0.25*VLOOKUP($B$3:$B$210,'Potentialer og krav'!$B$2:$C$209,2,FALSE))</f>
        <v>1439246.518164221</v>
      </c>
      <c r="R44" s="53">
        <f>O44+(0.25*VLOOKUP($B$3:$B$210,'Potentialer og krav'!$B$2:$C$209,2,FALSE))</f>
        <v>1626520.1540158323</v>
      </c>
      <c r="S44" s="104">
        <f>P44+(0.25*VLOOKUP($B$3:$B$210,'Potentialer og krav'!$B$2:$C$209,2,FALSE))</f>
        <v>1642704.71807064</v>
      </c>
      <c r="T44" s="84">
        <v>797990</v>
      </c>
      <c r="U44" s="92">
        <f t="shared" si="5"/>
        <v>809959.85</v>
      </c>
      <c r="W44" s="70">
        <f t="shared" si="6"/>
        <v>0.10868707788489648</v>
      </c>
      <c r="X44" s="73">
        <f t="shared" si="7"/>
        <v>0.26153806407480401</v>
      </c>
      <c r="Y44" s="62">
        <f t="shared" si="8"/>
        <v>0.14548416366087905</v>
      </c>
      <c r="Z44" s="73">
        <f t="shared" si="9"/>
        <v>0.14946463467182461</v>
      </c>
      <c r="AA44" s="62">
        <f t="shared" si="10"/>
        <v>0.14856710001253182</v>
      </c>
      <c r="AB44" s="64">
        <f t="shared" si="11"/>
        <v>0.18625895969506401</v>
      </c>
      <c r="AC44" s="62"/>
      <c r="AD44" s="145">
        <f t="shared" si="12"/>
        <v>0.33482605970759582</v>
      </c>
      <c r="AF44" s="57">
        <f>W$212-W44</f>
        <v>9.9863277080213531E-3</v>
      </c>
      <c r="AG44" s="60">
        <f>X$212-X44</f>
        <v>2.825993304826413E-2</v>
      </c>
      <c r="AH44" s="83">
        <f>Y$212-Y44</f>
        <v>-9.6289649724540946E-2</v>
      </c>
      <c r="AI44" s="60">
        <f>Z$212-Z44</f>
        <v>8.1874568128456227E-2</v>
      </c>
      <c r="AJ44" s="83">
        <f>AA$212-AA44</f>
        <v>7.781335363160613E-5</v>
      </c>
      <c r="AK44" s="76">
        <f>AB$212-AB44</f>
        <v>-2.390899251383255E-2</v>
      </c>
      <c r="AL44" s="108"/>
      <c r="AM44" s="57">
        <f>$AD$212-AD44</f>
        <v>-2.3831179160200833E-2</v>
      </c>
      <c r="AN44" s="106">
        <f>IF(AM44&lt;$AD$215,(AM44-$AD$215)*0.5683,0)</f>
        <v>0</v>
      </c>
    </row>
    <row r="45" spans="1:40" x14ac:dyDescent="0.25">
      <c r="A45" s="100" t="s">
        <v>25</v>
      </c>
      <c r="B45" s="90" t="s">
        <v>209</v>
      </c>
      <c r="C45" s="88">
        <f>VLOOKUP($B$3:$B$210,Costdrivere!$B$3:$H$211,2,FALSE)</f>
        <v>900372.7286771728</v>
      </c>
      <c r="D45" s="46">
        <f>VLOOKUP($B$3:$B$210,Costdrivere!$B$3:$H$211,3,FALSE)</f>
        <v>2453555.2689999999</v>
      </c>
      <c r="E45" s="23">
        <f>VLOOKUP($B$3:$B$210,Costdrivere!$B$3:$H$211,4,FALSE)</f>
        <v>306226</v>
      </c>
      <c r="F45" s="46">
        <f>VLOOKUP($B$3:$B$210,Costdrivere!$B$3:$H$211,5,FALSE)</f>
        <v>1041228</v>
      </c>
      <c r="G45" s="23">
        <f>VLOOKUP($B$3:$B$210,Costdrivere!$B$3:$H$211,6,FALSE)</f>
        <v>1120334</v>
      </c>
      <c r="H45" s="93">
        <f>VLOOKUP($B$3:$B$210,Costdrivere!$B$3:$H$211,7,FALSE)</f>
        <v>796786.20000000007</v>
      </c>
      <c r="I45" s="27">
        <v>35.543178050169189</v>
      </c>
      <c r="J45" s="20">
        <f>VLOOKUP($B$3:$B$210,Costdrivere!$B$3:$I$211,8,FALSE)</f>
        <v>2.7E-2</v>
      </c>
      <c r="K45" s="74">
        <f t="shared" si="1"/>
        <v>6618502.1976771727</v>
      </c>
      <c r="L45" s="89">
        <f t="shared" si="13"/>
        <v>8040005.6003389396</v>
      </c>
      <c r="M45" s="167">
        <f t="shared" si="2"/>
        <v>7126061.894212639</v>
      </c>
      <c r="N45" s="74">
        <f>K45+VLOOKUP($B$3:$B$210,'Potentialer og krav'!$B$2:$F$209,5,FALSE)</f>
        <v>6618502.1976771727</v>
      </c>
      <c r="O45" s="160">
        <f t="shared" si="3"/>
        <v>8040005.6003389396</v>
      </c>
      <c r="P45" s="163">
        <f t="shared" si="4"/>
        <v>7126061.894212639</v>
      </c>
      <c r="Q45" s="104">
        <f>N45+(0.25*VLOOKUP($B$3:$B$210,'Potentialer og krav'!$B$2:$C$209,2,FALSE))</f>
        <v>8142879.4476771727</v>
      </c>
      <c r="R45" s="53">
        <f>O45+(0.25*VLOOKUP($B$3:$B$210,'Potentialer og krav'!$B$2:$C$209,2,FALSE))</f>
        <v>9564382.8503389396</v>
      </c>
      <c r="S45" s="104">
        <f>P45+(0.25*VLOOKUP($B$3:$B$210,'Potentialer og krav'!$B$2:$C$209,2,FALSE))</f>
        <v>8650439.144212639</v>
      </c>
      <c r="T45" s="84">
        <v>5252303</v>
      </c>
      <c r="U45" s="92">
        <f t="shared" si="5"/>
        <v>5331087.5449999999</v>
      </c>
      <c r="W45" s="70">
        <f t="shared" si="6"/>
        <v>0.1360387443843665</v>
      </c>
      <c r="X45" s="73">
        <f t="shared" si="7"/>
        <v>0.37071155915927606</v>
      </c>
      <c r="Y45" s="62">
        <f t="shared" si="8"/>
        <v>4.6268172292436946E-2</v>
      </c>
      <c r="Z45" s="73">
        <f t="shared" si="9"/>
        <v>0.15732079085286532</v>
      </c>
      <c r="AA45" s="62">
        <f t="shared" si="10"/>
        <v>0.16927304192679607</v>
      </c>
      <c r="AB45" s="64">
        <f t="shared" si="11"/>
        <v>0.1203876913842591</v>
      </c>
      <c r="AC45" s="62"/>
      <c r="AD45" s="145">
        <f t="shared" si="12"/>
        <v>0.28966073331105519</v>
      </c>
      <c r="AF45" s="57">
        <f>W$212-W45</f>
        <v>-1.7365338791448665E-2</v>
      </c>
      <c r="AG45" s="60">
        <f>X$212-X45</f>
        <v>-8.091356203620792E-2</v>
      </c>
      <c r="AH45" s="83">
        <f>Y$212-Y45</f>
        <v>2.9263416439011536E-3</v>
      </c>
      <c r="AI45" s="60">
        <f>Z$212-Z45</f>
        <v>7.4018411947415513E-2</v>
      </c>
      <c r="AJ45" s="83">
        <f>AA$212-AA45</f>
        <v>-2.0628128560632647E-2</v>
      </c>
      <c r="AK45" s="76">
        <f>AB$212-AB45</f>
        <v>4.1962275796972356E-2</v>
      </c>
      <c r="AL45" s="108"/>
      <c r="AM45" s="57">
        <f>$AD$212-AD45</f>
        <v>2.1334147236339807E-2</v>
      </c>
      <c r="AN45" s="106">
        <f>IF(AM45&lt;$AD$215,(AM45-$AD$215)*0.5683,0)</f>
        <v>0</v>
      </c>
    </row>
    <row r="46" spans="1:40" x14ac:dyDescent="0.25">
      <c r="A46" s="17" t="s">
        <v>210</v>
      </c>
      <c r="B46" s="90" t="s">
        <v>211</v>
      </c>
      <c r="C46" s="88">
        <f>VLOOKUP($B$3:$B$210,Costdrivere!$B$3:$H$211,2,FALSE)</f>
        <v>199614.86201705181</v>
      </c>
      <c r="D46" s="46">
        <f>VLOOKUP($B$3:$B$210,Costdrivere!$B$3:$H$211,3,FALSE)</f>
        <v>475089.79399999999</v>
      </c>
      <c r="E46" s="23">
        <f>VLOOKUP($B$3:$B$210,Costdrivere!$B$3:$H$211,4,FALSE)</f>
        <v>0</v>
      </c>
      <c r="F46" s="46">
        <f>VLOOKUP($B$3:$B$210,Costdrivere!$B$3:$H$211,5,FALSE)</f>
        <v>263055</v>
      </c>
      <c r="G46" s="23">
        <f>VLOOKUP($B$3:$B$210,Costdrivere!$B$3:$H$211,6,FALSE)</f>
        <v>184552.2</v>
      </c>
      <c r="H46" s="93">
        <f>VLOOKUP($B$3:$B$210,Costdrivere!$B$3:$H$211,7,FALSE)</f>
        <v>201630.80000000002</v>
      </c>
      <c r="I46" s="27">
        <v>36.785627090088163</v>
      </c>
      <c r="J46" s="20">
        <f>VLOOKUP($B$3:$B$210,Costdrivere!$B$3:$I$211,8,FALSE)</f>
        <v>2.0707692307692309E-2</v>
      </c>
      <c r="K46" s="74">
        <f t="shared" si="1"/>
        <v>1323942.6560170518</v>
      </c>
      <c r="L46" s="89">
        <f t="shared" si="13"/>
        <v>1637904.122202079</v>
      </c>
      <c r="M46" s="167">
        <f t="shared" si="2"/>
        <v>1312642.7850795977</v>
      </c>
      <c r="N46" s="74">
        <f>K46+VLOOKUP($B$3:$B$210,'Potentialer og krav'!$B$2:$F$209,5,FALSE)</f>
        <v>1323942.6560170518</v>
      </c>
      <c r="O46" s="160">
        <f t="shared" si="3"/>
        <v>1637904.122202079</v>
      </c>
      <c r="P46" s="163">
        <f t="shared" si="4"/>
        <v>1312642.7850795977</v>
      </c>
      <c r="Q46" s="104">
        <f>N46+(0.25*VLOOKUP($B$3:$B$210,'Potentialer og krav'!$B$2:$C$209,2,FALSE))</f>
        <v>1870135.1560170518</v>
      </c>
      <c r="R46" s="53">
        <f>O46+(0.25*VLOOKUP($B$3:$B$210,'Potentialer og krav'!$B$2:$C$209,2,FALSE))</f>
        <v>2184096.6222020788</v>
      </c>
      <c r="S46" s="104">
        <f>P46+(0.25*VLOOKUP($B$3:$B$210,'Potentialer og krav'!$B$2:$C$209,2,FALSE))</f>
        <v>1858835.2850795977</v>
      </c>
      <c r="T46" s="84">
        <v>2481695</v>
      </c>
      <c r="U46" s="92">
        <f t="shared" si="5"/>
        <v>2518920.4249999998</v>
      </c>
      <c r="W46" s="70">
        <f t="shared" si="6"/>
        <v>0.15077304225363736</v>
      </c>
      <c r="X46" s="73">
        <f t="shared" si="7"/>
        <v>0.35884469152860426</v>
      </c>
      <c r="Y46" s="62">
        <f t="shared" si="8"/>
        <v>0</v>
      </c>
      <c r="Z46" s="73">
        <f t="shared" si="9"/>
        <v>0.1986906296919041</v>
      </c>
      <c r="AA46" s="62">
        <f t="shared" si="10"/>
        <v>0.13939591655367214</v>
      </c>
      <c r="AB46" s="64">
        <f t="shared" si="11"/>
        <v>0.15229571997218216</v>
      </c>
      <c r="AC46" s="62"/>
      <c r="AD46" s="145">
        <f t="shared" si="12"/>
        <v>0.29169163652585428</v>
      </c>
      <c r="AF46" s="57">
        <f>W$212-W46</f>
        <v>-3.2099636660719522E-2</v>
      </c>
      <c r="AG46" s="60">
        <f>X$212-X46</f>
        <v>-6.9046694405536124E-2</v>
      </c>
      <c r="AH46" s="83">
        <f>Y$212-Y46</f>
        <v>4.91945139363381E-2</v>
      </c>
      <c r="AI46" s="60">
        <f>Z$212-Z46</f>
        <v>3.2648573108376738E-2</v>
      </c>
      <c r="AJ46" s="83">
        <f>AA$212-AA46</f>
        <v>9.248996812491278E-3</v>
      </c>
      <c r="AK46" s="76">
        <f>AB$212-AB46</f>
        <v>1.0054247209049294E-2</v>
      </c>
      <c r="AL46" s="108"/>
      <c r="AM46" s="57">
        <f>$AD$212-AD46</f>
        <v>1.9303244021540711E-2</v>
      </c>
      <c r="AN46" s="106">
        <f>IF(AM46&lt;$AD$215,(AM46-$AD$215)*0.5683,0)</f>
        <v>0</v>
      </c>
    </row>
    <row r="47" spans="1:40" x14ac:dyDescent="0.25">
      <c r="A47" s="17" t="s">
        <v>212</v>
      </c>
      <c r="B47" s="90" t="s">
        <v>213</v>
      </c>
      <c r="C47" s="88">
        <f>VLOOKUP($B$3:$B$210,Costdrivere!$B$3:$H$211,2,FALSE)</f>
        <v>140676.32999491118</v>
      </c>
      <c r="D47" s="46">
        <f>VLOOKUP($B$3:$B$210,Costdrivere!$B$3:$H$211,3,FALSE)</f>
        <v>378204.38199999998</v>
      </c>
      <c r="E47" s="23">
        <f>VLOOKUP($B$3:$B$210,Costdrivere!$B$3:$H$211,4,FALSE)</f>
        <v>91922</v>
      </c>
      <c r="F47" s="46">
        <f>VLOOKUP($B$3:$B$210,Costdrivere!$B$3:$H$211,5,FALSE)</f>
        <v>182115</v>
      </c>
      <c r="G47" s="23">
        <f>VLOOKUP($B$3:$B$210,Costdrivere!$B$3:$H$211,6,FALSE)</f>
        <v>250958.40000000002</v>
      </c>
      <c r="H47" s="93">
        <f>VLOOKUP($B$3:$B$210,Costdrivere!$B$3:$H$211,7,FALSE)</f>
        <v>276830.40000000002</v>
      </c>
      <c r="I47" s="27">
        <v>28.42238657479065</v>
      </c>
      <c r="J47" s="20">
        <f>VLOOKUP($B$3:$B$210,Costdrivere!$B$3:$I$211,8,FALSE)</f>
        <v>4.1066666666666668E-2</v>
      </c>
      <c r="K47" s="74">
        <f t="shared" si="1"/>
        <v>1320706.5119949114</v>
      </c>
      <c r="L47" s="89">
        <f t="shared" si="13"/>
        <v>1435083.6030408037</v>
      </c>
      <c r="M47" s="167">
        <f t="shared" si="2"/>
        <v>1673608.4488984349</v>
      </c>
      <c r="N47" s="74">
        <f>K47+VLOOKUP($B$3:$B$210,'Potentialer og krav'!$B$2:$F$209,5,FALSE)</f>
        <v>1320706.5119949114</v>
      </c>
      <c r="O47" s="160">
        <f t="shared" si="3"/>
        <v>1435083.6030408037</v>
      </c>
      <c r="P47" s="163">
        <f t="shared" si="4"/>
        <v>1673608.4488984349</v>
      </c>
      <c r="Q47" s="104">
        <f>N47+(0.25*VLOOKUP($B$3:$B$210,'Potentialer og krav'!$B$2:$C$209,2,FALSE))</f>
        <v>1605432.5119949114</v>
      </c>
      <c r="R47" s="53">
        <f>O47+(0.25*VLOOKUP($B$3:$B$210,'Potentialer og krav'!$B$2:$C$209,2,FALSE))</f>
        <v>1719809.6030408037</v>
      </c>
      <c r="S47" s="104">
        <f>P47+(0.25*VLOOKUP($B$3:$B$210,'Potentialer og krav'!$B$2:$C$209,2,FALSE))</f>
        <v>1958334.4488984349</v>
      </c>
      <c r="T47" s="84">
        <v>1540094</v>
      </c>
      <c r="U47" s="92">
        <f t="shared" si="5"/>
        <v>1563195.41</v>
      </c>
      <c r="W47" s="70">
        <f t="shared" si="6"/>
        <v>0.10651596605094441</v>
      </c>
      <c r="X47" s="73">
        <f t="shared" si="7"/>
        <v>0.2863651981458975</v>
      </c>
      <c r="Y47" s="62">
        <f t="shared" si="8"/>
        <v>6.9600626002178881E-2</v>
      </c>
      <c r="Z47" s="73">
        <f t="shared" si="9"/>
        <v>0.13789210422300219</v>
      </c>
      <c r="AA47" s="62">
        <f t="shared" si="10"/>
        <v>0.19001829529933215</v>
      </c>
      <c r="AB47" s="64">
        <f t="shared" si="11"/>
        <v>0.20960781027864475</v>
      </c>
      <c r="AC47" s="62"/>
      <c r="AD47" s="145">
        <f t="shared" si="12"/>
        <v>0.3996261055779769</v>
      </c>
      <c r="AF47" s="57">
        <f>W$212-W47</f>
        <v>1.215743954197343E-2</v>
      </c>
      <c r="AG47" s="60">
        <f>X$212-X47</f>
        <v>3.4327989771706369E-3</v>
      </c>
      <c r="AH47" s="83">
        <f>Y$212-Y47</f>
        <v>-2.0406112065840781E-2</v>
      </c>
      <c r="AI47" s="60">
        <f>Z$212-Z47</f>
        <v>9.3447098577278648E-2</v>
      </c>
      <c r="AJ47" s="83">
        <f>AA$212-AA47</f>
        <v>-4.1373381933168724E-2</v>
      </c>
      <c r="AK47" s="76">
        <f>AB$212-AB47</f>
        <v>-4.7257843097413293E-2</v>
      </c>
      <c r="AL47" s="108"/>
      <c r="AM47" s="57">
        <f>$AD$212-AD47</f>
        <v>-8.8631225030581906E-2</v>
      </c>
      <c r="AN47" s="106">
        <f>IF(AM47&lt;$AD$215,(AM47-$AD$215)*0.5683,0)</f>
        <v>0</v>
      </c>
    </row>
    <row r="48" spans="1:40" x14ac:dyDescent="0.25">
      <c r="A48" s="17" t="s">
        <v>26</v>
      </c>
      <c r="B48" s="90" t="s">
        <v>214</v>
      </c>
      <c r="C48" s="88">
        <f>VLOOKUP($B$3:$B$210,Costdrivere!$B$3:$H$211,2,FALSE)</f>
        <v>497389.50136689947</v>
      </c>
      <c r="D48" s="46">
        <f>VLOOKUP($B$3:$B$210,Costdrivere!$B$3:$H$211,3,FALSE)</f>
        <v>1329321.69</v>
      </c>
      <c r="E48" s="23">
        <f>VLOOKUP($B$3:$B$210,Costdrivere!$B$3:$H$211,4,FALSE)</f>
        <v>290203</v>
      </c>
      <c r="F48" s="46">
        <f>VLOOKUP($B$3:$B$210,Costdrivere!$B$3:$H$211,5,FALSE)</f>
        <v>813447</v>
      </c>
      <c r="G48" s="23">
        <f>VLOOKUP($B$3:$B$210,Costdrivere!$B$3:$H$211,6,FALSE)</f>
        <v>656593</v>
      </c>
      <c r="H48" s="93">
        <f>VLOOKUP($B$3:$B$210,Costdrivere!$B$3:$H$211,7,FALSE)</f>
        <v>759036.60000000009</v>
      </c>
      <c r="I48" s="27">
        <v>29.606597245122835</v>
      </c>
      <c r="J48" s="20">
        <f>VLOOKUP($B$3:$B$210,Costdrivere!$B$3:$I$211,8,FALSE)</f>
        <v>2.5208955223880596E-2</v>
      </c>
      <c r="K48" s="74">
        <f t="shared" si="1"/>
        <v>4345990.7913668994</v>
      </c>
      <c r="L48" s="89">
        <f t="shared" si="13"/>
        <v>4815004.6868741913</v>
      </c>
      <c r="M48" s="167">
        <f t="shared" si="2"/>
        <v>4573851.4777514711</v>
      </c>
      <c r="N48" s="74">
        <f>K48+VLOOKUP($B$3:$B$210,'Potentialer og krav'!$B$2:$F$209,5,FALSE)</f>
        <v>4345990.7913668994</v>
      </c>
      <c r="O48" s="160">
        <f t="shared" si="3"/>
        <v>4815004.6868741913</v>
      </c>
      <c r="P48" s="163">
        <f t="shared" si="4"/>
        <v>4573851.4777514711</v>
      </c>
      <c r="Q48" s="104">
        <f>N48+(0.25*VLOOKUP($B$3:$B$210,'Potentialer og krav'!$B$2:$C$209,2,FALSE))</f>
        <v>5874515.2913668994</v>
      </c>
      <c r="R48" s="53">
        <f>O48+(0.25*VLOOKUP($B$3:$B$210,'Potentialer og krav'!$B$2:$C$209,2,FALSE))</f>
        <v>6343529.1868741913</v>
      </c>
      <c r="S48" s="104">
        <f>P48+(0.25*VLOOKUP($B$3:$B$210,'Potentialer og krav'!$B$2:$C$209,2,FALSE))</f>
        <v>6102375.9777514711</v>
      </c>
      <c r="T48" s="84">
        <v>6229567</v>
      </c>
      <c r="U48" s="92">
        <f t="shared" si="5"/>
        <v>6323010.504999999</v>
      </c>
      <c r="W48" s="70">
        <f t="shared" si="6"/>
        <v>0.11444789582963215</v>
      </c>
      <c r="X48" s="73">
        <f t="shared" si="7"/>
        <v>0.30587310323819211</v>
      </c>
      <c r="Y48" s="62">
        <f t="shared" si="8"/>
        <v>6.6774876876516676E-2</v>
      </c>
      <c r="Z48" s="73">
        <f t="shared" si="9"/>
        <v>0.18717181859102719</v>
      </c>
      <c r="AA48" s="62">
        <f t="shared" si="10"/>
        <v>0.15108016365434787</v>
      </c>
      <c r="AB48" s="64">
        <f t="shared" si="11"/>
        <v>0.17465214181028399</v>
      </c>
      <c r="AC48" s="62"/>
      <c r="AD48" s="145">
        <f t="shared" si="12"/>
        <v>0.32573230546463183</v>
      </c>
      <c r="AF48" s="57">
        <f>W$212-W48</f>
        <v>4.2255097632856869E-3</v>
      </c>
      <c r="AG48" s="60">
        <f>X$212-X48</f>
        <v>-1.6075106115123972E-2</v>
      </c>
      <c r="AH48" s="83">
        <f>Y$212-Y48</f>
        <v>-1.7580362940178576E-2</v>
      </c>
      <c r="AI48" s="60">
        <f>Z$212-Z48</f>
        <v>4.4167384209253646E-2</v>
      </c>
      <c r="AJ48" s="83">
        <f>AA$212-AA48</f>
        <v>-2.4352502881844484E-3</v>
      </c>
      <c r="AK48" s="76">
        <f>AB$212-AB48</f>
        <v>-1.2302174629052531E-2</v>
      </c>
      <c r="AL48" s="108"/>
      <c r="AM48" s="57">
        <f>$AD$212-AD48</f>
        <v>-1.4737424917236841E-2</v>
      </c>
      <c r="AN48" s="106">
        <f>IF(AM48&lt;$AD$215,(AM48-$AD$215)*0.5683,0)</f>
        <v>0</v>
      </c>
    </row>
    <row r="49" spans="1:40" x14ac:dyDescent="0.25">
      <c r="A49" s="17" t="s">
        <v>215</v>
      </c>
      <c r="B49" s="90" t="s">
        <v>216</v>
      </c>
      <c r="C49" s="88">
        <f>VLOOKUP($B$3:$B$210,Costdrivere!$B$3:$H$211,2,FALSE)</f>
        <v>153453.46027280629</v>
      </c>
      <c r="D49" s="46">
        <f>VLOOKUP($B$3:$B$210,Costdrivere!$B$3:$H$211,3,FALSE)</f>
        <v>167131.62400000001</v>
      </c>
      <c r="E49" s="23">
        <f>VLOOKUP($B$3:$B$210,Costdrivere!$B$3:$H$211,4,FALSE)</f>
        <v>56469</v>
      </c>
      <c r="F49" s="46">
        <f>VLOOKUP($B$3:$B$210,Costdrivere!$B$3:$H$211,5,FALSE)</f>
        <v>259008</v>
      </c>
      <c r="G49" s="23">
        <f>VLOOKUP($B$3:$B$210,Costdrivere!$B$3:$H$211,6,FALSE)</f>
        <v>290340.40000000002</v>
      </c>
      <c r="H49" s="93">
        <f>VLOOKUP($B$3:$B$210,Costdrivere!$B$3:$H$211,7,FALSE)</f>
        <v>322819</v>
      </c>
      <c r="I49" s="27">
        <v>28.99347422619352</v>
      </c>
      <c r="J49" s="20">
        <f>VLOOKUP($B$3:$B$210,Costdrivere!$B$3:$I$211,8,FALSE)</f>
        <v>3.3671874999999997E-2</v>
      </c>
      <c r="K49" s="74">
        <f t="shared" si="1"/>
        <v>1249221.4842728064</v>
      </c>
      <c r="L49" s="89">
        <f t="shared" si="13"/>
        <v>1370249.2297841383</v>
      </c>
      <c r="M49" s="167">
        <f t="shared" si="2"/>
        <v>1457906.2755108615</v>
      </c>
      <c r="N49" s="74">
        <f>K49+VLOOKUP($B$3:$B$210,'Potentialer og krav'!$B$2:$F$209,5,FALSE)</f>
        <v>1249221.4842728064</v>
      </c>
      <c r="O49" s="160">
        <f t="shared" si="3"/>
        <v>1370249.2297841383</v>
      </c>
      <c r="P49" s="163">
        <f t="shared" si="4"/>
        <v>1457906.2755108615</v>
      </c>
      <c r="Q49" s="104">
        <f>N49+(0.25*VLOOKUP($B$3:$B$210,'Potentialer og krav'!$B$2:$C$209,2,FALSE))</f>
        <v>1479229.9842728064</v>
      </c>
      <c r="R49" s="53">
        <f>O49+(0.25*VLOOKUP($B$3:$B$210,'Potentialer og krav'!$B$2:$C$209,2,FALSE))</f>
        <v>1600257.7297841383</v>
      </c>
      <c r="S49" s="104">
        <f>P49+(0.25*VLOOKUP($B$3:$B$210,'Potentialer og krav'!$B$2:$C$209,2,FALSE))</f>
        <v>1687914.7755108615</v>
      </c>
      <c r="T49" s="84">
        <v>947546</v>
      </c>
      <c r="U49" s="92">
        <f t="shared" si="5"/>
        <v>961759.19</v>
      </c>
      <c r="W49" s="70">
        <f t="shared" si="6"/>
        <v>0.12283927406366552</v>
      </c>
      <c r="X49" s="73">
        <f t="shared" si="7"/>
        <v>0.13378862443859604</v>
      </c>
      <c r="Y49" s="62">
        <f t="shared" si="8"/>
        <v>4.5203353217121128E-2</v>
      </c>
      <c r="Z49" s="73">
        <f t="shared" si="9"/>
        <v>0.20733553117746215</v>
      </c>
      <c r="AA49" s="62">
        <f t="shared" si="10"/>
        <v>0.23241707227682865</v>
      </c>
      <c r="AB49" s="64">
        <f t="shared" si="11"/>
        <v>0.25841614482632641</v>
      </c>
      <c r="AC49" s="62"/>
      <c r="AD49" s="145">
        <f t="shared" si="12"/>
        <v>0.49083321710315508</v>
      </c>
      <c r="AF49" s="57">
        <f>W$212-W49</f>
        <v>-4.1658684707476801E-3</v>
      </c>
      <c r="AG49" s="60">
        <f>X$212-X49</f>
        <v>0.1560093726844721</v>
      </c>
      <c r="AH49" s="83">
        <f>Y$212-Y49</f>
        <v>3.9911607192169712E-3</v>
      </c>
      <c r="AI49" s="60">
        <f>Z$212-Z49</f>
        <v>2.400367162281869E-2</v>
      </c>
      <c r="AJ49" s="83">
        <f>AA$212-AA49</f>
        <v>-8.3772158910665223E-2</v>
      </c>
      <c r="AK49" s="76">
        <f>AB$212-AB49</f>
        <v>-9.6066177645094952E-2</v>
      </c>
      <c r="AL49" s="108"/>
      <c r="AM49" s="57">
        <f>$AD$212-AD49</f>
        <v>-0.17983833655576009</v>
      </c>
      <c r="AN49" s="106">
        <f>IF(AM49&lt;$AD$215,(AM49-$AD$215)*0.5683,0)</f>
        <v>-4.252632523442542E-2</v>
      </c>
    </row>
    <row r="50" spans="1:40" x14ac:dyDescent="0.25">
      <c r="A50" s="17" t="s">
        <v>217</v>
      </c>
      <c r="B50" s="90" t="s">
        <v>218</v>
      </c>
      <c r="C50" s="88">
        <f>VLOOKUP($B$3:$B$210,Costdrivere!$B$3:$H$211,2,FALSE)</f>
        <v>231040.76558668519</v>
      </c>
      <c r="D50" s="46">
        <f>VLOOKUP($B$3:$B$210,Costdrivere!$B$3:$H$211,3,FALSE)</f>
        <v>575887.777</v>
      </c>
      <c r="E50" s="23">
        <f>VLOOKUP($B$3:$B$210,Costdrivere!$B$3:$H$211,4,FALSE)</f>
        <v>70906</v>
      </c>
      <c r="F50" s="46">
        <f>VLOOKUP($B$3:$B$210,Costdrivere!$B$3:$H$211,5,FALSE)</f>
        <v>469452</v>
      </c>
      <c r="G50" s="23">
        <f>VLOOKUP($B$3:$B$210,Costdrivere!$B$3:$H$211,6,FALSE)</f>
        <v>325784.2</v>
      </c>
      <c r="H50" s="93">
        <f>VLOOKUP($B$3:$B$210,Costdrivere!$B$3:$H$211,7,FALSE)</f>
        <v>414946.00000000006</v>
      </c>
      <c r="I50" s="27">
        <v>30.209206378684193</v>
      </c>
      <c r="J50" s="20">
        <f>VLOOKUP($B$3:$B$210,Costdrivere!$B$3:$I$211,8,FALSE)</f>
        <v>2.3879310344827587E-2</v>
      </c>
      <c r="K50" s="74">
        <f t="shared" si="1"/>
        <v>2088016.7425866851</v>
      </c>
      <c r="L50" s="89">
        <f t="shared" si="13"/>
        <v>2336001.5435684267</v>
      </c>
      <c r="M50" s="167">
        <f t="shared" si="2"/>
        <v>2159889.1588896122</v>
      </c>
      <c r="N50" s="74">
        <f>K50+VLOOKUP($B$3:$B$210,'Potentialer og krav'!$B$2:$F$209,5,FALSE)</f>
        <v>2088016.7425866851</v>
      </c>
      <c r="O50" s="160">
        <f t="shared" si="3"/>
        <v>2336001.5435684267</v>
      </c>
      <c r="P50" s="163">
        <f t="shared" si="4"/>
        <v>2159889.1588896122</v>
      </c>
      <c r="Q50" s="104">
        <f>N50+(0.25*VLOOKUP($B$3:$B$210,'Potentialer og krav'!$B$2:$C$209,2,FALSE))</f>
        <v>2745645.9925866853</v>
      </c>
      <c r="R50" s="53">
        <f>O50+(0.25*VLOOKUP($B$3:$B$210,'Potentialer og krav'!$B$2:$C$209,2,FALSE))</f>
        <v>2993630.7935684267</v>
      </c>
      <c r="S50" s="104">
        <f>P50+(0.25*VLOOKUP($B$3:$B$210,'Potentialer og krav'!$B$2:$C$209,2,FALSE))</f>
        <v>2817518.4088896122</v>
      </c>
      <c r="T50" s="84">
        <v>2957998</v>
      </c>
      <c r="U50" s="92">
        <f t="shared" si="5"/>
        <v>3002367.9699999997</v>
      </c>
      <c r="W50" s="70">
        <f t="shared" si="6"/>
        <v>0.11065082040504444</v>
      </c>
      <c r="X50" s="73">
        <f t="shared" si="7"/>
        <v>0.27580611077216577</v>
      </c>
      <c r="Y50" s="62">
        <f t="shared" si="8"/>
        <v>3.3958539964655622E-2</v>
      </c>
      <c r="Z50" s="73">
        <f t="shared" si="9"/>
        <v>0.22483153052615451</v>
      </c>
      <c r="AA50" s="62">
        <f t="shared" si="10"/>
        <v>0.15602566462010775</v>
      </c>
      <c r="AB50" s="64">
        <f t="shared" si="11"/>
        <v>0.19872733371187198</v>
      </c>
      <c r="AC50" s="62"/>
      <c r="AD50" s="145">
        <f t="shared" si="12"/>
        <v>0.35475299833197971</v>
      </c>
      <c r="AF50" s="57">
        <f>W$212-W50</f>
        <v>8.0225851878733961E-3</v>
      </c>
      <c r="AG50" s="60">
        <f>X$212-X50</f>
        <v>1.3991886350902372E-2</v>
      </c>
      <c r="AH50" s="83">
        <f>Y$212-Y50</f>
        <v>1.5235973971682477E-2</v>
      </c>
      <c r="AI50" s="60">
        <f>Z$212-Z50</f>
        <v>6.5076722741263249E-3</v>
      </c>
      <c r="AJ50" s="83">
        <f>AA$212-AA50</f>
        <v>-7.3807512539443287E-3</v>
      </c>
      <c r="AK50" s="76">
        <f>AB$212-AB50</f>
        <v>-3.6377366530640526E-2</v>
      </c>
      <c r="AL50" s="108"/>
      <c r="AM50" s="57">
        <f>$AD$212-AD50</f>
        <v>-4.3758117784584716E-2</v>
      </c>
      <c r="AN50" s="106">
        <f>IF(AM50&lt;$AD$215,(AM50-$AD$215)*0.5683,0)</f>
        <v>0</v>
      </c>
    </row>
    <row r="51" spans="1:40" x14ac:dyDescent="0.25">
      <c r="A51" s="17" t="s">
        <v>30</v>
      </c>
      <c r="B51" s="90" t="s">
        <v>219</v>
      </c>
      <c r="C51" s="88">
        <f>VLOOKUP($B$3:$B$210,Costdrivere!$B$3:$H$211,2,FALSE)</f>
        <v>1750694.3621355568</v>
      </c>
      <c r="D51" s="46">
        <f>VLOOKUP($B$3:$B$210,Costdrivere!$B$3:$H$211,3,FALSE)</f>
        <v>5287852.7799999993</v>
      </c>
      <c r="E51" s="23">
        <f>VLOOKUP($B$3:$B$210,Costdrivere!$B$3:$H$211,4,FALSE)</f>
        <v>395905</v>
      </c>
      <c r="F51" s="46">
        <f>VLOOKUP($B$3:$B$210,Costdrivere!$B$3:$H$211,5,FALSE)</f>
        <v>8031559</v>
      </c>
      <c r="G51" s="23">
        <f>VLOOKUP($B$3:$B$210,Costdrivere!$B$3:$H$211,6,FALSE)</f>
        <v>3443688.6</v>
      </c>
      <c r="H51" s="93">
        <f>VLOOKUP($B$3:$B$210,Costdrivere!$B$3:$H$211,7,FALSE)</f>
        <v>2513344.4000000004</v>
      </c>
      <c r="I51" s="27">
        <v>24.976641137254095</v>
      </c>
      <c r="J51" s="20">
        <f>VLOOKUP($B$3:$B$210,Costdrivere!$B$3:$I$211,8,FALSE)</f>
        <v>4.4503978779840851E-2</v>
      </c>
      <c r="K51" s="74">
        <f t="shared" si="1"/>
        <v>21423044.142135561</v>
      </c>
      <c r="L51" s="89">
        <f t="shared" si="13"/>
        <v>21949612.722630069</v>
      </c>
      <c r="M51" s="167">
        <f t="shared" si="2"/>
        <v>28144778.931608167</v>
      </c>
      <c r="N51" s="74">
        <f>K51+VLOOKUP($B$3:$B$210,'Potentialer og krav'!$B$2:$F$209,5,FALSE)</f>
        <v>21520699.142135561</v>
      </c>
      <c r="O51" s="160">
        <f t="shared" si="3"/>
        <v>22049668.037654724</v>
      </c>
      <c r="P51" s="163">
        <f t="shared" si="4"/>
        <v>28273074.348838829</v>
      </c>
      <c r="Q51" s="104">
        <f>N51+(0.25*VLOOKUP($B$3:$B$210,'Potentialer og krav'!$B$2:$C$209,2,FALSE))</f>
        <v>27198866.642135561</v>
      </c>
      <c r="R51" s="53">
        <f>O51+(0.25*VLOOKUP($B$3:$B$210,'Potentialer og krav'!$B$2:$C$209,2,FALSE))</f>
        <v>27727835.537654724</v>
      </c>
      <c r="S51" s="104">
        <f>P51+(0.25*VLOOKUP($B$3:$B$210,'Potentialer og krav'!$B$2:$C$209,2,FALSE))</f>
        <v>33951241.848838829</v>
      </c>
      <c r="T51" s="181">
        <v>17398139</v>
      </c>
      <c r="U51" s="92">
        <f t="shared" si="5"/>
        <v>17659111.084999997</v>
      </c>
      <c r="W51" s="70">
        <f t="shared" si="6"/>
        <v>8.1720149131011333E-2</v>
      </c>
      <c r="X51" s="73">
        <f t="shared" si="7"/>
        <v>0.24683013043882374</v>
      </c>
      <c r="Y51" s="62">
        <f t="shared" si="8"/>
        <v>1.8480333484507963E-2</v>
      </c>
      <c r="Z51" s="73">
        <f t="shared" si="9"/>
        <v>0.37490278910471275</v>
      </c>
      <c r="AA51" s="62">
        <f t="shared" si="10"/>
        <v>0.16074693106881285</v>
      </c>
      <c r="AB51" s="64">
        <f t="shared" si="11"/>
        <v>0.11731966677213115</v>
      </c>
      <c r="AC51" s="62"/>
      <c r="AD51" s="145">
        <f t="shared" si="12"/>
        <v>0.27806659784094401</v>
      </c>
      <c r="AF51" s="57">
        <f>W$212-W51</f>
        <v>3.6953256461906503E-2</v>
      </c>
      <c r="AG51" s="60">
        <f>X$212-X51</f>
        <v>4.2967866684244405E-2</v>
      </c>
      <c r="AH51" s="83">
        <f>Y$212-Y51</f>
        <v>3.0714180451830136E-2</v>
      </c>
      <c r="AI51" s="60">
        <f>Z$212-Z51</f>
        <v>-0.14356358630443192</v>
      </c>
      <c r="AJ51" s="83">
        <f>AA$212-AA51</f>
        <v>-1.2102017702649431E-2</v>
      </c>
      <c r="AK51" s="76">
        <f>AB$212-AB51</f>
        <v>4.5030300409100305E-2</v>
      </c>
      <c r="AL51" s="108"/>
      <c r="AM51" s="57">
        <f>$AD$212-AD51</f>
        <v>3.2928282706450984E-2</v>
      </c>
      <c r="AN51" s="106">
        <f>IF(AM51&lt;$AD$215,(AM51-$AD$215)*0.5683,0)</f>
        <v>0</v>
      </c>
    </row>
    <row r="52" spans="1:40" x14ac:dyDescent="0.25">
      <c r="A52" s="63" t="s">
        <v>27</v>
      </c>
      <c r="B52" s="90" t="s">
        <v>220</v>
      </c>
      <c r="C52" s="88">
        <f>VLOOKUP($B$3:$B$210,Costdrivere!$B$3:$H$211,2,FALSE)</f>
        <v>640736.37333967222</v>
      </c>
      <c r="D52" s="46">
        <f>VLOOKUP($B$3:$B$210,Costdrivere!$B$3:$H$211,3,FALSE)</f>
        <v>1711760.764</v>
      </c>
      <c r="E52" s="23">
        <f>VLOOKUP($B$3:$B$210,Costdrivere!$B$3:$H$211,4,FALSE)</f>
        <v>183844</v>
      </c>
      <c r="F52" s="46">
        <f>VLOOKUP($B$3:$B$210,Costdrivere!$B$3:$H$211,5,FALSE)</f>
        <v>1108878</v>
      </c>
      <c r="G52" s="23">
        <f>VLOOKUP($B$3:$B$210,Costdrivere!$B$3:$H$211,6,FALSE)</f>
        <v>1044302.0000000001</v>
      </c>
      <c r="H52" s="93">
        <f>VLOOKUP($B$3:$B$210,Costdrivere!$B$3:$H$211,7,FALSE)</f>
        <v>1523016.6</v>
      </c>
      <c r="I52" s="27">
        <v>34.051286954241647</v>
      </c>
      <c r="J52" s="20">
        <f>VLOOKUP($B$3:$B$210,Costdrivere!$B$3:$I$211,8,FALSE)</f>
        <v>3.7105839416058391E-2</v>
      </c>
      <c r="K52" s="74">
        <f t="shared" si="1"/>
        <v>6212537.7373396717</v>
      </c>
      <c r="L52" s="89">
        <f t="shared" si="13"/>
        <v>7380017.4927180596</v>
      </c>
      <c r="M52" s="167">
        <f t="shared" si="2"/>
        <v>7539296.547312052</v>
      </c>
      <c r="N52" s="74">
        <f>K52+VLOOKUP($B$3:$B$210,'Potentialer og krav'!$B$2:$F$209,5,FALSE)</f>
        <v>6212537.7373396717</v>
      </c>
      <c r="O52" s="160">
        <f t="shared" si="3"/>
        <v>7380017.4927180596</v>
      </c>
      <c r="P52" s="163">
        <f t="shared" si="4"/>
        <v>7539296.547312052</v>
      </c>
      <c r="Q52" s="104">
        <f>N52+(0.25*VLOOKUP($B$3:$B$210,'Potentialer og krav'!$B$2:$C$209,2,FALSE))</f>
        <v>8818119.4873396717</v>
      </c>
      <c r="R52" s="53">
        <f>O52+(0.25*VLOOKUP($B$3:$B$210,'Potentialer og krav'!$B$2:$C$209,2,FALSE))</f>
        <v>9985599.2427180596</v>
      </c>
      <c r="S52" s="104">
        <f>P52+(0.25*VLOOKUP($B$3:$B$210,'Potentialer og krav'!$B$2:$C$209,2,FALSE))</f>
        <v>10144878.297312051</v>
      </c>
      <c r="T52" s="84">
        <v>8227593</v>
      </c>
      <c r="U52" s="92">
        <f t="shared" si="5"/>
        <v>8351006.8949999996</v>
      </c>
      <c r="W52" s="70">
        <f t="shared" si="6"/>
        <v>0.10313601308022764</v>
      </c>
      <c r="X52" s="73">
        <f t="shared" si="7"/>
        <v>0.27553325812601165</v>
      </c>
      <c r="Y52" s="62">
        <f t="shared" si="8"/>
        <v>2.9592415816652333E-2</v>
      </c>
      <c r="Z52" s="73">
        <f t="shared" si="9"/>
        <v>0.17849034434595529</v>
      </c>
      <c r="AA52" s="62">
        <f t="shared" si="10"/>
        <v>0.16809588032332667</v>
      </c>
      <c r="AB52" s="64">
        <f t="shared" si="11"/>
        <v>0.24515208830782653</v>
      </c>
      <c r="AC52" s="62"/>
      <c r="AD52" s="145">
        <f t="shared" si="12"/>
        <v>0.41324796863115321</v>
      </c>
      <c r="AF52" s="57">
        <f>W$212-W52</f>
        <v>1.5537392512690193E-2</v>
      </c>
      <c r="AG52" s="60">
        <f>X$212-X52</f>
        <v>1.4264738997056492E-2</v>
      </c>
      <c r="AH52" s="83">
        <f>Y$212-Y52</f>
        <v>1.9602098119685767E-2</v>
      </c>
      <c r="AI52" s="60">
        <f>Z$212-Z52</f>
        <v>5.2848858454325548E-2</v>
      </c>
      <c r="AJ52" s="83">
        <f>AA$212-AA52</f>
        <v>-1.9450966957163252E-2</v>
      </c>
      <c r="AK52" s="76">
        <f>AB$212-AB52</f>
        <v>-8.2802121126595074E-2</v>
      </c>
      <c r="AL52" s="108"/>
      <c r="AM52" s="57">
        <f>$AD$212-AD52</f>
        <v>-0.10225308808375821</v>
      </c>
      <c r="AN52" s="106">
        <f>IF(AM52&lt;$AD$215,(AM52-$AD$215)*0.5683,0)</f>
        <v>0</v>
      </c>
    </row>
    <row r="53" spans="1:40" x14ac:dyDescent="0.25">
      <c r="A53" s="17" t="s">
        <v>221</v>
      </c>
      <c r="B53" s="90" t="s">
        <v>222</v>
      </c>
      <c r="C53" s="88">
        <f>VLOOKUP($B$3:$B$210,Costdrivere!$B$3:$H$211,2,FALSE)</f>
        <v>1482091.6971114094</v>
      </c>
      <c r="D53" s="46">
        <f>VLOOKUP($B$3:$B$210,Costdrivere!$B$3:$H$211,3,FALSE)</f>
        <v>4535188.4239999996</v>
      </c>
      <c r="E53" s="23">
        <f>VLOOKUP($B$3:$B$210,Costdrivere!$B$3:$H$211,4,FALSE)</f>
        <v>715404</v>
      </c>
      <c r="F53" s="46">
        <f>VLOOKUP($B$3:$B$210,Costdrivere!$B$3:$H$211,5,FALSE)</f>
        <v>11983793</v>
      </c>
      <c r="G53" s="23">
        <f>VLOOKUP($B$3:$B$210,Costdrivere!$B$3:$H$211,6,FALSE)</f>
        <v>3937399.3</v>
      </c>
      <c r="H53" s="93">
        <f>VLOOKUP($B$3:$B$210,Costdrivere!$B$3:$H$211,7,FALSE)</f>
        <v>749149.8</v>
      </c>
      <c r="I53" s="27">
        <v>61.5923508672265</v>
      </c>
      <c r="J53" s="20">
        <f>VLOOKUP($B$3:$B$210,Costdrivere!$B$3:$I$211,8,FALSE)</f>
        <v>2.9767857142857145E-2</v>
      </c>
      <c r="K53" s="74">
        <f t="shared" si="1"/>
        <v>23403026.221111409</v>
      </c>
      <c r="L53" s="89">
        <f t="shared" si="13"/>
        <v>39402793.319719784</v>
      </c>
      <c r="M53" s="167">
        <f t="shared" si="2"/>
        <v>26075086.799643565</v>
      </c>
      <c r="N53" s="74">
        <f>K53+VLOOKUP($B$3:$B$210,'Potentialer og krav'!$B$2:$F$209,5,FALSE)</f>
        <v>23403026.221111409</v>
      </c>
      <c r="O53" s="160">
        <f t="shared" si="3"/>
        <v>39402793.319719784</v>
      </c>
      <c r="P53" s="163">
        <f t="shared" si="4"/>
        <v>26075086.799643565</v>
      </c>
      <c r="Q53" s="104">
        <f>N53+(0.25*VLOOKUP($B$3:$B$210,'Potentialer og krav'!$B$2:$C$209,2,FALSE))</f>
        <v>30930705.971111409</v>
      </c>
      <c r="R53" s="53">
        <f>O53+(0.25*VLOOKUP($B$3:$B$210,'Potentialer og krav'!$B$2:$C$209,2,FALSE))</f>
        <v>46930473.069719784</v>
      </c>
      <c r="S53" s="104">
        <f>P53+(0.25*VLOOKUP($B$3:$B$210,'Potentialer og krav'!$B$2:$C$209,2,FALSE))</f>
        <v>33602766.549643561</v>
      </c>
      <c r="T53" s="84">
        <v>28930873</v>
      </c>
      <c r="U53" s="92">
        <f t="shared" si="5"/>
        <v>29364836.094999999</v>
      </c>
      <c r="W53" s="70">
        <f t="shared" si="6"/>
        <v>6.3329061938769429E-2</v>
      </c>
      <c r="X53" s="73">
        <f t="shared" si="7"/>
        <v>0.19378640955026985</v>
      </c>
      <c r="Y53" s="62">
        <f t="shared" si="8"/>
        <v>3.0568867173026031E-2</v>
      </c>
      <c r="Z53" s="73">
        <f t="shared" si="9"/>
        <v>0.5120616832531536</v>
      </c>
      <c r="AA53" s="62">
        <f t="shared" si="10"/>
        <v>0.16824316918673318</v>
      </c>
      <c r="AB53" s="64">
        <f t="shared" si="11"/>
        <v>3.2010808898047839E-2</v>
      </c>
      <c r="AC53" s="62"/>
      <c r="AD53" s="145">
        <f t="shared" si="12"/>
        <v>0.20025397808478101</v>
      </c>
      <c r="AF53" s="57">
        <f>W$212-W53</f>
        <v>5.5344343654148406E-2</v>
      </c>
      <c r="AG53" s="60">
        <f>X$212-X53</f>
        <v>9.601158757279829E-2</v>
      </c>
      <c r="AH53" s="83">
        <f>Y$212-Y53</f>
        <v>1.8625646763312069E-2</v>
      </c>
      <c r="AI53" s="60">
        <f>Z$212-Z53</f>
        <v>-0.28072248045287274</v>
      </c>
      <c r="AJ53" s="83">
        <f>AA$212-AA53</f>
        <v>-1.959825582056976E-2</v>
      </c>
      <c r="AK53" s="76">
        <f>AB$212-AB53</f>
        <v>0.13033915828318363</v>
      </c>
      <c r="AL53" s="108"/>
      <c r="AM53" s="57">
        <f>$AD$212-AD53</f>
        <v>0.11074090246261398</v>
      </c>
      <c r="AN53" s="106">
        <f>IF(AM53&lt;$AD$215,(AM53-$AD$215)*0.5683,0)</f>
        <v>0</v>
      </c>
    </row>
    <row r="54" spans="1:40" x14ac:dyDescent="0.25">
      <c r="A54" s="17" t="s">
        <v>223</v>
      </c>
      <c r="B54" s="90" t="s">
        <v>224</v>
      </c>
      <c r="C54" s="88">
        <f>VLOOKUP($B$3:$B$210,Costdrivere!$B$3:$H$211,2,FALSE)</f>
        <v>147623.92735570626</v>
      </c>
      <c r="D54" s="46">
        <f>VLOOKUP($B$3:$B$210,Costdrivere!$B$3:$H$211,3,FALSE)</f>
        <v>344327.11</v>
      </c>
      <c r="E54" s="23">
        <f>VLOOKUP($B$3:$B$210,Costdrivere!$B$3:$H$211,4,FALSE)</f>
        <v>70906</v>
      </c>
      <c r="F54" s="46">
        <f>VLOOKUP($B$3:$B$210,Costdrivere!$B$3:$H$211,5,FALSE)</f>
        <v>279243</v>
      </c>
      <c r="G54" s="23">
        <f>VLOOKUP($B$3:$B$210,Costdrivere!$B$3:$H$211,6,FALSE)</f>
        <v>232489.60000000001</v>
      </c>
      <c r="H54" s="93">
        <f>VLOOKUP($B$3:$B$210,Costdrivere!$B$3:$H$211,7,FALSE)</f>
        <v>256757.2</v>
      </c>
      <c r="I54" s="27">
        <v>36.231062423776017</v>
      </c>
      <c r="J54" s="20">
        <f>VLOOKUP($B$3:$B$210,Costdrivere!$B$3:$I$211,8,FALSE)</f>
        <v>2.4840579710144927E-2</v>
      </c>
      <c r="K54" s="74">
        <f t="shared" si="1"/>
        <v>1331346.8373557061</v>
      </c>
      <c r="L54" s="89">
        <f t="shared" si="13"/>
        <v>1633774.4181742955</v>
      </c>
      <c r="M54" s="167">
        <f t="shared" si="2"/>
        <v>1394507.0118332361</v>
      </c>
      <c r="N54" s="74">
        <f>K54+VLOOKUP($B$3:$B$210,'Potentialer og krav'!$B$2:$F$209,5,FALSE)</f>
        <v>1331346.8373557061</v>
      </c>
      <c r="O54" s="160">
        <f t="shared" si="3"/>
        <v>1633774.4181742955</v>
      </c>
      <c r="P54" s="163">
        <f t="shared" si="4"/>
        <v>1394507.0118332361</v>
      </c>
      <c r="Q54" s="104">
        <f>N54+(0.25*VLOOKUP($B$3:$B$210,'Potentialer og krav'!$B$2:$C$209,2,FALSE))</f>
        <v>1633376.5873557061</v>
      </c>
      <c r="R54" s="53">
        <f>O54+(0.25*VLOOKUP($B$3:$B$210,'Potentialer og krav'!$B$2:$C$209,2,FALSE))</f>
        <v>1935804.1681742955</v>
      </c>
      <c r="S54" s="104">
        <f>P54+(0.25*VLOOKUP($B$3:$B$210,'Potentialer og krav'!$B$2:$C$209,2,FALSE))</f>
        <v>1696536.7618332361</v>
      </c>
      <c r="T54" s="84">
        <v>1447976</v>
      </c>
      <c r="U54" s="92">
        <f t="shared" si="5"/>
        <v>1469695.64</v>
      </c>
      <c r="W54" s="70">
        <f t="shared" si="6"/>
        <v>0.11088314721122099</v>
      </c>
      <c r="X54" s="73">
        <f t="shared" si="7"/>
        <v>0.25863065907295463</v>
      </c>
      <c r="Y54" s="62">
        <f t="shared" si="8"/>
        <v>5.325884886678519E-2</v>
      </c>
      <c r="Z54" s="73">
        <f t="shared" si="9"/>
        <v>0.20974474281594924</v>
      </c>
      <c r="AA54" s="62">
        <f t="shared" si="10"/>
        <v>0.1746273724296864</v>
      </c>
      <c r="AB54" s="64">
        <f t="shared" si="11"/>
        <v>0.19285522960340365</v>
      </c>
      <c r="AC54" s="62"/>
      <c r="AD54" s="145">
        <f t="shared" si="12"/>
        <v>0.36748260203309002</v>
      </c>
      <c r="AF54" s="57">
        <f>W$212-W54</f>
        <v>7.790258381696849E-3</v>
      </c>
      <c r="AG54" s="60">
        <f>X$212-X54</f>
        <v>3.1167338050113513E-2</v>
      </c>
      <c r="AH54" s="83">
        <f>Y$212-Y54</f>
        <v>-4.0643349304470902E-3</v>
      </c>
      <c r="AI54" s="60">
        <f>Z$212-Z54</f>
        <v>2.1594459984331599E-2</v>
      </c>
      <c r="AJ54" s="83">
        <f>AA$212-AA54</f>
        <v>-2.5982459063522978E-2</v>
      </c>
      <c r="AK54" s="76">
        <f>AB$212-AB54</f>
        <v>-3.0505262422172191E-2</v>
      </c>
      <c r="AL54" s="108"/>
      <c r="AM54" s="57">
        <f>$AD$212-AD54</f>
        <v>-5.648772148569503E-2</v>
      </c>
      <c r="AN54" s="106">
        <f>IF(AM54&lt;$AD$215,(AM54-$AD$215)*0.5683,0)</f>
        <v>0</v>
      </c>
    </row>
    <row r="55" spans="1:40" x14ac:dyDescent="0.25">
      <c r="A55" s="17" t="s">
        <v>33</v>
      </c>
      <c r="B55" s="90" t="s">
        <v>225</v>
      </c>
      <c r="C55" s="88">
        <f>VLOOKUP($B$3:$B$210,Costdrivere!$B$3:$H$211,2,FALSE)</f>
        <v>2724657.1604093122</v>
      </c>
      <c r="D55" s="46">
        <f>VLOOKUP($B$3:$B$210,Costdrivere!$B$3:$H$211,3,FALSE)</f>
        <v>8022283.4719999991</v>
      </c>
      <c r="E55" s="23">
        <f>VLOOKUP($B$3:$B$210,Costdrivere!$B$3:$H$211,4,FALSE)</f>
        <v>1024826</v>
      </c>
      <c r="F55" s="46">
        <f>VLOOKUP($B$3:$B$210,Costdrivere!$B$3:$H$211,5,FALSE)</f>
        <v>5739961</v>
      </c>
      <c r="G55" s="23">
        <f>VLOOKUP($B$3:$B$210,Costdrivere!$B$3:$H$211,6,FALSE)</f>
        <v>3988487.8000000003</v>
      </c>
      <c r="H55" s="93">
        <f>VLOOKUP($B$3:$B$210,Costdrivere!$B$3:$H$211,7,FALSE)</f>
        <v>3853605.0000000005</v>
      </c>
      <c r="I55" s="27">
        <v>29.580658900161534</v>
      </c>
      <c r="J55" s="20">
        <f>VLOOKUP($B$3:$B$210,Costdrivere!$B$3:$I$211,8,FALSE)</f>
        <v>2.2625329815303429E-2</v>
      </c>
      <c r="K55" s="74">
        <f t="shared" si="1"/>
        <v>25353820.432409313</v>
      </c>
      <c r="L55" s="89">
        <f t="shared" si="13"/>
        <v>28078135.601122178</v>
      </c>
      <c r="M55" s="167">
        <f t="shared" si="2"/>
        <v>25795926.839991651</v>
      </c>
      <c r="N55" s="74">
        <f>K55+VLOOKUP($B$3:$B$210,'Potentialer og krav'!$B$2:$F$209,5,FALSE)</f>
        <v>25403682.112409312</v>
      </c>
      <c r="O55" s="160">
        <f t="shared" si="3"/>
        <v>28133355.011391021</v>
      </c>
      <c r="P55" s="163">
        <f t="shared" si="4"/>
        <v>25846657.981392134</v>
      </c>
      <c r="Q55" s="104">
        <f>N55+(0.25*VLOOKUP($B$3:$B$210,'Potentialer og krav'!$B$2:$C$209,2,FALSE))</f>
        <v>32498021.362409312</v>
      </c>
      <c r="R55" s="53">
        <f>O55+(0.25*VLOOKUP($B$3:$B$210,'Potentialer og krav'!$B$2:$C$209,2,FALSE))</f>
        <v>35227694.261391021</v>
      </c>
      <c r="S55" s="104">
        <f>P55+(0.25*VLOOKUP($B$3:$B$210,'Potentialer og krav'!$B$2:$C$209,2,FALSE))</f>
        <v>32940997.231392134</v>
      </c>
      <c r="T55" s="84">
        <v>24142537</v>
      </c>
      <c r="U55" s="92">
        <f t="shared" si="5"/>
        <v>24504675.054999996</v>
      </c>
      <c r="W55" s="70">
        <f t="shared" si="6"/>
        <v>0.10746534896675509</v>
      </c>
      <c r="X55" s="73">
        <f t="shared" si="7"/>
        <v>0.31641320066088602</v>
      </c>
      <c r="Y55" s="62">
        <f t="shared" si="8"/>
        <v>4.0420969405067814E-2</v>
      </c>
      <c r="Z55" s="73">
        <f t="shared" si="9"/>
        <v>0.22639432251648811</v>
      </c>
      <c r="AA55" s="62">
        <f t="shared" si="10"/>
        <v>0.15731308859873408</v>
      </c>
      <c r="AB55" s="64">
        <f t="shared" si="11"/>
        <v>0.1519930698520689</v>
      </c>
      <c r="AC55" s="62"/>
      <c r="AD55" s="145">
        <f t="shared" si="12"/>
        <v>0.309306158450803</v>
      </c>
      <c r="AF55" s="57">
        <f>W$212-W55</f>
        <v>1.1208056626162741E-2</v>
      </c>
      <c r="AG55" s="60">
        <f>X$212-X55</f>
        <v>-2.6615203537817878E-2</v>
      </c>
      <c r="AH55" s="83">
        <f>Y$212-Y55</f>
        <v>8.7735445312702859E-3</v>
      </c>
      <c r="AI55" s="60">
        <f>Z$212-Z55</f>
        <v>4.9448802837927242E-3</v>
      </c>
      <c r="AJ55" s="83">
        <f>AA$212-AA55</f>
        <v>-8.6681752325706574E-3</v>
      </c>
      <c r="AK55" s="76">
        <f>AB$212-AB55</f>
        <v>1.0356897329162562E-2</v>
      </c>
      <c r="AL55" s="108"/>
      <c r="AM55" s="57">
        <f>$AD$212-AD55</f>
        <v>1.688722096591988E-3</v>
      </c>
      <c r="AN55" s="106">
        <f>IF(AM55&lt;$AD$215,(AM55-$AD$215)*0.5683,0)</f>
        <v>0</v>
      </c>
    </row>
    <row r="56" spans="1:40" x14ac:dyDescent="0.25">
      <c r="A56" s="17" t="s">
        <v>226</v>
      </c>
      <c r="B56" s="90" t="s">
        <v>227</v>
      </c>
      <c r="C56" s="88">
        <f>VLOOKUP($B$3:$B$210,Costdrivere!$B$3:$H$211,2,FALSE)</f>
        <v>827059.04728126084</v>
      </c>
      <c r="D56" s="46">
        <f>VLOOKUP($B$3:$B$210,Costdrivere!$B$3:$H$211,3,FALSE)</f>
        <v>2276133.3339999998</v>
      </c>
      <c r="E56" s="23">
        <f>VLOOKUP($B$3:$B$210,Costdrivere!$B$3:$H$211,4,FALSE)</f>
        <v>523280</v>
      </c>
      <c r="F56" s="46">
        <f>VLOOKUP($B$3:$B$210,Costdrivere!$B$3:$H$211,5,FALSE)</f>
        <v>2453797</v>
      </c>
      <c r="G56" s="23">
        <f>VLOOKUP($B$3:$B$210,Costdrivere!$B$3:$H$211,6,FALSE)</f>
        <v>1877358</v>
      </c>
      <c r="H56" s="93">
        <f>VLOOKUP($B$3:$B$210,Costdrivere!$B$3:$H$211,7,FALSE)</f>
        <v>1601661.6</v>
      </c>
      <c r="I56" s="27">
        <v>34.832299870145349</v>
      </c>
      <c r="J56" s="20">
        <f>VLOOKUP($B$3:$B$210,Costdrivere!$B$3:$I$211,8,FALSE)</f>
        <v>3.2898461538461536E-2</v>
      </c>
      <c r="K56" s="74">
        <f t="shared" si="1"/>
        <v>9559288.98128126</v>
      </c>
      <c r="L56" s="89">
        <f t="shared" si="13"/>
        <v>11490087.530381296</v>
      </c>
      <c r="M56" s="167">
        <f t="shared" si="2"/>
        <v>11056051.507287176</v>
      </c>
      <c r="N56" s="74">
        <f>K56+VLOOKUP($B$3:$B$210,'Potentialer og krav'!$B$2:$F$209,5,FALSE)</f>
        <v>10054122.98128126</v>
      </c>
      <c r="O56" s="160">
        <f t="shared" si="3"/>
        <v>12084868.793312278</v>
      </c>
      <c r="P56" s="163">
        <f t="shared" si="4"/>
        <v>11628365.013267582</v>
      </c>
      <c r="Q56" s="104">
        <f>N56+(0.25*VLOOKUP($B$3:$B$210,'Potentialer og krav'!$B$2:$C$209,2,FALSE))</f>
        <v>12573273.98128126</v>
      </c>
      <c r="R56" s="53">
        <f>O56+(0.25*VLOOKUP($B$3:$B$210,'Potentialer og krav'!$B$2:$C$209,2,FALSE))</f>
        <v>14604019.793312278</v>
      </c>
      <c r="S56" s="104">
        <f>P56+(0.25*VLOOKUP($B$3:$B$210,'Potentialer og krav'!$B$2:$C$209,2,FALSE))</f>
        <v>14147516.013267582</v>
      </c>
      <c r="T56" s="84">
        <v>8365699</v>
      </c>
      <c r="U56" s="92">
        <f t="shared" si="5"/>
        <v>8491184.4849999994</v>
      </c>
      <c r="W56" s="70">
        <f t="shared" si="6"/>
        <v>8.651888742988996E-2</v>
      </c>
      <c r="X56" s="73">
        <f t="shared" si="7"/>
        <v>0.23810696992810473</v>
      </c>
      <c r="Y56" s="62">
        <f t="shared" si="8"/>
        <v>5.4740472960350159E-2</v>
      </c>
      <c r="Z56" s="73">
        <f t="shared" si="9"/>
        <v>0.25669241768974227</v>
      </c>
      <c r="AA56" s="62">
        <f t="shared" si="10"/>
        <v>0.19639096628171734</v>
      </c>
      <c r="AB56" s="64">
        <f t="shared" si="11"/>
        <v>0.16755028571019565</v>
      </c>
      <c r="AC56" s="62"/>
      <c r="AD56" s="145">
        <f t="shared" si="12"/>
        <v>0.36394125199191296</v>
      </c>
      <c r="AF56" s="57">
        <f>W$212-W56</f>
        <v>3.2154518163027876E-2</v>
      </c>
      <c r="AG56" s="60">
        <f>X$212-X56</f>
        <v>5.1691027194963407E-2</v>
      </c>
      <c r="AH56" s="83">
        <f>Y$212-Y56</f>
        <v>-5.5459590240120593E-3</v>
      </c>
      <c r="AI56" s="60">
        <f>Z$212-Z56</f>
        <v>-2.5353214889461434E-2</v>
      </c>
      <c r="AJ56" s="83">
        <f>AA$212-AA56</f>
        <v>-4.7746052915553922E-2</v>
      </c>
      <c r="AK56" s="76">
        <f>AB$212-AB56</f>
        <v>-5.2003185289641873E-3</v>
      </c>
      <c r="AL56" s="108"/>
      <c r="AM56" s="57">
        <f>$AD$212-AD56</f>
        <v>-5.294637144451797E-2</v>
      </c>
      <c r="AN56" s="106">
        <f>IF(AM56&lt;$AD$215,(AM56-$AD$215)*0.5683,0)</f>
        <v>0</v>
      </c>
    </row>
    <row r="57" spans="1:40" x14ac:dyDescent="0.25">
      <c r="A57" s="17" t="s">
        <v>28</v>
      </c>
      <c r="B57" s="90" t="s">
        <v>228</v>
      </c>
      <c r="C57" s="88">
        <f>VLOOKUP($B$3:$B$210,Costdrivere!$B$3:$H$211,2,FALSE)</f>
        <v>1043913.0392394727</v>
      </c>
      <c r="D57" s="46">
        <f>VLOOKUP($B$3:$B$210,Costdrivere!$B$3:$H$211,3,FALSE)</f>
        <v>2952970.716</v>
      </c>
      <c r="E57" s="23">
        <f>VLOOKUP($B$3:$B$210,Costdrivere!$B$3:$H$211,4,FALSE)</f>
        <v>415546</v>
      </c>
      <c r="F57" s="46">
        <f>VLOOKUP($B$3:$B$210,Costdrivere!$B$3:$H$211,5,FALSE)</f>
        <v>3504434</v>
      </c>
      <c r="G57" s="23">
        <f>VLOOKUP($B$3:$B$210,Costdrivere!$B$3:$H$211,6,FALSE)</f>
        <v>1952152.2000000002</v>
      </c>
      <c r="H57" s="93">
        <f>VLOOKUP($B$3:$B$210,Costdrivere!$B$3:$H$211,7,FALSE)</f>
        <v>1616641.6</v>
      </c>
      <c r="I57" s="27">
        <v>33.191989798898426</v>
      </c>
      <c r="J57" s="20">
        <f>VLOOKUP($B$3:$B$210,Costdrivere!$B$3:$I$211,8,FALSE)</f>
        <v>4.4411522633744857E-2</v>
      </c>
      <c r="K57" s="74">
        <f t="shared" si="1"/>
        <v>11485657.555239473</v>
      </c>
      <c r="L57" s="89">
        <f t="shared" si="13"/>
        <v>13466426.005591383</v>
      </c>
      <c r="M57" s="167">
        <f t="shared" si="2"/>
        <v>15075036.522008762</v>
      </c>
      <c r="N57" s="74">
        <f>K57+VLOOKUP($B$3:$B$210,'Potentialer og krav'!$B$2:$F$209,5,FALSE)</f>
        <v>11485657.555239473</v>
      </c>
      <c r="O57" s="160">
        <f t="shared" si="3"/>
        <v>13466426.005591383</v>
      </c>
      <c r="P57" s="163">
        <f t="shared" si="4"/>
        <v>15075036.522008762</v>
      </c>
      <c r="Q57" s="104">
        <f>N57+(0.25*VLOOKUP($B$3:$B$210,'Potentialer og krav'!$B$2:$C$209,2,FALSE))</f>
        <v>14252912.305239473</v>
      </c>
      <c r="R57" s="53">
        <f>O57+(0.25*VLOOKUP($B$3:$B$210,'Potentialer og krav'!$B$2:$C$209,2,FALSE))</f>
        <v>16233680.755591383</v>
      </c>
      <c r="S57" s="104">
        <f>P57+(0.25*VLOOKUP($B$3:$B$210,'Potentialer og krav'!$B$2:$C$209,2,FALSE))</f>
        <v>17842291.272008762</v>
      </c>
      <c r="T57" s="84">
        <v>7584826</v>
      </c>
      <c r="U57" s="92">
        <f t="shared" si="5"/>
        <v>7698598.3899999997</v>
      </c>
      <c r="W57" s="70">
        <f t="shared" si="6"/>
        <v>9.0888400095409896E-2</v>
      </c>
      <c r="X57" s="73">
        <f t="shared" si="7"/>
        <v>0.25710071032484577</v>
      </c>
      <c r="Y57" s="62">
        <f t="shared" si="8"/>
        <v>3.6179556808259378E-2</v>
      </c>
      <c r="Z57" s="73">
        <f t="shared" si="9"/>
        <v>0.30511391996023457</v>
      </c>
      <c r="AA57" s="62">
        <f t="shared" si="10"/>
        <v>0.16996433949134038</v>
      </c>
      <c r="AB57" s="64">
        <f t="shared" si="11"/>
        <v>0.14075307331991002</v>
      </c>
      <c r="AC57" s="62"/>
      <c r="AD57" s="145">
        <f t="shared" si="12"/>
        <v>0.31071741281125043</v>
      </c>
      <c r="AF57" s="57">
        <f>W$212-W57</f>
        <v>2.7785005497507939E-2</v>
      </c>
      <c r="AG57" s="60">
        <f>X$212-X57</f>
        <v>3.2697286798222369E-2</v>
      </c>
      <c r="AH57" s="83">
        <f>Y$212-Y57</f>
        <v>1.3014957128078722E-2</v>
      </c>
      <c r="AI57" s="60">
        <f>Z$212-Z57</f>
        <v>-7.3774717159953734E-2</v>
      </c>
      <c r="AJ57" s="83">
        <f>AA$212-AA57</f>
        <v>-2.1319426125176955E-2</v>
      </c>
      <c r="AK57" s="76">
        <f>AB$212-AB57</f>
        <v>2.1596893861321437E-2</v>
      </c>
      <c r="AL57" s="108"/>
      <c r="AM57" s="57">
        <f>$AD$212-AD57</f>
        <v>2.7746773614456544E-4</v>
      </c>
      <c r="AN57" s="106">
        <f>IF(AM57&lt;$AD$215,(AM57-$AD$215)*0.5683,0)</f>
        <v>0</v>
      </c>
    </row>
    <row r="58" spans="1:40" x14ac:dyDescent="0.25">
      <c r="A58" s="17" t="s">
        <v>229</v>
      </c>
      <c r="B58" s="90" t="s">
        <v>230</v>
      </c>
      <c r="C58" s="88">
        <f>VLOOKUP($B$3:$B$210,Costdrivere!$B$3:$H$211,2,FALSE)</f>
        <v>183779.45858483354</v>
      </c>
      <c r="D58" s="46">
        <f>VLOOKUP($B$3:$B$210,Costdrivere!$B$3:$H$211,3,FALSE)</f>
        <v>469246.06200000003</v>
      </c>
      <c r="E58" s="23">
        <f>VLOOKUP($B$3:$B$210,Costdrivere!$B$3:$H$211,4,FALSE)</f>
        <v>198281</v>
      </c>
      <c r="F58" s="46">
        <f>VLOOKUP($B$3:$B$210,Costdrivere!$B$3:$H$211,5,FALSE)</f>
        <v>356136</v>
      </c>
      <c r="G58" s="23">
        <f>VLOOKUP($B$3:$B$210,Costdrivere!$B$3:$H$211,6,FALSE)</f>
        <v>284908.40000000002</v>
      </c>
      <c r="H58" s="93">
        <f>VLOOKUP($B$3:$B$210,Costdrivere!$B$3:$H$211,7,FALSE)</f>
        <v>314280.40000000002</v>
      </c>
      <c r="I58" s="27">
        <v>23.561193250289627</v>
      </c>
      <c r="J58" s="20">
        <f>VLOOKUP($B$3:$B$210,Costdrivere!$B$3:$I$211,8,FALSE)</f>
        <v>2.384090909090909E-2</v>
      </c>
      <c r="K58" s="74">
        <f t="shared" si="1"/>
        <v>1806631.3205848336</v>
      </c>
      <c r="L58" s="89">
        <f t="shared" si="13"/>
        <v>1805008.0235101331</v>
      </c>
      <c r="M58" s="167">
        <f t="shared" si="2"/>
        <v>1867878.4217016129</v>
      </c>
      <c r="N58" s="74">
        <f>K58+VLOOKUP($B$3:$B$210,'Potentialer og krav'!$B$2:$F$209,5,FALSE)</f>
        <v>1806631.3205848336</v>
      </c>
      <c r="O58" s="160">
        <f t="shared" si="3"/>
        <v>1805008.0235101331</v>
      </c>
      <c r="P58" s="163">
        <f t="shared" si="4"/>
        <v>1867878.4217016129</v>
      </c>
      <c r="Q58" s="104">
        <f>N58+(0.25*VLOOKUP($B$3:$B$210,'Potentialer og krav'!$B$2:$C$209,2,FALSE))</f>
        <v>2205531.0705848336</v>
      </c>
      <c r="R58" s="53">
        <f>O58+(0.25*VLOOKUP($B$3:$B$210,'Potentialer og krav'!$B$2:$C$209,2,FALSE))</f>
        <v>2203907.7735101329</v>
      </c>
      <c r="S58" s="104">
        <f>P58+(0.25*VLOOKUP($B$3:$B$210,'Potentialer og krav'!$B$2:$C$209,2,FALSE))</f>
        <v>2266778.1717016129</v>
      </c>
      <c r="T58" s="84">
        <v>1442588</v>
      </c>
      <c r="U58" s="92">
        <f t="shared" si="5"/>
        <v>1464226.8199999998</v>
      </c>
      <c r="W58" s="70">
        <f t="shared" si="6"/>
        <v>0.10172493772849094</v>
      </c>
      <c r="X58" s="73">
        <f t="shared" si="7"/>
        <v>0.25973537414822301</v>
      </c>
      <c r="Y58" s="62">
        <f t="shared" si="8"/>
        <v>0.10975177820774937</v>
      </c>
      <c r="Z58" s="73">
        <f t="shared" si="9"/>
        <v>0.19712710387679622</v>
      </c>
      <c r="AA58" s="62">
        <f t="shared" si="10"/>
        <v>0.1577014616948913</v>
      </c>
      <c r="AB58" s="64">
        <f t="shared" si="11"/>
        <v>0.17395934434384916</v>
      </c>
      <c r="AC58" s="62"/>
      <c r="AD58" s="145">
        <f t="shared" si="12"/>
        <v>0.33166080603874049</v>
      </c>
      <c r="AF58" s="57">
        <f>W$212-W58</f>
        <v>1.69484678644269E-2</v>
      </c>
      <c r="AG58" s="60">
        <f>X$212-X58</f>
        <v>3.0062622974845132E-2</v>
      </c>
      <c r="AH58" s="83">
        <f>Y$212-Y58</f>
        <v>-6.0557264271411268E-2</v>
      </c>
      <c r="AI58" s="60">
        <f>Z$212-Z58</f>
        <v>3.4212098923484618E-2</v>
      </c>
      <c r="AJ58" s="83">
        <f>AA$212-AA58</f>
        <v>-9.0565483287278759E-3</v>
      </c>
      <c r="AK58" s="76">
        <f>AB$212-AB58</f>
        <v>-1.1609377162617701E-2</v>
      </c>
      <c r="AL58" s="108"/>
      <c r="AM58" s="57">
        <f>$AD$212-AD58</f>
        <v>-2.0665925491345494E-2</v>
      </c>
      <c r="AN58" s="106">
        <f>IF(AM58&lt;$AD$215,(AM58-$AD$215)*0.5683,0)</f>
        <v>0</v>
      </c>
    </row>
    <row r="59" spans="1:40" x14ac:dyDescent="0.25">
      <c r="A59" s="17" t="s">
        <v>29</v>
      </c>
      <c r="B59" s="90" t="s">
        <v>231</v>
      </c>
      <c r="C59" s="88">
        <f>VLOOKUP($B$3:$B$210,Costdrivere!$B$3:$H$211,2,FALSE)</f>
        <v>1866762.6674401111</v>
      </c>
      <c r="D59" s="46">
        <f>VLOOKUP($B$3:$B$210,Costdrivere!$B$3:$H$211,3,FALSE)</f>
        <v>5285639.7</v>
      </c>
      <c r="E59" s="23">
        <f>VLOOKUP($B$3:$B$210,Costdrivere!$B$3:$H$211,4,FALSE)</f>
        <v>418000</v>
      </c>
      <c r="F59" s="46">
        <f>VLOOKUP($B$3:$B$210,Costdrivere!$B$3:$H$211,5,FALSE)</f>
        <v>5699006</v>
      </c>
      <c r="G59" s="23">
        <f>VLOOKUP($B$3:$B$210,Costdrivere!$B$3:$H$211,6,FALSE)</f>
        <v>2809109.2</v>
      </c>
      <c r="H59" s="93">
        <f>VLOOKUP($B$3:$B$210,Costdrivere!$B$3:$H$211,7,FALSE)</f>
        <v>2311863.4000000004</v>
      </c>
      <c r="I59" s="27">
        <v>60.777676556679658</v>
      </c>
      <c r="J59" s="20">
        <f>VLOOKUP($B$3:$B$210,Costdrivere!$B$3:$I$211,8,FALSE)</f>
        <v>5.0933993399339933E-2</v>
      </c>
      <c r="K59" s="74">
        <f t="shared" si="1"/>
        <v>18390380.967440113</v>
      </c>
      <c r="L59" s="89">
        <f t="shared" si="13"/>
        <v>30693512.327755529</v>
      </c>
      <c r="M59" s="167">
        <f t="shared" si="2"/>
        <v>25762165.299627136</v>
      </c>
      <c r="N59" s="74">
        <f>K59+VLOOKUP($B$3:$B$210,'Potentialer og krav'!$B$2:$F$209,5,FALSE)</f>
        <v>18390380.967440113</v>
      </c>
      <c r="O59" s="160">
        <f t="shared" si="3"/>
        <v>30693512.327755529</v>
      </c>
      <c r="P59" s="163">
        <f t="shared" si="4"/>
        <v>25762165.299627136</v>
      </c>
      <c r="Q59" s="104">
        <f>N59+(0.25*VLOOKUP($B$3:$B$210,'Potentialer og krav'!$B$2:$C$209,2,FALSE))</f>
        <v>24063801.467440113</v>
      </c>
      <c r="R59" s="53">
        <f>O59+(0.25*VLOOKUP($B$3:$B$210,'Potentialer og krav'!$B$2:$C$209,2,FALSE))</f>
        <v>36366932.827755526</v>
      </c>
      <c r="S59" s="104">
        <f>P59+(0.25*VLOOKUP($B$3:$B$210,'Potentialer og krav'!$B$2:$C$209,2,FALSE))</f>
        <v>31435585.799627136</v>
      </c>
      <c r="T59" s="84">
        <v>17518486</v>
      </c>
      <c r="U59" s="92">
        <f t="shared" si="5"/>
        <v>17781263.289999999</v>
      </c>
      <c r="W59" s="70">
        <f t="shared" si="6"/>
        <v>0.10150755825804728</v>
      </c>
      <c r="X59" s="73">
        <f t="shared" si="7"/>
        <v>0.28741327922233606</v>
      </c>
      <c r="Y59" s="62">
        <f t="shared" si="8"/>
        <v>2.2729273566440118E-2</v>
      </c>
      <c r="Z59" s="73">
        <f t="shared" si="9"/>
        <v>0.30989058954732923</v>
      </c>
      <c r="AA59" s="62">
        <f t="shared" si="10"/>
        <v>0.15274883130335826</v>
      </c>
      <c r="AB59" s="64">
        <f t="shared" si="11"/>
        <v>0.12571046810248895</v>
      </c>
      <c r="AC59" s="62"/>
      <c r="AD59" s="145">
        <f t="shared" si="12"/>
        <v>0.27845929940584724</v>
      </c>
      <c r="AF59" s="57">
        <f>W$212-W59</f>
        <v>1.716584733487056E-2</v>
      </c>
      <c r="AG59" s="60">
        <f>X$212-X59</f>
        <v>2.3847179007320807E-3</v>
      </c>
      <c r="AH59" s="83">
        <f>Y$212-Y59</f>
        <v>2.6465240369897981E-2</v>
      </c>
      <c r="AI59" s="60">
        <f>Z$212-Z59</f>
        <v>-7.8551386747048396E-2</v>
      </c>
      <c r="AJ59" s="83">
        <f>AA$212-AA59</f>
        <v>-4.1039179371948342E-3</v>
      </c>
      <c r="AK59" s="76">
        <f>AB$212-AB59</f>
        <v>3.6639499078742505E-2</v>
      </c>
      <c r="AL59" s="108"/>
      <c r="AM59" s="57">
        <f>$AD$212-AD59</f>
        <v>3.2535581141547754E-2</v>
      </c>
      <c r="AN59" s="106">
        <f>IF(AM59&lt;$AD$215,(AM59-$AD$215)*0.5683,0)</f>
        <v>0</v>
      </c>
    </row>
    <row r="60" spans="1:40" x14ac:dyDescent="0.25">
      <c r="A60" s="17" t="s">
        <v>232</v>
      </c>
      <c r="B60" s="90" t="s">
        <v>233</v>
      </c>
      <c r="C60" s="88">
        <f>VLOOKUP($B$3:$B$210,Costdrivere!$B$3:$H$211,2,FALSE)</f>
        <v>305464.39161829662</v>
      </c>
      <c r="D60" s="46">
        <f>VLOOKUP($B$3:$B$210,Costdrivere!$B$3:$H$211,3,FALSE)</f>
        <v>788477.951</v>
      </c>
      <c r="E60" s="23">
        <f>VLOOKUP($B$3:$B$210,Costdrivere!$B$3:$H$211,4,FALSE)</f>
        <v>70906</v>
      </c>
      <c r="F60" s="46">
        <f>VLOOKUP($B$3:$B$210,Costdrivere!$B$3:$H$211,5,FALSE)</f>
        <v>635379</v>
      </c>
      <c r="G60" s="23">
        <f>VLOOKUP($B$3:$B$210,Costdrivere!$B$3:$H$211,6,FALSE)</f>
        <v>641247.60000000009</v>
      </c>
      <c r="H60" s="93">
        <f>VLOOKUP($B$3:$B$210,Costdrivere!$B$3:$H$211,7,FALSE)</f>
        <v>707805</v>
      </c>
      <c r="I60" s="27">
        <v>26.607285793236635</v>
      </c>
      <c r="J60" s="20">
        <f>VLOOKUP($B$3:$B$210,Costdrivere!$B$3:$I$211,8,FALSE)</f>
        <v>3.0095541401273886E-2</v>
      </c>
      <c r="K60" s="74">
        <f t="shared" si="1"/>
        <v>3149279.9426182965</v>
      </c>
      <c r="L60" s="89">
        <f t="shared" si="13"/>
        <v>3319124.2135762721</v>
      </c>
      <c r="M60" s="167">
        <f t="shared" si="2"/>
        <v>3522828.6738502388</v>
      </c>
      <c r="N60" s="74">
        <f>K60+VLOOKUP($B$3:$B$210,'Potentialer og krav'!$B$2:$F$209,5,FALSE)</f>
        <v>3149279.9426182965</v>
      </c>
      <c r="O60" s="160">
        <f t="shared" si="3"/>
        <v>3319124.2135762721</v>
      </c>
      <c r="P60" s="163">
        <f t="shared" si="4"/>
        <v>3522828.6738502388</v>
      </c>
      <c r="Q60" s="104">
        <f>N60+(0.25*VLOOKUP($B$3:$B$210,'Potentialer og krav'!$B$2:$C$209,2,FALSE))</f>
        <v>4141037.4426182965</v>
      </c>
      <c r="R60" s="53">
        <f>O60+(0.25*VLOOKUP($B$3:$B$210,'Potentialer og krav'!$B$2:$C$209,2,FALSE))</f>
        <v>4310881.7135762721</v>
      </c>
      <c r="S60" s="104">
        <f>P60+(0.25*VLOOKUP($B$3:$B$210,'Potentialer og krav'!$B$2:$C$209,2,FALSE))</f>
        <v>4514586.1738502383</v>
      </c>
      <c r="T60" s="84">
        <v>4478270</v>
      </c>
      <c r="U60" s="92">
        <f t="shared" si="5"/>
        <v>4545444.05</v>
      </c>
      <c r="W60" s="70">
        <f t="shared" si="6"/>
        <v>9.6994994787390973E-2</v>
      </c>
      <c r="X60" s="73">
        <f t="shared" si="7"/>
        <v>0.25036769209677279</v>
      </c>
      <c r="Y60" s="62">
        <f t="shared" si="8"/>
        <v>2.2514987962946566E-2</v>
      </c>
      <c r="Z60" s="73">
        <f t="shared" si="9"/>
        <v>0.20175373786293158</v>
      </c>
      <c r="AA60" s="62">
        <f t="shared" si="10"/>
        <v>0.20361721145274556</v>
      </c>
      <c r="AB60" s="64">
        <f t="shared" si="11"/>
        <v>0.22475137583721258</v>
      </c>
      <c r="AC60" s="62"/>
      <c r="AD60" s="145">
        <f t="shared" si="12"/>
        <v>0.42836858728995814</v>
      </c>
      <c r="AF60" s="57">
        <f>W$212-W60</f>
        <v>2.1678410805526863E-2</v>
      </c>
      <c r="AG60" s="60">
        <f>X$212-X60</f>
        <v>3.9430305026295354E-2</v>
      </c>
      <c r="AH60" s="83">
        <f>Y$212-Y60</f>
        <v>2.6679525973391533E-2</v>
      </c>
      <c r="AI60" s="60">
        <f>Z$212-Z60</f>
        <v>2.958546493734926E-2</v>
      </c>
      <c r="AJ60" s="83">
        <f>AA$212-AA60</f>
        <v>-5.4972298086582133E-2</v>
      </c>
      <c r="AK60" s="76">
        <f>AB$212-AB60</f>
        <v>-6.2401408655981122E-2</v>
      </c>
      <c r="AL60" s="108"/>
      <c r="AM60" s="57">
        <f>$AD$212-AD60</f>
        <v>-0.11737370674256314</v>
      </c>
      <c r="AN60" s="106">
        <f>IF(AM60&lt;$AD$215,(AM60-$AD$215)*0.5683,0)</f>
        <v>-7.0276761115855915E-3</v>
      </c>
    </row>
    <row r="61" spans="1:40" x14ac:dyDescent="0.25">
      <c r="A61" s="17" t="s">
        <v>234</v>
      </c>
      <c r="B61" s="90" t="s">
        <v>235</v>
      </c>
      <c r="C61" s="88">
        <f>VLOOKUP($B$3:$B$210,Costdrivere!$B$3:$H$211,2,FALSE)</f>
        <v>192487.99257611699</v>
      </c>
      <c r="D61" s="46">
        <f>VLOOKUP($B$3:$B$210,Costdrivere!$B$3:$H$211,3,FALSE)</f>
        <v>464305.27600000001</v>
      </c>
      <c r="E61" s="23">
        <f>VLOOKUP($B$3:$B$210,Costdrivere!$B$3:$H$211,4,FALSE)</f>
        <v>106359</v>
      </c>
      <c r="F61" s="46">
        <f>VLOOKUP($B$3:$B$210,Costdrivere!$B$3:$H$211,5,FALSE)</f>
        <v>307572</v>
      </c>
      <c r="G61" s="23">
        <f>VLOOKUP($B$3:$B$210,Costdrivere!$B$3:$H$211,6,FALSE)</f>
        <v>291562.60000000003</v>
      </c>
      <c r="H61" s="93">
        <f>VLOOKUP($B$3:$B$210,Costdrivere!$B$3:$H$211,7,FALSE)</f>
        <v>321620.60000000003</v>
      </c>
      <c r="I61" s="27">
        <v>24.61763401370137</v>
      </c>
      <c r="J61" s="20">
        <f>VLOOKUP($B$3:$B$210,Costdrivere!$B$3:$I$211,8,FALSE)</f>
        <v>2.8250000000000001E-2</v>
      </c>
      <c r="K61" s="74">
        <f t="shared" si="1"/>
        <v>1683907.4685761172</v>
      </c>
      <c r="L61" s="89">
        <f t="shared" si="13"/>
        <v>1714415.5143694808</v>
      </c>
      <c r="M61" s="167">
        <f t="shared" si="2"/>
        <v>1841551.5179692761</v>
      </c>
      <c r="N61" s="74">
        <f>K61+VLOOKUP($B$3:$B$210,'Potentialer og krav'!$B$2:$F$209,5,FALSE)</f>
        <v>1683907.4685761172</v>
      </c>
      <c r="O61" s="160">
        <f t="shared" si="3"/>
        <v>1714415.5143694808</v>
      </c>
      <c r="P61" s="163">
        <f t="shared" si="4"/>
        <v>1841551.5179692761</v>
      </c>
      <c r="Q61" s="104">
        <f>N61+(0.25*VLOOKUP($B$3:$B$210,'Potentialer og krav'!$B$2:$C$209,2,FALSE))</f>
        <v>2251081.2185761174</v>
      </c>
      <c r="R61" s="53">
        <f>O61+(0.25*VLOOKUP($B$3:$B$210,'Potentialer og krav'!$B$2:$C$209,2,FALSE))</f>
        <v>2281589.2643694808</v>
      </c>
      <c r="S61" s="104">
        <f>P61+(0.25*VLOOKUP($B$3:$B$210,'Potentialer og krav'!$B$2:$C$209,2,FALSE))</f>
        <v>2408725.2679692758</v>
      </c>
      <c r="T61" s="84">
        <v>2570039</v>
      </c>
      <c r="U61" s="92">
        <f t="shared" si="5"/>
        <v>2608589.585</v>
      </c>
      <c r="W61" s="70">
        <f t="shared" si="6"/>
        <v>0.1143103146510072</v>
      </c>
      <c r="X61" s="73">
        <f t="shared" si="7"/>
        <v>0.27573087278519437</v>
      </c>
      <c r="Y61" s="62">
        <f t="shared" si="8"/>
        <v>6.3162021657838074E-2</v>
      </c>
      <c r="Z61" s="73">
        <f t="shared" si="9"/>
        <v>0.18265374181164332</v>
      </c>
      <c r="AA61" s="62">
        <f t="shared" si="10"/>
        <v>0.17314644981445465</v>
      </c>
      <c r="AB61" s="64">
        <f t="shared" si="11"/>
        <v>0.19099659927986234</v>
      </c>
      <c r="AC61" s="62"/>
      <c r="AD61" s="145">
        <f t="shared" si="12"/>
        <v>0.364143049094317</v>
      </c>
      <c r="AF61" s="57">
        <f>W$212-W61</f>
        <v>4.3630909419106328E-3</v>
      </c>
      <c r="AG61" s="60">
        <f>X$212-X61</f>
        <v>1.4067124337873771E-2</v>
      </c>
      <c r="AH61" s="83">
        <f>Y$212-Y61</f>
        <v>-1.3967507721499975E-2</v>
      </c>
      <c r="AI61" s="60">
        <f>Z$212-Z61</f>
        <v>4.8685460988637519E-2</v>
      </c>
      <c r="AJ61" s="83">
        <f>AA$212-AA61</f>
        <v>-2.4501536448291228E-2</v>
      </c>
      <c r="AK61" s="76">
        <f>AB$212-AB61</f>
        <v>-2.8646632098630886E-2</v>
      </c>
      <c r="AL61" s="108"/>
      <c r="AM61" s="57">
        <f>$AD$212-AD61</f>
        <v>-5.3148168546922003E-2</v>
      </c>
      <c r="AN61" s="106">
        <f>IF(AM61&lt;$AD$215,(AM61-$AD$215)*0.5683,0)</f>
        <v>0</v>
      </c>
    </row>
    <row r="62" spans="1:40" x14ac:dyDescent="0.25">
      <c r="A62" s="17" t="s">
        <v>236</v>
      </c>
      <c r="B62" s="90" t="s">
        <v>237</v>
      </c>
      <c r="C62" s="88">
        <f>VLOOKUP($B$3:$B$210,Costdrivere!$B$3:$H$211,2,FALSE)</f>
        <v>179128.75723997719</v>
      </c>
      <c r="D62" s="46">
        <f>VLOOKUP($B$3:$B$210,Costdrivere!$B$3:$H$211,3,FALSE)</f>
        <v>442426.54399999999</v>
      </c>
      <c r="E62" s="23">
        <f>VLOOKUP($B$3:$B$210,Costdrivere!$B$3:$H$211,4,FALSE)</f>
        <v>0</v>
      </c>
      <c r="F62" s="46">
        <f>VLOOKUP($B$3:$B$210,Costdrivere!$B$3:$H$211,5,FALSE)</f>
        <v>219792.57</v>
      </c>
      <c r="G62" s="23">
        <f>VLOOKUP($B$3:$B$210,Costdrivere!$B$3:$H$211,6,FALSE)</f>
        <v>282735.60000000003</v>
      </c>
      <c r="H62" s="93">
        <f>VLOOKUP($B$3:$B$210,Costdrivere!$B$3:$H$211,7,FALSE)</f>
        <v>311883.60000000003</v>
      </c>
      <c r="I62" s="27">
        <v>30.472036811837729</v>
      </c>
      <c r="J62" s="20">
        <f>VLOOKUP($B$3:$B$210,Costdrivere!$B$3:$I$211,8,FALSE)</f>
        <v>3.8335481495120602E-2</v>
      </c>
      <c r="K62" s="74">
        <f t="shared" si="1"/>
        <v>1435967.0712399774</v>
      </c>
      <c r="L62" s="89">
        <f t="shared" si="13"/>
        <v>1613304.212160392</v>
      </c>
      <c r="M62" s="167">
        <f t="shared" si="2"/>
        <v>1766549.3238476135</v>
      </c>
      <c r="N62" s="74">
        <f>K62+VLOOKUP($B$3:$B$210,'Potentialer og krav'!$B$2:$F$209,5,FALSE)</f>
        <v>1435967.0712399774</v>
      </c>
      <c r="O62" s="160">
        <f t="shared" si="3"/>
        <v>1613304.212160392</v>
      </c>
      <c r="P62" s="163">
        <f t="shared" si="4"/>
        <v>1766549.3238476135</v>
      </c>
      <c r="Q62" s="104">
        <f>N62+(0.25*VLOOKUP($B$3:$B$210,'Potentialer og krav'!$B$2:$C$209,2,FALSE))</f>
        <v>1765139.0712399774</v>
      </c>
      <c r="R62" s="53">
        <f>O62+(0.25*VLOOKUP($B$3:$B$210,'Potentialer og krav'!$B$2:$C$209,2,FALSE))</f>
        <v>1942476.212160392</v>
      </c>
      <c r="S62" s="104">
        <f>P62+(0.25*VLOOKUP($B$3:$B$210,'Potentialer og krav'!$B$2:$C$209,2,FALSE))</f>
        <v>2095721.3238476135</v>
      </c>
      <c r="T62" s="84">
        <v>1301968</v>
      </c>
      <c r="U62" s="92">
        <f t="shared" si="5"/>
        <v>1321497.5199999998</v>
      </c>
      <c r="W62" s="70">
        <f t="shared" si="6"/>
        <v>0.12474433489989226</v>
      </c>
      <c r="X62" s="73">
        <f t="shared" si="7"/>
        <v>0.3081035441975411</v>
      </c>
      <c r="Y62" s="62">
        <f t="shared" si="8"/>
        <v>0</v>
      </c>
      <c r="Z62" s="73">
        <f t="shared" si="9"/>
        <v>0.15306240261498899</v>
      </c>
      <c r="AA62" s="62">
        <f t="shared" si="10"/>
        <v>0.19689560134262268</v>
      </c>
      <c r="AB62" s="64">
        <f t="shared" si="11"/>
        <v>0.21719411694495491</v>
      </c>
      <c r="AC62" s="62"/>
      <c r="AD62" s="145">
        <f t="shared" si="12"/>
        <v>0.41408971828757757</v>
      </c>
      <c r="AF62" s="57">
        <f>W$212-W62</f>
        <v>-6.0709293069744208E-3</v>
      </c>
      <c r="AG62" s="60">
        <f>X$212-X62</f>
        <v>-1.8305547074472961E-2</v>
      </c>
      <c r="AH62" s="83">
        <f>Y$212-Y62</f>
        <v>4.91945139363381E-2</v>
      </c>
      <c r="AI62" s="60">
        <f>Z$212-Z62</f>
        <v>7.8276800185291845E-2</v>
      </c>
      <c r="AJ62" s="83">
        <f>AA$212-AA62</f>
        <v>-4.8250687976459261E-2</v>
      </c>
      <c r="AK62" s="76">
        <f>AB$212-AB62</f>
        <v>-5.4844149763723454E-2</v>
      </c>
      <c r="AL62" s="108"/>
      <c r="AM62" s="57">
        <f>$AD$212-AD62</f>
        <v>-0.10309483774018258</v>
      </c>
      <c r="AN62" s="106">
        <f>IF(AM62&lt;$AD$215,(AM62-$AD$215)*0.5683,0)</f>
        <v>0</v>
      </c>
    </row>
    <row r="63" spans="1:40" x14ac:dyDescent="0.25">
      <c r="A63" s="17" t="s">
        <v>238</v>
      </c>
      <c r="B63" s="90" t="s">
        <v>239</v>
      </c>
      <c r="C63" s="88">
        <f>VLOOKUP($B$3:$B$210,Costdrivere!$B$3:$H$211,2,FALSE)</f>
        <v>446989.1899996369</v>
      </c>
      <c r="D63" s="46">
        <f>VLOOKUP($B$3:$B$210,Costdrivere!$B$3:$H$211,3,FALSE)</f>
        <v>1147443.0360000001</v>
      </c>
      <c r="E63" s="23">
        <f>VLOOKUP($B$3:$B$210,Costdrivere!$B$3:$H$211,4,FALSE)</f>
        <v>1298000</v>
      </c>
      <c r="F63" s="46">
        <f>VLOOKUP($B$3:$B$210,Costdrivere!$B$3:$H$211,5,FALSE)</f>
        <v>5407622</v>
      </c>
      <c r="G63" s="23">
        <f>VLOOKUP($B$3:$B$210,Costdrivere!$B$3:$H$211,6,FALSE)</f>
        <v>2300487.5999999996</v>
      </c>
      <c r="H63" s="93">
        <f>VLOOKUP($B$3:$B$210,Costdrivere!$B$3:$H$211,7,FALSE)</f>
        <v>1763595.4000000001</v>
      </c>
      <c r="I63" s="27">
        <v>45.610771617241831</v>
      </c>
      <c r="J63" s="20">
        <f>VLOOKUP($B$3:$B$210,Costdrivere!$B$3:$I$211,8,FALSE)</f>
        <v>5.0965367965367964E-2</v>
      </c>
      <c r="K63" s="74">
        <f t="shared" si="1"/>
        <v>12364137.225999637</v>
      </c>
      <c r="L63" s="89">
        <f t="shared" si="13"/>
        <v>17260260.011617322</v>
      </c>
      <c r="M63" s="167">
        <f t="shared" si="2"/>
        <v>17325555.695545394</v>
      </c>
      <c r="N63" s="74">
        <f>K63+VLOOKUP($B$3:$B$210,'Potentialer og krav'!$B$2:$F$209,5,FALSE)</f>
        <v>12364137.225999637</v>
      </c>
      <c r="O63" s="160">
        <f t="shared" si="3"/>
        <v>17260260.011617322</v>
      </c>
      <c r="P63" s="163">
        <f t="shared" si="4"/>
        <v>17325555.695545394</v>
      </c>
      <c r="Q63" s="104">
        <f>N63+(0.25*VLOOKUP($B$3:$B$210,'Potentialer og krav'!$B$2:$C$209,2,FALSE))</f>
        <v>16547101.725999637</v>
      </c>
      <c r="R63" s="53">
        <f>O63+(0.25*VLOOKUP($B$3:$B$210,'Potentialer og krav'!$B$2:$C$209,2,FALSE))</f>
        <v>21443224.511617322</v>
      </c>
      <c r="S63" s="104">
        <f>P63+(0.25*VLOOKUP($B$3:$B$210,'Potentialer og krav'!$B$2:$C$209,2,FALSE))</f>
        <v>21508520.195545394</v>
      </c>
      <c r="T63" s="84">
        <v>16595988</v>
      </c>
      <c r="U63" s="92">
        <f t="shared" si="5"/>
        <v>16844927.819999997</v>
      </c>
      <c r="W63" s="70">
        <f t="shared" si="6"/>
        <v>3.6152072872476383E-2</v>
      </c>
      <c r="X63" s="73">
        <f t="shared" si="7"/>
        <v>9.2804133036240202E-2</v>
      </c>
      <c r="Y63" s="62">
        <f t="shared" si="8"/>
        <v>0.10498104123840774</v>
      </c>
      <c r="Z63" s="73">
        <f t="shared" si="9"/>
        <v>0.43736347317698065</v>
      </c>
      <c r="AA63" s="62">
        <f t="shared" si="10"/>
        <v>0.18606131248385638</v>
      </c>
      <c r="AB63" s="64">
        <f t="shared" si="11"/>
        <v>0.14263796719203867</v>
      </c>
      <c r="AC63" s="62"/>
      <c r="AD63" s="145">
        <f t="shared" si="12"/>
        <v>0.32869927967589507</v>
      </c>
      <c r="AF63" s="57">
        <f>W$212-W63</f>
        <v>8.2521332720441459E-2</v>
      </c>
      <c r="AG63" s="60">
        <f>X$212-X63</f>
        <v>0.19699386408682795</v>
      </c>
      <c r="AH63" s="83">
        <f>Y$212-Y63</f>
        <v>-5.5786527302069636E-2</v>
      </c>
      <c r="AI63" s="60">
        <f>Z$212-Z63</f>
        <v>-0.20602427037669982</v>
      </c>
      <c r="AJ63" s="83">
        <f>AA$212-AA63</f>
        <v>-3.7416399117692956E-2</v>
      </c>
      <c r="AK63" s="76">
        <f>AB$212-AB63</f>
        <v>1.9711999989192791E-2</v>
      </c>
      <c r="AL63" s="108"/>
      <c r="AM63" s="57">
        <f>$AD$212-AD63</f>
        <v>-1.7704399128500081E-2</v>
      </c>
      <c r="AN63" s="106">
        <f>IF(AM63&lt;$AD$215,(AM63-$AD$215)*0.5683,0)</f>
        <v>0</v>
      </c>
    </row>
    <row r="64" spans="1:40" x14ac:dyDescent="0.25">
      <c r="A64" s="17" t="s">
        <v>240</v>
      </c>
      <c r="B64" s="90" t="s">
        <v>241</v>
      </c>
      <c r="C64" s="88">
        <f>VLOOKUP($B$3:$B$210,Costdrivere!$B$3:$H$211,2,FALSE)</f>
        <v>150245.42814584202</v>
      </c>
      <c r="D64" s="46">
        <f>VLOOKUP($B$3:$B$210,Costdrivere!$B$3:$H$211,3,FALSE)</f>
        <v>366560.70199999999</v>
      </c>
      <c r="E64" s="23">
        <f>VLOOKUP($B$3:$B$210,Costdrivere!$B$3:$H$211,4,FALSE)</f>
        <v>0</v>
      </c>
      <c r="F64" s="46">
        <f>VLOOKUP($B$3:$B$210,Costdrivere!$B$3:$H$211,5,FALSE)</f>
        <v>129504</v>
      </c>
      <c r="G64" s="23">
        <f>VLOOKUP($B$3:$B$210,Costdrivere!$B$3:$H$211,6,FALSE)</f>
        <v>169750</v>
      </c>
      <c r="H64" s="93">
        <f>VLOOKUP($B$3:$B$210,Costdrivere!$B$3:$H$211,7,FALSE)</f>
        <v>187250</v>
      </c>
      <c r="I64" s="27">
        <v>23.092148961426812</v>
      </c>
      <c r="J64" s="20">
        <f>VLOOKUP($B$3:$B$210,Costdrivere!$B$3:$I$211,8,FALSE)</f>
        <v>3.90625E-2</v>
      </c>
      <c r="K64" s="74">
        <f t="shared" ref="K64:K124" si="20">SUM(C64:H64)</f>
        <v>1003310.130145842</v>
      </c>
      <c r="L64" s="89">
        <f t="shared" si="13"/>
        <v>993937.89047091256</v>
      </c>
      <c r="M64" s="167">
        <f t="shared" ref="M64:M124" si="21">IF(J64=0,K64,(0.711+13.544*J64)*K64)</f>
        <v>1244167.2682639782</v>
      </c>
      <c r="N64" s="74">
        <f>K64+VLOOKUP($B$3:$B$210,'Potentialer og krav'!$B$2:$F$209,5,FALSE)</f>
        <v>1003310.130145842</v>
      </c>
      <c r="O64" s="160">
        <f t="shared" ref="O64:O124" si="22">IF(I64=0,N64,((0.575+0.018*I64)*N64))</f>
        <v>993937.89047091256</v>
      </c>
      <c r="P64" s="163">
        <f t="shared" ref="P64:P124" si="23">IF(J64=0,N64,((0.711+13.544*J64)*N64))</f>
        <v>1244167.2682639782</v>
      </c>
      <c r="Q64" s="104">
        <f>N64+(0.25*VLOOKUP($B$3:$B$210,'Potentialer og krav'!$B$2:$C$209,2,FALSE))</f>
        <v>1213381.880145842</v>
      </c>
      <c r="R64" s="53">
        <f>O64+(0.25*VLOOKUP($B$3:$B$210,'Potentialer og krav'!$B$2:$C$209,2,FALSE))</f>
        <v>1204009.6404709127</v>
      </c>
      <c r="S64" s="104">
        <f>P64+(0.25*VLOOKUP($B$3:$B$210,'Potentialer og krav'!$B$2:$C$209,2,FALSE))</f>
        <v>1454239.0182639782</v>
      </c>
      <c r="T64" s="84">
        <v>672843</v>
      </c>
      <c r="U64" s="92">
        <f t="shared" ref="U64:U124" si="24">1.015*T64</f>
        <v>682935.6449999999</v>
      </c>
      <c r="W64" s="70">
        <f t="shared" ref="W64:W124" si="25">C64/(SUM($C64:$H64))</f>
        <v>0.14974973702697711</v>
      </c>
      <c r="X64" s="73">
        <f t="shared" ref="X64:X124" si="26">D64/(SUM($C64:$H64))</f>
        <v>0.3653513415106418</v>
      </c>
      <c r="Y64" s="62">
        <f t="shared" ref="Y64:Y124" si="27">E64/(SUM($C64:$H64))</f>
        <v>0</v>
      </c>
      <c r="Z64" s="73">
        <f t="shared" ref="Z64:Z124" si="28">F64/(SUM($C64:$H64))</f>
        <v>0.12907673919446541</v>
      </c>
      <c r="AA64" s="62">
        <f t="shared" ref="AA64:AA124" si="29">G64/(SUM($C64:$H64))</f>
        <v>0.16918995921562657</v>
      </c>
      <c r="AB64" s="64">
        <f t="shared" ref="AB64:AB124" si="30">H64/(SUM($C64:$H64))</f>
        <v>0.1866322230522891</v>
      </c>
      <c r="AC64" s="62"/>
      <c r="AD64" s="145">
        <f t="shared" ref="AD64:AD124" si="31">SUM(AA64:AB64)</f>
        <v>0.35582218226791568</v>
      </c>
      <c r="AF64" s="57">
        <f>W$212-W64</f>
        <v>-3.1076331434059273E-2</v>
      </c>
      <c r="AG64" s="60">
        <f>X$212-X64</f>
        <v>-7.5553344387573662E-2</v>
      </c>
      <c r="AH64" s="83">
        <f>Y$212-Y64</f>
        <v>4.91945139363381E-2</v>
      </c>
      <c r="AI64" s="60">
        <f>Z$212-Z64</f>
        <v>0.10226246360581542</v>
      </c>
      <c r="AJ64" s="83">
        <f>AA$212-AA64</f>
        <v>-2.054504584946315E-2</v>
      </c>
      <c r="AK64" s="76">
        <f>AB$212-AB64</f>
        <v>-2.4282255871057645E-2</v>
      </c>
      <c r="AL64" s="108"/>
      <c r="AM64" s="57">
        <f>$AD$212-AD64</f>
        <v>-4.4827301720520685E-2</v>
      </c>
      <c r="AN64" s="106">
        <f>IF(AM64&lt;$AD$215,(AM64-$AD$215)*0.5683,0)</f>
        <v>0</v>
      </c>
    </row>
    <row r="65" spans="1:40" x14ac:dyDescent="0.25">
      <c r="A65" s="17" t="s">
        <v>242</v>
      </c>
      <c r="B65" s="90" t="s">
        <v>243</v>
      </c>
      <c r="C65" s="88">
        <f>VLOOKUP($B$3:$B$210,Costdrivere!$B$3:$H$211,2,FALSE)</f>
        <v>517984.80069612985</v>
      </c>
      <c r="D65" s="46">
        <f>VLOOKUP($B$3:$B$210,Costdrivere!$B$3:$H$211,3,FALSE)</f>
        <v>1765302.8729999999</v>
      </c>
      <c r="E65" s="23">
        <f>VLOOKUP($B$3:$B$210,Costdrivere!$B$3:$H$211,4,FALSE)</f>
        <v>0</v>
      </c>
      <c r="F65" s="46">
        <f>VLOOKUP($B$3:$B$210,Costdrivere!$B$3:$H$211,5,FALSE)</f>
        <v>2340264</v>
      </c>
      <c r="G65" s="23">
        <f>VLOOKUP($B$3:$B$210,Costdrivere!$B$3:$H$211,6,FALSE)</f>
        <v>718564.2</v>
      </c>
      <c r="H65" s="93">
        <f>VLOOKUP($B$3:$B$210,Costdrivere!$B$3:$H$211,7,FALSE)</f>
        <v>579426.4</v>
      </c>
      <c r="I65" s="27">
        <v>31.331292121007202</v>
      </c>
      <c r="J65" s="20">
        <f>VLOOKUP($B$3:$B$210,Costdrivere!$B$3:$I$211,8,FALSE)</f>
        <v>4.029166666666667E-2</v>
      </c>
      <c r="K65" s="74">
        <f t="shared" si="20"/>
        <v>5921542.2736961301</v>
      </c>
      <c r="L65" s="89">
        <f t="shared" ref="L65:L125" si="32">IF(I65=0,K65,((0.575+0.018*I65)*K65))</f>
        <v>6744419.0814884733</v>
      </c>
      <c r="M65" s="167">
        <f t="shared" si="21"/>
        <v>7441663.3646240886</v>
      </c>
      <c r="N65" s="74">
        <f>K65+VLOOKUP($B$3:$B$210,'Potentialer og krav'!$B$2:$F$209,5,FALSE)</f>
        <v>6103579.2736961301</v>
      </c>
      <c r="O65" s="160">
        <f t="shared" si="22"/>
        <v>6951752.5361174457</v>
      </c>
      <c r="P65" s="163">
        <f t="shared" si="23"/>
        <v>7670431.1435730886</v>
      </c>
      <c r="Q65" s="104">
        <f>N65+(0.25*VLOOKUP($B$3:$B$210,'Potentialer og krav'!$B$2:$C$209,2,FALSE))</f>
        <v>8262275.7736961301</v>
      </c>
      <c r="R65" s="53">
        <f>O65+(0.25*VLOOKUP($B$3:$B$210,'Potentialer og krav'!$B$2:$C$209,2,FALSE))</f>
        <v>9110449.0361174457</v>
      </c>
      <c r="S65" s="104">
        <f>P65+(0.25*VLOOKUP($B$3:$B$210,'Potentialer og krav'!$B$2:$C$209,2,FALSE))</f>
        <v>9829127.6435730886</v>
      </c>
      <c r="T65" s="84">
        <v>6469171</v>
      </c>
      <c r="U65" s="92">
        <f t="shared" si="24"/>
        <v>6566208.5649999995</v>
      </c>
      <c r="W65" s="70">
        <f t="shared" si="25"/>
        <v>8.7474643725343568E-2</v>
      </c>
      <c r="X65" s="73">
        <f t="shared" si="26"/>
        <v>0.29811538808759136</v>
      </c>
      <c r="Y65" s="62">
        <f t="shared" si="27"/>
        <v>0</v>
      </c>
      <c r="Z65" s="73">
        <f t="shared" si="28"/>
        <v>0.39521190457350991</v>
      </c>
      <c r="AA65" s="62">
        <f t="shared" si="29"/>
        <v>0.12134747449020303</v>
      </c>
      <c r="AB65" s="64">
        <f t="shared" si="30"/>
        <v>9.7850589123352066E-2</v>
      </c>
      <c r="AC65" s="62"/>
      <c r="AD65" s="145">
        <f t="shared" si="31"/>
        <v>0.21919806361355509</v>
      </c>
      <c r="AF65" s="57">
        <f>W$212-W65</f>
        <v>3.1198761867574268E-2</v>
      </c>
      <c r="AG65" s="60">
        <f>X$212-X65</f>
        <v>-8.3173909645232191E-3</v>
      </c>
      <c r="AH65" s="83">
        <f>Y$212-Y65</f>
        <v>4.91945139363381E-2</v>
      </c>
      <c r="AI65" s="60">
        <f>Z$212-Z65</f>
        <v>-0.16387270177322907</v>
      </c>
      <c r="AJ65" s="83">
        <f>AA$212-AA65</f>
        <v>2.7297438875960395E-2</v>
      </c>
      <c r="AK65" s="76">
        <f>AB$212-AB65</f>
        <v>6.4499378057879392E-2</v>
      </c>
      <c r="AL65" s="108"/>
      <c r="AM65" s="57">
        <f>$AD$212-AD65</f>
        <v>9.1796816933839898E-2</v>
      </c>
      <c r="AN65" s="106">
        <f>IF(AM65&lt;$AD$215,(AM65-$AD$215)*0.5683,0)</f>
        <v>0</v>
      </c>
    </row>
    <row r="66" spans="1:40" x14ac:dyDescent="0.25">
      <c r="A66" s="17" t="s">
        <v>244</v>
      </c>
      <c r="B66" s="90" t="s">
        <v>245</v>
      </c>
      <c r="C66" s="88">
        <f>VLOOKUP($B$3:$B$210,Costdrivere!$B$3:$H$211,2,FALSE)</f>
        <v>1198226.9935921924</v>
      </c>
      <c r="D66" s="46">
        <f>VLOOKUP($B$3:$B$210,Costdrivere!$B$3:$H$211,3,FALSE)</f>
        <v>3655458.2760000001</v>
      </c>
      <c r="E66" s="23">
        <f>VLOOKUP($B$3:$B$210,Costdrivere!$B$3:$H$211,4,FALSE)</f>
        <v>537928</v>
      </c>
      <c r="F66" s="46">
        <f>VLOOKUP($B$3:$B$210,Costdrivere!$B$3:$H$211,5,FALSE)</f>
        <v>3244277</v>
      </c>
      <c r="G66" s="23">
        <f>VLOOKUP($B$3:$B$210,Costdrivere!$B$3:$H$211,6,FALSE)</f>
        <v>2001335.4000000001</v>
      </c>
      <c r="H66" s="93">
        <f>VLOOKUP($B$3:$B$210,Costdrivere!$B$3:$H$211,7,FALSE)</f>
        <v>1476279</v>
      </c>
      <c r="I66" s="27">
        <v>34.679525620506226</v>
      </c>
      <c r="J66" s="20">
        <f>VLOOKUP($B$3:$B$210,Costdrivere!$B$3:$I$211,8,FALSE)</f>
        <v>4.1234309623430963E-2</v>
      </c>
      <c r="K66" s="74">
        <f t="shared" si="20"/>
        <v>12113504.669592192</v>
      </c>
      <c r="L66" s="89">
        <f t="shared" si="32"/>
        <v>14526895.904793905</v>
      </c>
      <c r="M66" s="167">
        <f t="shared" si="21"/>
        <v>15377821.497481922</v>
      </c>
      <c r="N66" s="74">
        <f>K66+VLOOKUP($B$3:$B$210,'Potentialer og krav'!$B$2:$F$209,5,FALSE)</f>
        <v>12944677.889592193</v>
      </c>
      <c r="O66" s="160">
        <f t="shared" si="22"/>
        <v>15523664.979899142</v>
      </c>
      <c r="P66" s="163">
        <f t="shared" si="23"/>
        <v>16432977.190180192</v>
      </c>
      <c r="Q66" s="104">
        <f>N66+(0.25*VLOOKUP($B$3:$B$210,'Potentialer og krav'!$B$2:$C$209,2,FALSE))</f>
        <v>16066476.139592193</v>
      </c>
      <c r="R66" s="53">
        <f>O66+(0.25*VLOOKUP($B$3:$B$210,'Potentialer og krav'!$B$2:$C$209,2,FALSE))</f>
        <v>18645463.229899142</v>
      </c>
      <c r="S66" s="104">
        <f>P66+(0.25*VLOOKUP($B$3:$B$210,'Potentialer og krav'!$B$2:$C$209,2,FALSE))</f>
        <v>19554775.44018019</v>
      </c>
      <c r="T66" s="84">
        <v>10460376</v>
      </c>
      <c r="U66" s="92">
        <f t="shared" si="24"/>
        <v>10617281.639999999</v>
      </c>
      <c r="W66" s="70">
        <f t="shared" si="25"/>
        <v>9.8916624566962041E-2</v>
      </c>
      <c r="X66" s="73">
        <f t="shared" si="26"/>
        <v>0.30176719089200327</v>
      </c>
      <c r="Y66" s="62">
        <f t="shared" si="27"/>
        <v>4.4407297035211332E-2</v>
      </c>
      <c r="Z66" s="73">
        <f t="shared" si="28"/>
        <v>0.26782315180378102</v>
      </c>
      <c r="AA66" s="62">
        <f t="shared" si="29"/>
        <v>0.16521522503919389</v>
      </c>
      <c r="AB66" s="64">
        <f t="shared" si="30"/>
        <v>0.12187051066284847</v>
      </c>
      <c r="AC66" s="62"/>
      <c r="AD66" s="145">
        <f t="shared" si="31"/>
        <v>0.28708573570204238</v>
      </c>
      <c r="AF66" s="57">
        <f>W$212-W66</f>
        <v>1.9756781025955794E-2</v>
      </c>
      <c r="AG66" s="60">
        <f>X$212-X66</f>
        <v>-1.1969193768935127E-2</v>
      </c>
      <c r="AH66" s="83">
        <f>Y$212-Y66</f>
        <v>4.7872169011267673E-3</v>
      </c>
      <c r="AI66" s="60">
        <f>Z$212-Z66</f>
        <v>-3.6483949003500188E-2</v>
      </c>
      <c r="AJ66" s="83">
        <f>AA$212-AA66</f>
        <v>-1.6570311673030469E-2</v>
      </c>
      <c r="AK66" s="76">
        <f>AB$212-AB66</f>
        <v>4.0479456518382986E-2</v>
      </c>
      <c r="AL66" s="108"/>
      <c r="AM66" s="57">
        <f>$AD$212-AD66</f>
        <v>2.3909144845352615E-2</v>
      </c>
      <c r="AN66" s="106">
        <f>IF(AM66&lt;$AD$215,(AM66-$AD$215)*0.5683,0)</f>
        <v>0</v>
      </c>
    </row>
    <row r="67" spans="1:40" x14ac:dyDescent="0.25">
      <c r="A67" s="17" t="s">
        <v>246</v>
      </c>
      <c r="B67" s="90" t="s">
        <v>247</v>
      </c>
      <c r="C67" s="88">
        <f>VLOOKUP($B$3:$B$210,Costdrivere!$B$3:$H$211,2,FALSE)</f>
        <v>763432.05057213956</v>
      </c>
      <c r="D67" s="46">
        <f>VLOOKUP($B$3:$B$210,Costdrivere!$B$3:$H$211,3,FALSE)</f>
        <v>2185842.9700000002</v>
      </c>
      <c r="E67" s="23">
        <f>VLOOKUP($B$3:$B$210,Costdrivere!$B$3:$H$211,4,FALSE)</f>
        <v>70906</v>
      </c>
      <c r="F67" s="46">
        <f>VLOOKUP($B$3:$B$210,Costdrivere!$B$3:$H$211,5,FALSE)</f>
        <v>1031985</v>
      </c>
      <c r="G67" s="23">
        <f>VLOOKUP($B$3:$B$210,Costdrivere!$B$3:$H$211,6,FALSE)</f>
        <v>587470.80000000005</v>
      </c>
      <c r="H67" s="93">
        <f>VLOOKUP($B$3:$B$210,Costdrivere!$B$3:$H$211,7,FALSE)</f>
        <v>667658.60000000009</v>
      </c>
      <c r="I67" s="27">
        <v>25.047971454082532</v>
      </c>
      <c r="J67" s="20">
        <f>VLOOKUP($B$3:$B$210,Costdrivere!$B$3:$I$211,8,FALSE)</f>
        <v>1.7478431372549019E-2</v>
      </c>
      <c r="K67" s="74">
        <f t="shared" si="20"/>
        <v>5307295.4205721393</v>
      </c>
      <c r="L67" s="89">
        <f t="shared" si="32"/>
        <v>5444560.5823007096</v>
      </c>
      <c r="M67" s="167">
        <f t="shared" si="21"/>
        <v>5029871.8083344493</v>
      </c>
      <c r="N67" s="74">
        <f>K67+VLOOKUP($B$3:$B$210,'Potentialer og krav'!$B$2:$F$209,5,FALSE)</f>
        <v>5307295.4205721393</v>
      </c>
      <c r="O67" s="160">
        <f t="shared" si="22"/>
        <v>5444560.5823007096</v>
      </c>
      <c r="P67" s="163">
        <f t="shared" si="23"/>
        <v>5029871.8083344493</v>
      </c>
      <c r="Q67" s="104">
        <f>N67+(0.25*VLOOKUP($B$3:$B$210,'Potentialer og krav'!$B$2:$C$209,2,FALSE))</f>
        <v>6375546.9205721393</v>
      </c>
      <c r="R67" s="53">
        <f>O67+(0.25*VLOOKUP($B$3:$B$210,'Potentialer og krav'!$B$2:$C$209,2,FALSE))</f>
        <v>6512812.0823007096</v>
      </c>
      <c r="S67" s="104">
        <f>P67+(0.25*VLOOKUP($B$3:$B$210,'Potentialer og krav'!$B$2:$C$209,2,FALSE))</f>
        <v>6098123.3083344493</v>
      </c>
      <c r="T67" s="84">
        <v>4111796</v>
      </c>
      <c r="U67" s="92">
        <f t="shared" si="24"/>
        <v>4173472.9399999995</v>
      </c>
      <c r="W67" s="70">
        <f t="shared" si="25"/>
        <v>0.14384578020905414</v>
      </c>
      <c r="X67" s="73">
        <f t="shared" si="26"/>
        <v>0.41185628399867008</v>
      </c>
      <c r="Y67" s="62">
        <f t="shared" si="27"/>
        <v>1.3360100461932862E-2</v>
      </c>
      <c r="Z67" s="73">
        <f t="shared" si="28"/>
        <v>0.19444649642072298</v>
      </c>
      <c r="AA67" s="62">
        <f t="shared" si="29"/>
        <v>0.11069118137325569</v>
      </c>
      <c r="AB67" s="64">
        <f t="shared" si="30"/>
        <v>0.12580015753636434</v>
      </c>
      <c r="AC67" s="62"/>
      <c r="AD67" s="145">
        <f t="shared" si="31"/>
        <v>0.23649133890962004</v>
      </c>
      <c r="AF67" s="57">
        <f>W$212-W67</f>
        <v>-2.5172374616136306E-2</v>
      </c>
      <c r="AG67" s="60">
        <f>X$212-X67</f>
        <v>-0.12205828687560194</v>
      </c>
      <c r="AH67" s="83">
        <f>Y$212-Y67</f>
        <v>3.583441347440524E-2</v>
      </c>
      <c r="AI67" s="60">
        <f>Z$212-Z67</f>
        <v>3.6892706379557855E-2</v>
      </c>
      <c r="AJ67" s="83">
        <f>AA$212-AA67</f>
        <v>3.7953731992907733E-2</v>
      </c>
      <c r="AK67" s="76">
        <f>AB$212-AB67</f>
        <v>3.6549809644867121E-2</v>
      </c>
      <c r="AL67" s="108"/>
      <c r="AM67" s="57">
        <f>$AD$212-AD67</f>
        <v>7.450354163777495E-2</v>
      </c>
      <c r="AN67" s="106">
        <f>IF(AM67&lt;$AD$215,(AM67-$AD$215)*0.5683,0)</f>
        <v>0</v>
      </c>
    </row>
    <row r="68" spans="1:40" x14ac:dyDescent="0.25">
      <c r="A68" s="17" t="s">
        <v>31</v>
      </c>
      <c r="B68" s="90" t="s">
        <v>248</v>
      </c>
      <c r="C68" s="88">
        <f>VLOOKUP($B$3:$B$210,Costdrivere!$B$3:$H$211,2,FALSE)</f>
        <v>978768.25791339832</v>
      </c>
      <c r="D68" s="46">
        <f>VLOOKUP($B$3:$B$210,Costdrivere!$B$3:$H$211,3,FALSE)</f>
        <v>2502754.9950000001</v>
      </c>
      <c r="E68" s="23">
        <f>VLOOKUP($B$3:$B$210,Costdrivere!$B$3:$H$211,4,FALSE)</f>
        <v>0</v>
      </c>
      <c r="F68" s="46">
        <f>VLOOKUP($B$3:$B$210,Costdrivere!$B$3:$H$211,5,FALSE)</f>
        <v>2032526</v>
      </c>
      <c r="G68" s="23">
        <f>VLOOKUP($B$3:$B$210,Costdrivere!$B$3:$H$211,6,FALSE)</f>
        <v>1613729.6</v>
      </c>
      <c r="H68" s="93">
        <f>VLOOKUP($B$3:$B$210,Costdrivere!$B$3:$H$211,7,FALSE)</f>
        <v>1479125.2000000002</v>
      </c>
      <c r="I68" s="27">
        <v>38.023511353774609</v>
      </c>
      <c r="J68" s="20">
        <f>VLOOKUP($B$3:$B$210,Costdrivere!$B$3:$I$211,8,FALSE)</f>
        <v>4.0970954356846473E-2</v>
      </c>
      <c r="K68" s="74">
        <f t="shared" si="20"/>
        <v>8606904.0529133976</v>
      </c>
      <c r="L68" s="89">
        <f t="shared" si="32"/>
        <v>10839734.682007626</v>
      </c>
      <c r="M68" s="167">
        <f t="shared" si="21"/>
        <v>10895571.123764643</v>
      </c>
      <c r="N68" s="74">
        <f>K68+VLOOKUP($B$3:$B$210,'Potentialer og krav'!$B$2:$F$209,5,FALSE)</f>
        <v>8875999.0529133976</v>
      </c>
      <c r="O68" s="160">
        <f t="shared" si="22"/>
        <v>11178639.169187019</v>
      </c>
      <c r="P68" s="163">
        <f t="shared" si="23"/>
        <v>11236221.338234849</v>
      </c>
      <c r="Q68" s="104">
        <f>N68+(0.25*VLOOKUP($B$3:$B$210,'Potentialer og krav'!$B$2:$C$209,2,FALSE))</f>
        <v>11205365.302913398</v>
      </c>
      <c r="R68" s="53">
        <f>O68+(0.25*VLOOKUP($B$3:$B$210,'Potentialer og krav'!$B$2:$C$209,2,FALSE))</f>
        <v>13508005.419187019</v>
      </c>
      <c r="S68" s="104">
        <f>P68+(0.25*VLOOKUP($B$3:$B$210,'Potentialer og krav'!$B$2:$C$209,2,FALSE))</f>
        <v>13565587.588234849</v>
      </c>
      <c r="T68" s="84">
        <v>6646757</v>
      </c>
      <c r="U68" s="92">
        <f t="shared" si="24"/>
        <v>6746458.3549999995</v>
      </c>
      <c r="W68" s="70">
        <f t="shared" si="25"/>
        <v>0.11371896931767117</v>
      </c>
      <c r="X68" s="73">
        <f t="shared" si="26"/>
        <v>0.29078458172806387</v>
      </c>
      <c r="Y68" s="62">
        <f t="shared" si="27"/>
        <v>0</v>
      </c>
      <c r="Z68" s="73">
        <f t="shared" si="28"/>
        <v>0.23615065155884934</v>
      </c>
      <c r="AA68" s="62">
        <f t="shared" si="29"/>
        <v>0.18749245838911843</v>
      </c>
      <c r="AB68" s="64">
        <f t="shared" si="30"/>
        <v>0.17185333900629729</v>
      </c>
      <c r="AC68" s="62"/>
      <c r="AD68" s="145">
        <f t="shared" si="31"/>
        <v>0.35934579739541572</v>
      </c>
      <c r="AF68" s="57">
        <f>W$212-W68</f>
        <v>4.9544362752466653E-3</v>
      </c>
      <c r="AG68" s="60">
        <f>X$212-X68</f>
        <v>-9.8658460499573275E-4</v>
      </c>
      <c r="AH68" s="83">
        <f>Y$212-Y68</f>
        <v>4.91945139363381E-2</v>
      </c>
      <c r="AI68" s="60">
        <f>Z$212-Z68</f>
        <v>-4.8114487585685095E-3</v>
      </c>
      <c r="AJ68" s="83">
        <f>AA$212-AA68</f>
        <v>-3.884754502295501E-2</v>
      </c>
      <c r="AK68" s="76">
        <f>AB$212-AB68</f>
        <v>-9.5033718250658317E-3</v>
      </c>
      <c r="AL68" s="108"/>
      <c r="AM68" s="57">
        <f>$AD$212-AD68</f>
        <v>-4.8350916848020731E-2</v>
      </c>
      <c r="AN68" s="106">
        <f>IF(AM68&lt;$AD$215,(AM68-$AD$215)*0.5683,0)</f>
        <v>0</v>
      </c>
    </row>
    <row r="69" spans="1:40" x14ac:dyDescent="0.25">
      <c r="A69" s="17" t="s">
        <v>32</v>
      </c>
      <c r="B69" s="90" t="s">
        <v>249</v>
      </c>
      <c r="C69" s="88">
        <f>VLOOKUP($B$3:$B$210,Costdrivere!$B$3:$H$211,2,FALSE)</f>
        <v>1115953.0628648412</v>
      </c>
      <c r="D69" s="46">
        <f>VLOOKUP($B$3:$B$210,Costdrivere!$B$3:$H$211,3,FALSE)</f>
        <v>3150456.2580000004</v>
      </c>
      <c r="E69" s="23">
        <f>VLOOKUP($B$3:$B$210,Costdrivere!$B$3:$H$211,4,FALSE)</f>
        <v>311219</v>
      </c>
      <c r="F69" s="46">
        <f>VLOOKUP($B$3:$B$210,Costdrivere!$B$3:$H$211,5,FALSE)</f>
        <v>1634988</v>
      </c>
      <c r="G69" s="23">
        <f>VLOOKUP($B$3:$B$210,Costdrivere!$B$3:$H$211,6,FALSE)</f>
        <v>1443010.8</v>
      </c>
      <c r="H69" s="93">
        <f>VLOOKUP($B$3:$B$210,Costdrivere!$B$3:$H$211,7,FALSE)</f>
        <v>1789960.2000000002</v>
      </c>
      <c r="I69" s="27">
        <v>30.543583833042092</v>
      </c>
      <c r="J69" s="20">
        <f>VLOOKUP($B$3:$B$210,Costdrivere!$B$3:$I$211,8,FALSE)</f>
        <v>2.9576732673267325E-2</v>
      </c>
      <c r="K69" s="74">
        <f t="shared" si="20"/>
        <v>9445587.3208648413</v>
      </c>
      <c r="L69" s="89">
        <f t="shared" si="32"/>
        <v>10624250.296866067</v>
      </c>
      <c r="M69" s="167">
        <f t="shared" si="21"/>
        <v>10499594.598296182</v>
      </c>
      <c r="N69" s="74">
        <f>K69+VLOOKUP($B$3:$B$210,'Potentialer og krav'!$B$2:$F$209,5,FALSE)</f>
        <v>9445587.3208648413</v>
      </c>
      <c r="O69" s="160">
        <f t="shared" si="22"/>
        <v>10624250.296866067</v>
      </c>
      <c r="P69" s="163">
        <f t="shared" si="23"/>
        <v>10499594.598296182</v>
      </c>
      <c r="Q69" s="104">
        <f>N69+(0.25*VLOOKUP($B$3:$B$210,'Potentialer og krav'!$B$2:$C$209,2,FALSE))</f>
        <v>12493101.820864841</v>
      </c>
      <c r="R69" s="53">
        <f>O69+(0.25*VLOOKUP($B$3:$B$210,'Potentialer og krav'!$B$2:$C$209,2,FALSE))</f>
        <v>13671764.796866067</v>
      </c>
      <c r="S69" s="104">
        <f>P69+(0.25*VLOOKUP($B$3:$B$210,'Potentialer og krav'!$B$2:$C$209,2,FALSE))</f>
        <v>13547109.098296182</v>
      </c>
      <c r="T69" s="84">
        <v>9248961</v>
      </c>
      <c r="U69" s="92">
        <f t="shared" si="24"/>
        <v>9387695.4149999991</v>
      </c>
      <c r="W69" s="70">
        <f t="shared" si="25"/>
        <v>0.11814543923592294</v>
      </c>
      <c r="X69" s="73">
        <f t="shared" si="26"/>
        <v>0.33353735993110734</v>
      </c>
      <c r="Y69" s="62">
        <f t="shared" si="27"/>
        <v>3.2948612873710079E-2</v>
      </c>
      <c r="Z69" s="73">
        <f t="shared" si="28"/>
        <v>0.17309543011564685</v>
      </c>
      <c r="AA69" s="62">
        <f t="shared" si="29"/>
        <v>0.15277089194998597</v>
      </c>
      <c r="AB69" s="64">
        <f t="shared" si="30"/>
        <v>0.1895022658936269</v>
      </c>
      <c r="AC69" s="62"/>
      <c r="AD69" s="145">
        <f t="shared" si="31"/>
        <v>0.3422731578436129</v>
      </c>
      <c r="AF69" s="57">
        <f>W$212-W69</f>
        <v>5.2796635699489669E-4</v>
      </c>
      <c r="AG69" s="60">
        <f>X$212-X69</f>
        <v>-4.3739362808039195E-2</v>
      </c>
      <c r="AH69" s="83">
        <f>Y$212-Y69</f>
        <v>1.6245901062628021E-2</v>
      </c>
      <c r="AI69" s="60">
        <f>Z$212-Z69</f>
        <v>5.8243772684633988E-2</v>
      </c>
      <c r="AJ69" s="83">
        <f>AA$212-AA69</f>
        <v>-4.1259785838225482E-3</v>
      </c>
      <c r="AK69" s="76">
        <f>AB$212-AB69</f>
        <v>-2.715229871239544E-2</v>
      </c>
      <c r="AL69" s="108"/>
      <c r="AM69" s="57">
        <f>$AD$212-AD69</f>
        <v>-3.1278277296217905E-2</v>
      </c>
      <c r="AN69" s="106">
        <f>IF(AM69&lt;$AD$215,(AM69-$AD$215)*0.5683,0)</f>
        <v>0</v>
      </c>
    </row>
    <row r="70" spans="1:40" x14ac:dyDescent="0.25">
      <c r="A70" s="17" t="s">
        <v>250</v>
      </c>
      <c r="B70" s="90" t="s">
        <v>251</v>
      </c>
      <c r="C70" s="88">
        <f>VLOOKUP($B$3:$B$210,Costdrivere!$B$3:$H$211,2,FALSE)</f>
        <v>243331.95109607821</v>
      </c>
      <c r="D70" s="46">
        <f>VLOOKUP($B$3:$B$210,Costdrivere!$B$3:$H$211,3,FALSE)</f>
        <v>619043.59199999995</v>
      </c>
      <c r="E70" s="23">
        <f>VLOOKUP($B$3:$B$210,Costdrivere!$B$3:$H$211,4,FALSE)</f>
        <v>70906</v>
      </c>
      <c r="F70" s="46">
        <f>VLOOKUP($B$3:$B$210,Costdrivere!$B$3:$H$211,5,FALSE)</f>
        <v>352089</v>
      </c>
      <c r="G70" s="23">
        <f>VLOOKUP($B$3:$B$210,Costdrivere!$B$3:$H$211,6,FALSE)</f>
        <v>361092.2</v>
      </c>
      <c r="H70" s="93">
        <f>VLOOKUP($B$3:$B$210,Costdrivere!$B$3:$H$211,7,FALSE)</f>
        <v>398318.2</v>
      </c>
      <c r="I70" s="27">
        <v>24.726780016874596</v>
      </c>
      <c r="J70" s="20">
        <f>VLOOKUP($B$3:$B$210,Costdrivere!$B$3:$I$211,8,FALSE)</f>
        <v>3.0563218390804597E-2</v>
      </c>
      <c r="K70" s="74">
        <f t="shared" si="20"/>
        <v>2044780.943096078</v>
      </c>
      <c r="L70" s="89">
        <f t="shared" si="32"/>
        <v>2085844.3164076584</v>
      </c>
      <c r="M70" s="167">
        <f t="shared" si="21"/>
        <v>2300272.7024386316</v>
      </c>
      <c r="N70" s="74">
        <f>K70+VLOOKUP($B$3:$B$210,'Potentialer og krav'!$B$2:$F$209,5,FALSE)</f>
        <v>2044780.943096078</v>
      </c>
      <c r="O70" s="160">
        <f t="shared" si="22"/>
        <v>2085844.3164076584</v>
      </c>
      <c r="P70" s="163">
        <f t="shared" si="23"/>
        <v>2300272.7024386316</v>
      </c>
      <c r="Q70" s="104">
        <f>N70+(0.25*VLOOKUP($B$3:$B$210,'Potentialer og krav'!$B$2:$C$209,2,FALSE))</f>
        <v>2534406.193096078</v>
      </c>
      <c r="R70" s="53">
        <f>O70+(0.25*VLOOKUP($B$3:$B$210,'Potentialer og krav'!$B$2:$C$209,2,FALSE))</f>
        <v>2575469.5664076582</v>
      </c>
      <c r="S70" s="104">
        <f>P70+(0.25*VLOOKUP($B$3:$B$210,'Potentialer og krav'!$B$2:$C$209,2,FALSE))</f>
        <v>2789897.9524386316</v>
      </c>
      <c r="T70" s="84">
        <v>1808737</v>
      </c>
      <c r="U70" s="92">
        <f t="shared" si="24"/>
        <v>1835868.0549999999</v>
      </c>
      <c r="W70" s="70">
        <f t="shared" si="25"/>
        <v>0.11900147637704425</v>
      </c>
      <c r="X70" s="73">
        <f t="shared" si="26"/>
        <v>0.30274323227146438</v>
      </c>
      <c r="Y70" s="62">
        <f t="shared" si="27"/>
        <v>3.4676575131142709E-2</v>
      </c>
      <c r="Z70" s="73">
        <f t="shared" si="28"/>
        <v>0.17218910474923005</v>
      </c>
      <c r="AA70" s="62">
        <f t="shared" si="29"/>
        <v>0.17659211917989467</v>
      </c>
      <c r="AB70" s="64">
        <f t="shared" si="30"/>
        <v>0.19479749229122401</v>
      </c>
      <c r="AC70" s="62"/>
      <c r="AD70" s="145">
        <f t="shared" si="31"/>
        <v>0.37138961147111871</v>
      </c>
      <c r="AF70" s="57">
        <f>W$212-W70</f>
        <v>-3.2807078412641633E-4</v>
      </c>
      <c r="AG70" s="60">
        <f>X$212-X70</f>
        <v>-1.2945235148396239E-2</v>
      </c>
      <c r="AH70" s="83">
        <f>Y$212-Y70</f>
        <v>1.4517938805195391E-2</v>
      </c>
      <c r="AI70" s="60">
        <f>Z$212-Z70</f>
        <v>5.9150098051050787E-2</v>
      </c>
      <c r="AJ70" s="83">
        <f>AA$212-AA70</f>
        <v>-2.7947205813731252E-2</v>
      </c>
      <c r="AK70" s="76">
        <f>AB$212-AB70</f>
        <v>-3.2447525109992548E-2</v>
      </c>
      <c r="AL70" s="108"/>
      <c r="AM70" s="57">
        <f>$AD$212-AD70</f>
        <v>-6.0394730923723716E-2</v>
      </c>
      <c r="AN70" s="106">
        <f>IF(AM70&lt;$AD$215,(AM70-$AD$215)*0.5683,0)</f>
        <v>0</v>
      </c>
    </row>
    <row r="71" spans="1:40" x14ac:dyDescent="0.25">
      <c r="A71" s="17" t="s">
        <v>252</v>
      </c>
      <c r="B71" s="90" t="s">
        <v>253</v>
      </c>
      <c r="C71" s="88">
        <f>VLOOKUP($B$3:$B$210,Costdrivere!$B$3:$H$211,2,FALSE)</f>
        <v>432219.47774556297</v>
      </c>
      <c r="D71" s="46">
        <f>VLOOKUP($B$3:$B$210,Costdrivere!$B$3:$H$211,3,FALSE)</f>
        <v>1146573.629</v>
      </c>
      <c r="E71" s="23">
        <f>VLOOKUP($B$3:$B$210,Costdrivere!$B$3:$H$211,4,FALSE)</f>
        <v>106359</v>
      </c>
      <c r="F71" s="46">
        <f>VLOOKUP($B$3:$B$210,Costdrivere!$B$3:$H$211,5,FALSE)</f>
        <v>683943</v>
      </c>
      <c r="G71" s="23">
        <f>VLOOKUP($B$3:$B$210,Costdrivere!$B$3:$H$211,6,FALSE)</f>
        <v>668271.80000000005</v>
      </c>
      <c r="H71" s="93">
        <f>VLOOKUP($B$3:$B$210,Costdrivere!$B$3:$H$211,7,FALSE)</f>
        <v>815511.20000000007</v>
      </c>
      <c r="I71" s="27">
        <v>36.511418564987913</v>
      </c>
      <c r="J71" s="20">
        <f>VLOOKUP($B$3:$B$210,Costdrivere!$B$3:$I$211,8,FALSE)</f>
        <v>3.2213017751479292E-2</v>
      </c>
      <c r="K71" s="74">
        <f t="shared" si="20"/>
        <v>3852878.1067455634</v>
      </c>
      <c r="L71" s="89">
        <f t="shared" si="32"/>
        <v>4747537.7256134758</v>
      </c>
      <c r="M71" s="167">
        <f t="shared" si="21"/>
        <v>4420380.5148862489</v>
      </c>
      <c r="N71" s="74">
        <f>K71+VLOOKUP($B$3:$B$210,'Potentialer og krav'!$B$2:$F$209,5,FALSE)</f>
        <v>3852878.1067455634</v>
      </c>
      <c r="O71" s="160">
        <f t="shared" si="22"/>
        <v>4747537.7256134758</v>
      </c>
      <c r="P71" s="163">
        <f t="shared" si="23"/>
        <v>4420380.5148862489</v>
      </c>
      <c r="Q71" s="104">
        <f>N71+(0.25*VLOOKUP($B$3:$B$210,'Potentialer og krav'!$B$2:$C$209,2,FALSE))</f>
        <v>5126632.1067455634</v>
      </c>
      <c r="R71" s="53">
        <f>O71+(0.25*VLOOKUP($B$3:$B$210,'Potentialer og krav'!$B$2:$C$209,2,FALSE))</f>
        <v>6021291.7256134758</v>
      </c>
      <c r="S71" s="104">
        <f>P71+(0.25*VLOOKUP($B$3:$B$210,'Potentialer og krav'!$B$2:$C$209,2,FALSE))</f>
        <v>5694134.5148862489</v>
      </c>
      <c r="T71" s="84">
        <v>5472740</v>
      </c>
      <c r="U71" s="92">
        <f t="shared" si="24"/>
        <v>5554831.0999999996</v>
      </c>
      <c r="W71" s="70">
        <f t="shared" si="25"/>
        <v>0.11218093741113672</v>
      </c>
      <c r="X71" s="73">
        <f t="shared" si="26"/>
        <v>0.29758886661703504</v>
      </c>
      <c r="Y71" s="62">
        <f t="shared" si="27"/>
        <v>2.7605077828387094E-2</v>
      </c>
      <c r="Z71" s="73">
        <f t="shared" si="28"/>
        <v>0.17751482944725464</v>
      </c>
      <c r="AA71" s="62">
        <f t="shared" si="29"/>
        <v>0.17344742851584102</v>
      </c>
      <c r="AB71" s="64">
        <f t="shared" si="30"/>
        <v>0.21166286018034539</v>
      </c>
      <c r="AC71" s="62"/>
      <c r="AD71" s="145">
        <f t="shared" si="31"/>
        <v>0.38511028869618641</v>
      </c>
      <c r="AF71" s="57">
        <f>W$212-W71</f>
        <v>6.4924681817811192E-3</v>
      </c>
      <c r="AG71" s="60">
        <f>X$212-X71</f>
        <v>-7.790869493966901E-3</v>
      </c>
      <c r="AH71" s="83">
        <f>Y$212-Y71</f>
        <v>2.1589436107951006E-2</v>
      </c>
      <c r="AI71" s="60">
        <f>Z$212-Z71</f>
        <v>5.38243733530262E-2</v>
      </c>
      <c r="AJ71" s="83">
        <f>AA$212-AA71</f>
        <v>-2.4802515149677601E-2</v>
      </c>
      <c r="AK71" s="76">
        <f>AB$212-AB71</f>
        <v>-4.9312892999113928E-2</v>
      </c>
      <c r="AL71" s="108"/>
      <c r="AM71" s="57">
        <f>$AD$212-AD71</f>
        <v>-7.4115408148791417E-2</v>
      </c>
      <c r="AN71" s="106">
        <f>IF(AM71&lt;$AD$215,(AM71-$AD$215)*0.5683,0)</f>
        <v>0</v>
      </c>
    </row>
    <row r="72" spans="1:40" x14ac:dyDescent="0.25">
      <c r="A72" s="17" t="s">
        <v>254</v>
      </c>
      <c r="B72" s="90" t="s">
        <v>255</v>
      </c>
      <c r="C72" s="88">
        <f>VLOOKUP($B$3:$B$210,Costdrivere!$B$3:$H$211,2,FALSE)</f>
        <v>325187.42970103078</v>
      </c>
      <c r="D72" s="46">
        <f>VLOOKUP($B$3:$B$210,Costdrivere!$B$3:$H$211,3,FALSE)</f>
        <v>819863.70499999996</v>
      </c>
      <c r="E72" s="23">
        <f>VLOOKUP($B$3:$B$210,Costdrivere!$B$3:$H$211,4,FALSE)</f>
        <v>0</v>
      </c>
      <c r="F72" s="46">
        <f>VLOOKUP($B$3:$B$210,Costdrivere!$B$3:$H$211,5,FALSE)</f>
        <v>736513.53</v>
      </c>
      <c r="G72" s="23">
        <f>VLOOKUP($B$3:$B$210,Costdrivere!$B$3:$H$211,6,FALSE)</f>
        <v>756677.60000000009</v>
      </c>
      <c r="H72" s="93">
        <f>VLOOKUP($B$3:$B$210,Costdrivere!$B$3:$H$211,7,FALSE)</f>
        <v>804725.60000000009</v>
      </c>
      <c r="I72" s="27">
        <v>34.520250394777953</v>
      </c>
      <c r="J72" s="20">
        <f>VLOOKUP($B$3:$B$210,Costdrivere!$B$3:$I$211,8,FALSE)</f>
        <v>2.9518105390406068E-2</v>
      </c>
      <c r="K72" s="74">
        <f t="shared" si="20"/>
        <v>3442967.8647010312</v>
      </c>
      <c r="L72" s="89">
        <f t="shared" si="32"/>
        <v>4119044.5524348565</v>
      </c>
      <c r="M72" s="167">
        <f t="shared" si="21"/>
        <v>3824425.3587483745</v>
      </c>
      <c r="N72" s="74">
        <f>K72+VLOOKUP($B$3:$B$210,'Potentialer og krav'!$B$2:$F$209,5,FALSE)</f>
        <v>3442967.8647010312</v>
      </c>
      <c r="O72" s="160">
        <f t="shared" si="22"/>
        <v>4119044.5524348565</v>
      </c>
      <c r="P72" s="163">
        <f t="shared" si="23"/>
        <v>3824425.3587483745</v>
      </c>
      <c r="Q72" s="104">
        <f>N72+(0.25*VLOOKUP($B$3:$B$210,'Potentialer og krav'!$B$2:$C$209,2,FALSE))</f>
        <v>4889212.6147010308</v>
      </c>
      <c r="R72" s="53">
        <f>O72+(0.25*VLOOKUP($B$3:$B$210,'Potentialer og krav'!$B$2:$C$209,2,FALSE))</f>
        <v>5565289.3024348561</v>
      </c>
      <c r="S72" s="104">
        <f>P72+(0.25*VLOOKUP($B$3:$B$210,'Potentialer og krav'!$B$2:$C$209,2,FALSE))</f>
        <v>5270670.1087483745</v>
      </c>
      <c r="T72" s="84">
        <v>4137589</v>
      </c>
      <c r="U72" s="92">
        <f t="shared" si="24"/>
        <v>4199652.835</v>
      </c>
      <c r="W72" s="70">
        <f t="shared" si="25"/>
        <v>9.4449742919476332E-2</v>
      </c>
      <c r="X72" s="73">
        <f t="shared" si="26"/>
        <v>0.23812702796492483</v>
      </c>
      <c r="Y72" s="62">
        <f t="shared" si="27"/>
        <v>0</v>
      </c>
      <c r="Z72" s="73">
        <f t="shared" si="28"/>
        <v>0.21391821211899545</v>
      </c>
      <c r="AA72" s="62">
        <f t="shared" si="29"/>
        <v>0.21977480758906412</v>
      </c>
      <c r="AB72" s="64">
        <f t="shared" si="30"/>
        <v>0.23373020940753919</v>
      </c>
      <c r="AC72" s="62"/>
      <c r="AD72" s="145">
        <f t="shared" si="31"/>
        <v>0.45350501699660328</v>
      </c>
      <c r="AF72" s="57">
        <f>W$212-W72</f>
        <v>2.4223662673441504E-2</v>
      </c>
      <c r="AG72" s="60">
        <f>X$212-X72</f>
        <v>5.1670969158143315E-2</v>
      </c>
      <c r="AH72" s="83">
        <f>Y$212-Y72</f>
        <v>4.91945139363381E-2</v>
      </c>
      <c r="AI72" s="60">
        <f>Z$212-Z72</f>
        <v>1.7420990681285387E-2</v>
      </c>
      <c r="AJ72" s="83">
        <f>AA$212-AA72</f>
        <v>-7.1129894222900697E-2</v>
      </c>
      <c r="AK72" s="76">
        <f>AB$212-AB72</f>
        <v>-7.1380242226307733E-2</v>
      </c>
      <c r="AL72" s="108"/>
      <c r="AM72" s="57">
        <f>$AD$212-AD72</f>
        <v>-0.14251013644920829</v>
      </c>
      <c r="AN72" s="106">
        <f>IF(AM72&lt;$AD$215,(AM72-$AD$215)*0.5683,0)</f>
        <v>-2.1312709113872029E-2</v>
      </c>
    </row>
    <row r="73" spans="1:40" x14ac:dyDescent="0.25">
      <c r="A73" s="17" t="s">
        <v>256</v>
      </c>
      <c r="B73" s="90" t="s">
        <v>257</v>
      </c>
      <c r="C73" s="88">
        <f>VLOOKUP($B$3:$B$210,Costdrivere!$B$3:$H$211,2,FALSE)</f>
        <v>272281.89651060425</v>
      </c>
      <c r="D73" s="46">
        <f>VLOOKUP($B$3:$B$210,Costdrivere!$B$3:$H$211,3,FALSE)</f>
        <v>768097.65</v>
      </c>
      <c r="E73" s="23">
        <f>VLOOKUP($B$3:$B$210,Costdrivere!$B$3:$H$211,4,FALSE)</f>
        <v>251132</v>
      </c>
      <c r="F73" s="46">
        <f>VLOOKUP($B$3:$B$210,Costdrivere!$B$3:$H$211,5,FALSE)</f>
        <v>433029</v>
      </c>
      <c r="G73" s="23">
        <f>VLOOKUP($B$3:$B$210,Costdrivere!$B$3:$H$211,6,FALSE)</f>
        <v>370598.2</v>
      </c>
      <c r="H73" s="93">
        <f>VLOOKUP($B$3:$B$210,Costdrivere!$B$3:$H$211,7,FALSE)</f>
        <v>447902.00000000006</v>
      </c>
      <c r="I73" s="27">
        <v>28.463691509129671</v>
      </c>
      <c r="J73" s="20">
        <f>VLOOKUP($B$3:$B$210,Costdrivere!$B$3:$I$211,8,FALSE)</f>
        <v>2.7943925233644858E-2</v>
      </c>
      <c r="K73" s="74">
        <f t="shared" si="20"/>
        <v>2543040.7465106044</v>
      </c>
      <c r="L73" s="89">
        <f t="shared" si="32"/>
        <v>2765166.3207124416</v>
      </c>
      <c r="M73" s="167">
        <f t="shared" si="21"/>
        <v>2770573.0191196143</v>
      </c>
      <c r="N73" s="74">
        <f>K73+VLOOKUP($B$3:$B$210,'Potentialer og krav'!$B$2:$F$209,5,FALSE)</f>
        <v>2543040.7465106044</v>
      </c>
      <c r="O73" s="160">
        <f t="shared" si="22"/>
        <v>2765166.3207124416</v>
      </c>
      <c r="P73" s="163">
        <f t="shared" si="23"/>
        <v>2770573.0191196143</v>
      </c>
      <c r="Q73" s="104">
        <f>N73+(0.25*VLOOKUP($B$3:$B$210,'Potentialer og krav'!$B$2:$C$209,2,FALSE))</f>
        <v>3117878.2465106044</v>
      </c>
      <c r="R73" s="53">
        <f>O73+(0.25*VLOOKUP($B$3:$B$210,'Potentialer og krav'!$B$2:$C$209,2,FALSE))</f>
        <v>3340003.8207124416</v>
      </c>
      <c r="S73" s="104">
        <f>P73+(0.25*VLOOKUP($B$3:$B$210,'Potentialer og krav'!$B$2:$C$209,2,FALSE))</f>
        <v>3345410.5191196143</v>
      </c>
      <c r="T73" s="84">
        <v>1999075</v>
      </c>
      <c r="U73" s="92">
        <f t="shared" si="24"/>
        <v>2029061.1249999998</v>
      </c>
      <c r="W73" s="70">
        <f t="shared" si="25"/>
        <v>0.10706941950663268</v>
      </c>
      <c r="X73" s="73">
        <f t="shared" si="26"/>
        <v>0.30203906526229823</v>
      </c>
      <c r="Y73" s="62">
        <f t="shared" si="27"/>
        <v>9.8752644976132231E-2</v>
      </c>
      <c r="Z73" s="73">
        <f t="shared" si="28"/>
        <v>0.17028000852686859</v>
      </c>
      <c r="AA73" s="62">
        <f t="shared" si="29"/>
        <v>0.14573034290091924</v>
      </c>
      <c r="AB73" s="64">
        <f t="shared" si="30"/>
        <v>0.176128518827149</v>
      </c>
      <c r="AC73" s="62"/>
      <c r="AD73" s="145">
        <f t="shared" si="31"/>
        <v>0.32185886172806821</v>
      </c>
      <c r="AF73" s="57">
        <f>W$212-W73</f>
        <v>1.1603986086285156E-2</v>
      </c>
      <c r="AG73" s="60">
        <f>X$212-X73</f>
        <v>-1.2241068139230094E-2</v>
      </c>
      <c r="AH73" s="83">
        <f>Y$212-Y73</f>
        <v>-4.9558131039794132E-2</v>
      </c>
      <c r="AI73" s="60">
        <f>Z$212-Z73</f>
        <v>6.1059194273412248E-2</v>
      </c>
      <c r="AJ73" s="83">
        <f>AA$212-AA73</f>
        <v>2.9145704652441817E-3</v>
      </c>
      <c r="AK73" s="76">
        <f>AB$212-AB73</f>
        <v>-1.3778551645917542E-2</v>
      </c>
      <c r="AL73" s="108"/>
      <c r="AM73" s="57">
        <f>$AD$212-AD73</f>
        <v>-1.0863981180673221E-2</v>
      </c>
      <c r="AN73" s="106">
        <f>IF(AM73&lt;$AD$215,(AM73-$AD$215)*0.5683,0)</f>
        <v>0</v>
      </c>
    </row>
    <row r="74" spans="1:40" x14ac:dyDescent="0.25">
      <c r="A74" s="17" t="s">
        <v>258</v>
      </c>
      <c r="B74" s="90" t="s">
        <v>259</v>
      </c>
      <c r="C74" s="88">
        <f>VLOOKUP($B$3:$B$210,Costdrivere!$B$3:$H$211,2,FALSE)</f>
        <v>241832.88190647447</v>
      </c>
      <c r="D74" s="46">
        <f>VLOOKUP($B$3:$B$210,Costdrivere!$B$3:$H$211,3,FALSE)</f>
        <v>577994.35499999998</v>
      </c>
      <c r="E74" s="23">
        <f>VLOOKUP($B$3:$B$210,Costdrivere!$B$3:$H$211,4,FALSE)</f>
        <v>35453</v>
      </c>
      <c r="F74" s="46">
        <f>VLOOKUP($B$3:$B$210,Costdrivere!$B$3:$H$211,5,FALSE)</f>
        <v>218538</v>
      </c>
      <c r="G74" s="23">
        <f>VLOOKUP($B$3:$B$210,Costdrivere!$B$3:$H$211,6,FALSE)</f>
        <v>269970.40000000002</v>
      </c>
      <c r="H74" s="93">
        <f>VLOOKUP($B$3:$B$210,Costdrivere!$B$3:$H$211,7,FALSE)</f>
        <v>409553.2</v>
      </c>
      <c r="I74" s="27">
        <v>26.612851359479439</v>
      </c>
      <c r="J74" s="20">
        <f>VLOOKUP($B$3:$B$210,Costdrivere!$B$3:$I$211,8,FALSE)</f>
        <v>5.0629629629629629E-2</v>
      </c>
      <c r="K74" s="74">
        <f t="shared" si="20"/>
        <v>1753341.8369064743</v>
      </c>
      <c r="L74" s="89">
        <f t="shared" si="32"/>
        <v>1848077.2186042983</v>
      </c>
      <c r="M74" s="167">
        <f t="shared" si="21"/>
        <v>2448941.1176700136</v>
      </c>
      <c r="N74" s="74">
        <f>K74+VLOOKUP($B$3:$B$210,'Potentialer og krav'!$B$2:$F$209,5,FALSE)</f>
        <v>1753341.8369064743</v>
      </c>
      <c r="O74" s="160">
        <f t="shared" si="22"/>
        <v>1848077.2186042983</v>
      </c>
      <c r="P74" s="163">
        <f t="shared" si="23"/>
        <v>2448941.1176700136</v>
      </c>
      <c r="Q74" s="104">
        <f>N74+(0.25*VLOOKUP($B$3:$B$210,'Potentialer og krav'!$B$2:$C$209,2,FALSE))</f>
        <v>2156074.8369064741</v>
      </c>
      <c r="R74" s="53">
        <f>O74+(0.25*VLOOKUP($B$3:$B$210,'Potentialer og krav'!$B$2:$C$209,2,FALSE))</f>
        <v>2250810.2186042983</v>
      </c>
      <c r="S74" s="104">
        <f>P74+(0.25*VLOOKUP($B$3:$B$210,'Potentialer og krav'!$B$2:$C$209,2,FALSE))</f>
        <v>2851674.1176700136</v>
      </c>
      <c r="T74" s="84">
        <v>458027</v>
      </c>
      <c r="U74" s="92">
        <f t="shared" si="24"/>
        <v>464897.40499999997</v>
      </c>
      <c r="W74" s="70">
        <f t="shared" si="25"/>
        <v>0.13792683024843272</v>
      </c>
      <c r="X74" s="73">
        <f t="shared" si="26"/>
        <v>0.32965297629570622</v>
      </c>
      <c r="Y74" s="62">
        <f t="shared" si="27"/>
        <v>2.0220244138217703E-2</v>
      </c>
      <c r="Z74" s="73">
        <f t="shared" si="28"/>
        <v>0.12464084036549293</v>
      </c>
      <c r="AA74" s="62">
        <f t="shared" si="29"/>
        <v>0.15397476653858036</v>
      </c>
      <c r="AB74" s="64">
        <f t="shared" si="30"/>
        <v>0.23358434241357018</v>
      </c>
      <c r="AC74" s="62"/>
      <c r="AD74" s="145">
        <f t="shared" si="31"/>
        <v>0.38755910895215051</v>
      </c>
      <c r="AF74" s="57">
        <f>W$212-W74</f>
        <v>-1.9253424655514884E-2</v>
      </c>
      <c r="AG74" s="60">
        <f>X$212-X74</f>
        <v>-3.9854979172638083E-2</v>
      </c>
      <c r="AH74" s="83">
        <f>Y$212-Y74</f>
        <v>2.8974269798120397E-2</v>
      </c>
      <c r="AI74" s="60">
        <f>Z$212-Z74</f>
        <v>0.10669836243478791</v>
      </c>
      <c r="AJ74" s="83">
        <f>AA$212-AA74</f>
        <v>-5.3298531724169373E-3</v>
      </c>
      <c r="AK74" s="76">
        <f>AB$212-AB74</f>
        <v>-7.123437523233872E-2</v>
      </c>
      <c r="AL74" s="108"/>
      <c r="AM74" s="57">
        <f>$AD$212-AD74</f>
        <v>-7.6564228404755519E-2</v>
      </c>
      <c r="AN74" s="106">
        <f>IF(AM74&lt;$AD$215,(AM74-$AD$215)*0.5683,0)</f>
        <v>0</v>
      </c>
    </row>
    <row r="75" spans="1:40" x14ac:dyDescent="0.25">
      <c r="A75" s="17" t="s">
        <v>34</v>
      </c>
      <c r="B75" s="90" t="s">
        <v>260</v>
      </c>
      <c r="C75" s="88">
        <f>VLOOKUP($B$3:$B$210,Costdrivere!$B$3:$H$211,2,FALSE)</f>
        <v>300009.64295138454</v>
      </c>
      <c r="D75" s="46">
        <f>VLOOKUP($B$3:$B$210,Costdrivere!$B$3:$H$211,3,FALSE)</f>
        <v>757637.39099999995</v>
      </c>
      <c r="E75" s="23">
        <f>VLOOKUP($B$3:$B$210,Costdrivere!$B$3:$H$211,4,FALSE)</f>
        <v>0</v>
      </c>
      <c r="F75" s="46">
        <f>VLOOKUP($B$3:$B$210,Costdrivere!$B$3:$H$211,5,FALSE)</f>
        <v>424935</v>
      </c>
      <c r="G75" s="23">
        <f>VLOOKUP($B$3:$B$210,Costdrivere!$B$3:$H$211,6,FALSE)</f>
        <v>457917.60000000003</v>
      </c>
      <c r="H75" s="93">
        <f>VLOOKUP($B$3:$B$210,Costdrivere!$B$3:$H$211,7,FALSE)</f>
        <v>501230.80000000005</v>
      </c>
      <c r="I75" s="27">
        <v>23.31230920586254</v>
      </c>
      <c r="J75" s="20">
        <f>VLOOKUP($B$3:$B$210,Costdrivere!$B$3:$I$211,8,FALSE)</f>
        <v>3.1866666666666668E-2</v>
      </c>
      <c r="K75" s="74">
        <f t="shared" si="20"/>
        <v>2441730.4339513844</v>
      </c>
      <c r="L75" s="89">
        <f t="shared" si="32"/>
        <v>2428597.7472475586</v>
      </c>
      <c r="M75" s="167">
        <f t="shared" si="21"/>
        <v>2789926.4028577777</v>
      </c>
      <c r="N75" s="74">
        <f>K75+VLOOKUP($B$3:$B$210,'Potentialer og krav'!$B$2:$F$209,5,FALSE)</f>
        <v>2441730.4339513844</v>
      </c>
      <c r="O75" s="160">
        <f t="shared" si="22"/>
        <v>2428597.7472475586</v>
      </c>
      <c r="P75" s="163">
        <f t="shared" si="23"/>
        <v>2789926.4028577777</v>
      </c>
      <c r="Q75" s="104">
        <f>N75+(0.25*VLOOKUP($B$3:$B$210,'Potentialer og krav'!$B$2:$C$209,2,FALSE))</f>
        <v>2977247.6839513844</v>
      </c>
      <c r="R75" s="53">
        <f>O75+(0.25*VLOOKUP($B$3:$B$210,'Potentialer og krav'!$B$2:$C$209,2,FALSE))</f>
        <v>2964114.9972475586</v>
      </c>
      <c r="S75" s="104">
        <f>P75+(0.25*VLOOKUP($B$3:$B$210,'Potentialer og krav'!$B$2:$C$209,2,FALSE))</f>
        <v>3325443.6528577777</v>
      </c>
      <c r="T75" s="84">
        <v>1768714</v>
      </c>
      <c r="U75" s="92">
        <f t="shared" si="24"/>
        <v>1795244.7099999997</v>
      </c>
      <c r="W75" s="70">
        <f t="shared" si="25"/>
        <v>0.12286763468229672</v>
      </c>
      <c r="X75" s="73">
        <f t="shared" si="26"/>
        <v>0.3102870736528997</v>
      </c>
      <c r="Y75" s="62">
        <f t="shared" si="27"/>
        <v>0</v>
      </c>
      <c r="Z75" s="73">
        <f t="shared" si="28"/>
        <v>0.17403026726105039</v>
      </c>
      <c r="AA75" s="62">
        <f t="shared" si="29"/>
        <v>0.18753814656721329</v>
      </c>
      <c r="AB75" s="64">
        <f t="shared" si="30"/>
        <v>0.20527687783653997</v>
      </c>
      <c r="AC75" s="62"/>
      <c r="AD75" s="145">
        <f t="shared" si="31"/>
        <v>0.39281502440375327</v>
      </c>
      <c r="AF75" s="57">
        <f>W$212-W75</f>
        <v>-4.1942290893788869E-3</v>
      </c>
      <c r="AG75" s="60">
        <f>X$212-X75</f>
        <v>-2.0489076529831562E-2</v>
      </c>
      <c r="AH75" s="83">
        <f>Y$212-Y75</f>
        <v>4.91945139363381E-2</v>
      </c>
      <c r="AI75" s="60">
        <f>Z$212-Z75</f>
        <v>5.7308935539230443E-2</v>
      </c>
      <c r="AJ75" s="83">
        <f>AA$212-AA75</f>
        <v>-3.889323320104987E-2</v>
      </c>
      <c r="AK75" s="76">
        <f>AB$212-AB75</f>
        <v>-4.2926910655308514E-2</v>
      </c>
      <c r="AL75" s="108"/>
      <c r="AM75" s="57">
        <f>$AD$212-AD75</f>
        <v>-8.1820143856358274E-2</v>
      </c>
      <c r="AN75" s="106">
        <f>IF(AM75&lt;$AD$215,(AM75-$AD$215)*0.5683,0)</f>
        <v>0</v>
      </c>
    </row>
    <row r="76" spans="1:40" x14ac:dyDescent="0.25">
      <c r="A76" s="17" t="s">
        <v>35</v>
      </c>
      <c r="B76" s="90" t="s">
        <v>261</v>
      </c>
      <c r="C76" s="88">
        <f>VLOOKUP($B$3:$B$210,Costdrivere!$B$3:$H$211,2,FALSE)</f>
        <v>324784.10639251565</v>
      </c>
      <c r="D76" s="46">
        <f>VLOOKUP($B$3:$B$210,Costdrivere!$B$3:$H$211,3,FALSE)</f>
        <v>815237.62100000004</v>
      </c>
      <c r="E76" s="23">
        <f>VLOOKUP($B$3:$B$210,Costdrivere!$B$3:$H$211,4,FALSE)</f>
        <v>91922</v>
      </c>
      <c r="F76" s="46">
        <f>VLOOKUP($B$3:$B$210,Costdrivere!$B$3:$H$211,5,FALSE)</f>
        <v>574674</v>
      </c>
      <c r="G76" s="23">
        <f>VLOOKUP($B$3:$B$210,Costdrivere!$B$3:$H$211,6,FALSE)</f>
        <v>510608.00000000006</v>
      </c>
      <c r="H76" s="93">
        <f>VLOOKUP($B$3:$B$210,Costdrivere!$B$3:$H$211,7,FALSE)</f>
        <v>474416.60000000003</v>
      </c>
      <c r="I76" s="27">
        <v>34.121397320434063</v>
      </c>
      <c r="J76" s="20">
        <f>VLOOKUP($B$3:$B$210,Costdrivere!$B$3:$I$211,8,FALSE)</f>
        <v>2.2302816901408451E-2</v>
      </c>
      <c r="K76" s="74">
        <f t="shared" si="20"/>
        <v>2791642.3273925157</v>
      </c>
      <c r="L76" s="89">
        <f t="shared" si="32"/>
        <v>3319779.6047817199</v>
      </c>
      <c r="M76" s="167">
        <f t="shared" si="21"/>
        <v>2828127.2839418594</v>
      </c>
      <c r="N76" s="74">
        <f>K76+VLOOKUP($B$3:$B$210,'Potentialer og krav'!$B$2:$F$209,5,FALSE)</f>
        <v>2791642.3273925157</v>
      </c>
      <c r="O76" s="160">
        <f t="shared" si="22"/>
        <v>3319779.6047817199</v>
      </c>
      <c r="P76" s="163">
        <f t="shared" si="23"/>
        <v>2828127.2839418594</v>
      </c>
      <c r="Q76" s="104">
        <f>N76+(0.25*VLOOKUP($B$3:$B$210,'Potentialer og krav'!$B$2:$C$209,2,FALSE))</f>
        <v>4083367.0773925157</v>
      </c>
      <c r="R76" s="53">
        <f>O76+(0.25*VLOOKUP($B$3:$B$210,'Potentialer og krav'!$B$2:$C$209,2,FALSE))</f>
        <v>4611504.3547817199</v>
      </c>
      <c r="S76" s="104">
        <f>P76+(0.25*VLOOKUP($B$3:$B$210,'Potentialer og krav'!$B$2:$C$209,2,FALSE))</f>
        <v>4119852.0339418594</v>
      </c>
      <c r="T76" s="84">
        <v>4203659</v>
      </c>
      <c r="U76" s="92">
        <f t="shared" si="24"/>
        <v>4266713.8849999998</v>
      </c>
      <c r="W76" s="70">
        <f t="shared" si="25"/>
        <v>0.11634158975368256</v>
      </c>
      <c r="X76" s="73">
        <f t="shared" si="26"/>
        <v>0.29202796253682628</v>
      </c>
      <c r="Y76" s="62">
        <f t="shared" si="27"/>
        <v>3.2927570662627872E-2</v>
      </c>
      <c r="Z76" s="73">
        <f t="shared" si="28"/>
        <v>0.20585516789207167</v>
      </c>
      <c r="AA76" s="62">
        <f t="shared" si="29"/>
        <v>0.18290595288291264</v>
      </c>
      <c r="AB76" s="64">
        <f t="shared" si="30"/>
        <v>0.16994175627187902</v>
      </c>
      <c r="AC76" s="62"/>
      <c r="AD76" s="145">
        <f t="shared" si="31"/>
        <v>0.35284770915479169</v>
      </c>
      <c r="AF76" s="57">
        <f>W$212-W76</f>
        <v>2.3318158392352795E-3</v>
      </c>
      <c r="AG76" s="60">
        <f>X$212-X76</f>
        <v>-2.2299654137581393E-3</v>
      </c>
      <c r="AH76" s="83">
        <f>Y$212-Y76</f>
        <v>1.6266943273710227E-2</v>
      </c>
      <c r="AI76" s="60">
        <f>Z$212-Z76</f>
        <v>2.5484034908209163E-2</v>
      </c>
      <c r="AJ76" s="83">
        <f>AA$212-AA76</f>
        <v>-3.426103951674922E-2</v>
      </c>
      <c r="AK76" s="76">
        <f>AB$212-AB76</f>
        <v>-7.5917890906475605E-3</v>
      </c>
      <c r="AL76" s="108"/>
      <c r="AM76" s="57">
        <f>$AD$212-AD76</f>
        <v>-4.1852828607396697E-2</v>
      </c>
      <c r="AN76" s="106">
        <f>IF(AM76&lt;$AD$215,(AM76-$AD$215)*0.5683,0)</f>
        <v>0</v>
      </c>
    </row>
    <row r="77" spans="1:40" x14ac:dyDescent="0.25">
      <c r="A77" s="17" t="s">
        <v>36</v>
      </c>
      <c r="B77" s="90" t="s">
        <v>262</v>
      </c>
      <c r="C77" s="88">
        <f>VLOOKUP($B$3:$B$210,Costdrivere!$B$3:$H$211,2,FALSE)</f>
        <v>1986081.376585013</v>
      </c>
      <c r="D77" s="46">
        <f>VLOOKUP($B$3:$B$210,Costdrivere!$B$3:$H$211,3,FALSE)</f>
        <v>5714307.3540000003</v>
      </c>
      <c r="E77" s="23">
        <f>VLOOKUP($B$3:$B$210,Costdrivere!$B$3:$H$211,4,FALSE)</f>
        <v>723865</v>
      </c>
      <c r="F77" s="46">
        <f>VLOOKUP($B$3:$B$210,Costdrivere!$B$3:$H$211,5,FALSE)</f>
        <v>5752817</v>
      </c>
      <c r="G77" s="23">
        <f>VLOOKUP($B$3:$B$210,Costdrivere!$B$3:$H$211,6,FALSE)</f>
        <v>2470537.4000000004</v>
      </c>
      <c r="H77" s="93">
        <f>VLOOKUP($B$3:$B$210,Costdrivere!$B$3:$H$211,7,FALSE)</f>
        <v>2542405.6</v>
      </c>
      <c r="I77" s="27">
        <v>24.82466725019686</v>
      </c>
      <c r="J77" s="20">
        <f>VLOOKUP($B$3:$B$210,Costdrivere!$B$3:$I$211,8,FALSE)</f>
        <v>2.5032448377581121E-2</v>
      </c>
      <c r="K77" s="74">
        <f t="shared" si="20"/>
        <v>19190013.730585013</v>
      </c>
      <c r="L77" s="89">
        <f t="shared" si="32"/>
        <v>19609200.592079051</v>
      </c>
      <c r="M77" s="167">
        <f t="shared" si="21"/>
        <v>20150272.054706503</v>
      </c>
      <c r="N77" s="74">
        <f>K77+VLOOKUP($B$3:$B$210,'Potentialer og krav'!$B$2:$F$209,5,FALSE)</f>
        <v>19246683.730585013</v>
      </c>
      <c r="O77" s="160">
        <f t="shared" si="22"/>
        <v>19667108.492154289</v>
      </c>
      <c r="P77" s="163">
        <f t="shared" si="23"/>
        <v>20209777.79208491</v>
      </c>
      <c r="Q77" s="104">
        <f>N77+(0.25*VLOOKUP($B$3:$B$210,'Potentialer og krav'!$B$2:$C$209,2,FALSE))</f>
        <v>23339932.730585013</v>
      </c>
      <c r="R77" s="53">
        <f>O77+(0.25*VLOOKUP($B$3:$B$210,'Potentialer og krav'!$B$2:$C$209,2,FALSE))</f>
        <v>23760357.492154289</v>
      </c>
      <c r="S77" s="104">
        <f>P77+(0.25*VLOOKUP($B$3:$B$210,'Potentialer og krav'!$B$2:$C$209,2,FALSE))</f>
        <v>24303026.79208491</v>
      </c>
      <c r="T77" s="84">
        <v>12983106</v>
      </c>
      <c r="U77" s="92">
        <f t="shared" si="24"/>
        <v>13177852.589999998</v>
      </c>
      <c r="W77" s="70">
        <f t="shared" si="25"/>
        <v>0.10349556829235614</v>
      </c>
      <c r="X77" s="73">
        <f t="shared" si="26"/>
        <v>0.29777505291163742</v>
      </c>
      <c r="Y77" s="62">
        <f t="shared" si="27"/>
        <v>3.7720921421036044E-2</v>
      </c>
      <c r="Z77" s="73">
        <f t="shared" si="28"/>
        <v>0.29978180739032873</v>
      </c>
      <c r="AA77" s="62">
        <f t="shared" si="29"/>
        <v>0.12874078334099687</v>
      </c>
      <c r="AB77" s="64">
        <f t="shared" si="30"/>
        <v>0.13248586664364487</v>
      </c>
      <c r="AC77" s="62"/>
      <c r="AD77" s="145">
        <f t="shared" si="31"/>
        <v>0.26122664998464173</v>
      </c>
      <c r="AF77" s="57">
        <f>W$212-W77</f>
        <v>1.51778373005617E-2</v>
      </c>
      <c r="AG77" s="60">
        <f>X$212-X77</f>
        <v>-7.9770557885692761E-3</v>
      </c>
      <c r="AH77" s="83">
        <f>Y$212-Y77</f>
        <v>1.1473592515302056E-2</v>
      </c>
      <c r="AI77" s="60">
        <f>Z$212-Z77</f>
        <v>-6.844260459004789E-2</v>
      </c>
      <c r="AJ77" s="83">
        <f>AA$212-AA77</f>
        <v>1.9904130025166555E-2</v>
      </c>
      <c r="AK77" s="76">
        <f>AB$212-AB77</f>
        <v>2.9864100537586591E-2</v>
      </c>
      <c r="AL77" s="108"/>
      <c r="AM77" s="57">
        <f>$AD$212-AD77</f>
        <v>4.9768230562753257E-2</v>
      </c>
      <c r="AN77" s="106">
        <f>IF(AM77&lt;$AD$215,(AM77-$AD$215)*0.5683,0)</f>
        <v>0</v>
      </c>
    </row>
    <row r="78" spans="1:40" x14ac:dyDescent="0.25">
      <c r="A78" s="17" t="s">
        <v>263</v>
      </c>
      <c r="B78" s="90" t="s">
        <v>264</v>
      </c>
      <c r="C78" s="88">
        <f>VLOOKUP($B$3:$B$210,Costdrivere!$B$3:$H$211,2,FALSE)</f>
        <v>991956.93242003873</v>
      </c>
      <c r="D78" s="46">
        <f>VLOOKUP($B$3:$B$210,Costdrivere!$B$3:$H$211,3,FALSE)</f>
        <v>2801862.145</v>
      </c>
      <c r="E78" s="23">
        <f>VLOOKUP($B$3:$B$210,Costdrivere!$B$3:$H$211,4,FALSE)</f>
        <v>490788</v>
      </c>
      <c r="F78" s="46">
        <f>VLOOKUP($B$3:$B$210,Costdrivere!$B$3:$H$211,5,FALSE)</f>
        <v>1123317</v>
      </c>
      <c r="G78" s="23">
        <f>VLOOKUP($B$3:$B$210,Costdrivere!$B$3:$H$211,6,FALSE)</f>
        <v>700571.8</v>
      </c>
      <c r="H78" s="93">
        <f>VLOOKUP($B$3:$B$210,Costdrivere!$B$3:$H$211,7,FALSE)</f>
        <v>934152.8</v>
      </c>
      <c r="I78" s="27">
        <v>33.621774366364328</v>
      </c>
      <c r="J78" s="20">
        <f>VLOOKUP($B$3:$B$210,Costdrivere!$B$3:$I$211,8,FALSE)</f>
        <v>3.9719745222929939E-2</v>
      </c>
      <c r="K78" s="74">
        <f t="shared" si="20"/>
        <v>7042648.6774200387</v>
      </c>
      <c r="L78" s="89">
        <f t="shared" si="32"/>
        <v>8311677.1954447543</v>
      </c>
      <c r="M78" s="167">
        <f t="shared" si="21"/>
        <v>8796016.2776200976</v>
      </c>
      <c r="N78" s="74">
        <f>K78+VLOOKUP($B$3:$B$210,'Potentialer og krav'!$B$2:$F$209,5,FALSE)</f>
        <v>7042648.6774200387</v>
      </c>
      <c r="O78" s="160">
        <f t="shared" si="22"/>
        <v>8311677.1954447543</v>
      </c>
      <c r="P78" s="163">
        <f t="shared" si="23"/>
        <v>8796016.2776200976</v>
      </c>
      <c r="Q78" s="104">
        <f>N78+(0.25*VLOOKUP($B$3:$B$210,'Potentialer og krav'!$B$2:$C$209,2,FALSE))</f>
        <v>9387763.6774200387</v>
      </c>
      <c r="R78" s="53">
        <f>O78+(0.25*VLOOKUP($B$3:$B$210,'Potentialer og krav'!$B$2:$C$209,2,FALSE))</f>
        <v>10656792.195444755</v>
      </c>
      <c r="S78" s="104">
        <f>P78+(0.25*VLOOKUP($B$3:$B$210,'Potentialer og krav'!$B$2:$C$209,2,FALSE))</f>
        <v>11141131.277620098</v>
      </c>
      <c r="T78" s="84">
        <v>8890909</v>
      </c>
      <c r="U78" s="92">
        <f t="shared" si="24"/>
        <v>9024272.6349999998</v>
      </c>
      <c r="W78" s="70">
        <f t="shared" si="25"/>
        <v>0.14084998100223653</v>
      </c>
      <c r="X78" s="73">
        <f t="shared" si="26"/>
        <v>0.39784210079699978</v>
      </c>
      <c r="Y78" s="62">
        <f t="shared" si="27"/>
        <v>6.96879856542542E-2</v>
      </c>
      <c r="Z78" s="73">
        <f t="shared" si="28"/>
        <v>0.15950206398929859</v>
      </c>
      <c r="AA78" s="62">
        <f t="shared" si="29"/>
        <v>9.9475613805095175E-2</v>
      </c>
      <c r="AB78" s="64">
        <f t="shared" si="30"/>
        <v>0.13264225475211577</v>
      </c>
      <c r="AC78" s="62"/>
      <c r="AD78" s="145">
        <f t="shared" si="31"/>
        <v>0.23211786855721095</v>
      </c>
      <c r="AF78" s="57">
        <f>W$212-W78</f>
        <v>-2.2176575409318694E-2</v>
      </c>
      <c r="AG78" s="60">
        <f>X$212-X78</f>
        <v>-0.10804410367393164</v>
      </c>
      <c r="AH78" s="83">
        <f>Y$212-Y78</f>
        <v>-2.0493471717916101E-2</v>
      </c>
      <c r="AI78" s="60">
        <f>Z$212-Z78</f>
        <v>7.1837138810982248E-2</v>
      </c>
      <c r="AJ78" s="83">
        <f>AA$212-AA78</f>
        <v>4.9169299561068247E-2</v>
      </c>
      <c r="AK78" s="76">
        <f>AB$212-AB78</f>
        <v>2.9707712429115685E-2</v>
      </c>
      <c r="AL78" s="108"/>
      <c r="AM78" s="57">
        <f>$AD$212-AD78</f>
        <v>7.8877011990184043E-2</v>
      </c>
      <c r="AN78" s="106">
        <f>IF(AM78&lt;$AD$215,(AM78-$AD$215)*0.5683,0)</f>
        <v>0</v>
      </c>
    </row>
    <row r="79" spans="1:40" x14ac:dyDescent="0.25">
      <c r="A79" s="17" t="s">
        <v>265</v>
      </c>
      <c r="B79" s="90" t="s">
        <v>266</v>
      </c>
      <c r="C79" s="88">
        <f>VLOOKUP($B$3:$B$210,Costdrivere!$B$3:$H$211,2,FALSE)</f>
        <v>218263.34676445721</v>
      </c>
      <c r="D79" s="46">
        <f>VLOOKUP($B$3:$B$210,Costdrivere!$B$3:$H$211,3,FALSE)</f>
        <v>550887.89</v>
      </c>
      <c r="E79" s="23">
        <f>VLOOKUP($B$3:$B$210,Costdrivere!$B$3:$H$211,4,FALSE)</f>
        <v>425436</v>
      </c>
      <c r="F79" s="46">
        <f>VLOOKUP($B$3:$B$210,Costdrivere!$B$3:$H$211,5,FALSE)</f>
        <v>283290</v>
      </c>
      <c r="G79" s="23">
        <f>VLOOKUP($B$3:$B$210,Costdrivere!$B$3:$H$211,6,FALSE)</f>
        <v>351993.60000000003</v>
      </c>
      <c r="H79" s="93">
        <f>VLOOKUP($B$3:$B$210,Costdrivere!$B$3:$H$211,7,FALSE)</f>
        <v>372702.4</v>
      </c>
      <c r="I79" s="27">
        <v>26.360375173170016</v>
      </c>
      <c r="J79" s="20">
        <f>VLOOKUP($B$3:$B$210,Costdrivere!$B$3:$I$211,8,FALSE)</f>
        <v>3.554285714285714E-2</v>
      </c>
      <c r="K79" s="74">
        <f t="shared" si="20"/>
        <v>2202573.2367644571</v>
      </c>
      <c r="L79" s="89">
        <f t="shared" si="32"/>
        <v>2311571.4347544638</v>
      </c>
      <c r="M79" s="167">
        <f t="shared" si="21"/>
        <v>2626331.7138226666</v>
      </c>
      <c r="N79" s="74">
        <f>K79+VLOOKUP($B$3:$B$210,'Potentialer og krav'!$B$2:$F$209,5,FALSE)</f>
        <v>2202573.2367644571</v>
      </c>
      <c r="O79" s="160">
        <f t="shared" si="22"/>
        <v>2311571.4347544638</v>
      </c>
      <c r="P79" s="163">
        <f t="shared" si="23"/>
        <v>2626331.7138226666</v>
      </c>
      <c r="Q79" s="104">
        <f>N79+(0.25*VLOOKUP($B$3:$B$210,'Potentialer og krav'!$B$2:$C$209,2,FALSE))</f>
        <v>2670814.9867644571</v>
      </c>
      <c r="R79" s="53">
        <f>O79+(0.25*VLOOKUP($B$3:$B$210,'Potentialer og krav'!$B$2:$C$209,2,FALSE))</f>
        <v>2779813.1847544638</v>
      </c>
      <c r="S79" s="104">
        <f>P79+(0.25*VLOOKUP($B$3:$B$210,'Potentialer og krav'!$B$2:$C$209,2,FALSE))</f>
        <v>3094573.4638226666</v>
      </c>
      <c r="T79" s="84">
        <v>2696420</v>
      </c>
      <c r="U79" s="92">
        <f t="shared" si="24"/>
        <v>2736866.3</v>
      </c>
      <c r="W79" s="70">
        <f t="shared" si="25"/>
        <v>9.9094705738403677E-2</v>
      </c>
      <c r="X79" s="73">
        <f t="shared" si="26"/>
        <v>0.25011104321291266</v>
      </c>
      <c r="Y79" s="62">
        <f t="shared" si="27"/>
        <v>0.19315407674023966</v>
      </c>
      <c r="Z79" s="73">
        <f t="shared" si="28"/>
        <v>0.12861774367882006</v>
      </c>
      <c r="AA79" s="62">
        <f t="shared" si="29"/>
        <v>0.15981016845418167</v>
      </c>
      <c r="AB79" s="64">
        <f t="shared" si="30"/>
        <v>0.16921226217544239</v>
      </c>
      <c r="AC79" s="62"/>
      <c r="AD79" s="145">
        <f t="shared" si="31"/>
        <v>0.32902243062962405</v>
      </c>
      <c r="AF79" s="57">
        <f>W$212-W79</f>
        <v>1.9578699854514159E-2</v>
      </c>
      <c r="AG79" s="60">
        <f>X$212-X79</f>
        <v>3.9686953910155476E-2</v>
      </c>
      <c r="AH79" s="83">
        <f>Y$212-Y79</f>
        <v>-0.14395956280390154</v>
      </c>
      <c r="AI79" s="60">
        <f>Z$212-Z79</f>
        <v>0.10272145912146077</v>
      </c>
      <c r="AJ79" s="83">
        <f>AA$212-AA79</f>
        <v>-1.1165255088018244E-2</v>
      </c>
      <c r="AK79" s="76">
        <f>AB$212-AB79</f>
        <v>-6.8622949942109268E-3</v>
      </c>
      <c r="AL79" s="108"/>
      <c r="AM79" s="57">
        <f>$AD$212-AD79</f>
        <v>-1.802755008222906E-2</v>
      </c>
      <c r="AN79" s="106">
        <f>IF(AM79&lt;$AD$215,(AM79-$AD$215)*0.5683,0)</f>
        <v>0</v>
      </c>
    </row>
    <row r="80" spans="1:40" x14ac:dyDescent="0.25">
      <c r="A80" s="17" t="s">
        <v>267</v>
      </c>
      <c r="B80" s="90" t="s">
        <v>268</v>
      </c>
      <c r="C80" s="88">
        <f>VLOOKUP($B$3:$B$210,Costdrivere!$B$3:$H$211,2,FALSE)</f>
        <v>242723.18338017221</v>
      </c>
      <c r="D80" s="46">
        <f>VLOOKUP($B$3:$B$210,Costdrivere!$B$3:$H$211,3,FALSE)</f>
        <v>554489.71900000004</v>
      </c>
      <c r="E80" s="23">
        <f>VLOOKUP($B$3:$B$210,Costdrivere!$B$3:$H$211,4,FALSE)</f>
        <v>70906</v>
      </c>
      <c r="F80" s="46">
        <f>VLOOKUP($B$3:$B$210,Costdrivere!$B$3:$H$211,5,FALSE)</f>
        <v>2466870</v>
      </c>
      <c r="G80" s="23">
        <f>VLOOKUP($B$3:$B$210,Costdrivere!$B$3:$H$211,6,FALSE)</f>
        <v>995672.79999999993</v>
      </c>
      <c r="H80" s="93">
        <f>VLOOKUP($B$3:$B$210,Costdrivere!$B$3:$H$211,7,FALSE)</f>
        <v>414646.4</v>
      </c>
      <c r="I80" s="27">
        <v>15.791035005553521</v>
      </c>
      <c r="J80" s="20">
        <f>VLOOKUP($B$3:$B$210,Costdrivere!$B$3:$I$211,8,FALSE)</f>
        <v>4.1313432835820896E-2</v>
      </c>
      <c r="K80" s="74">
        <f t="shared" si="20"/>
        <v>4745308.1023801723</v>
      </c>
      <c r="L80" s="89">
        <f t="shared" si="32"/>
        <v>4077352.0332913953</v>
      </c>
      <c r="M80" s="167">
        <f t="shared" si="21"/>
        <v>6029147.1016004719</v>
      </c>
      <c r="N80" s="74">
        <f>K80+VLOOKUP($B$3:$B$210,'Potentialer og krav'!$B$2:$F$209,5,FALSE)</f>
        <v>4745308.1023801723</v>
      </c>
      <c r="O80" s="160">
        <f t="shared" si="22"/>
        <v>4077352.0332913953</v>
      </c>
      <c r="P80" s="163">
        <f t="shared" si="23"/>
        <v>6029147.1016004719</v>
      </c>
      <c r="Q80" s="104">
        <f>N80+(0.25*VLOOKUP($B$3:$B$210,'Potentialer og krav'!$B$2:$C$209,2,FALSE))</f>
        <v>5693148.6023801723</v>
      </c>
      <c r="R80" s="53">
        <f>O80+(0.25*VLOOKUP($B$3:$B$210,'Potentialer og krav'!$B$2:$C$209,2,FALSE))</f>
        <v>5025192.5332913958</v>
      </c>
      <c r="S80" s="104">
        <f>P80+(0.25*VLOOKUP($B$3:$B$210,'Potentialer og krav'!$B$2:$C$209,2,FALSE))</f>
        <v>6976987.6016004719</v>
      </c>
      <c r="T80" s="84">
        <v>1360404</v>
      </c>
      <c r="U80" s="92">
        <f t="shared" si="24"/>
        <v>1380810.0599999998</v>
      </c>
      <c r="W80" s="70">
        <f t="shared" si="25"/>
        <v>5.1150142023112487E-2</v>
      </c>
      <c r="X80" s="73">
        <f t="shared" si="26"/>
        <v>0.1168500984629168</v>
      </c>
      <c r="Y80" s="62">
        <f t="shared" si="27"/>
        <v>1.4942338509997835E-2</v>
      </c>
      <c r="Z80" s="73">
        <f t="shared" si="28"/>
        <v>0.51985454827741462</v>
      </c>
      <c r="AA80" s="62">
        <f t="shared" si="29"/>
        <v>0.20982258233150047</v>
      </c>
      <c r="AB80" s="64">
        <f t="shared" si="30"/>
        <v>8.7380290395057778E-2</v>
      </c>
      <c r="AC80" s="62"/>
      <c r="AD80" s="145">
        <f t="shared" si="31"/>
        <v>0.29720287272655826</v>
      </c>
      <c r="AF80" s="57">
        <f>W$212-W80</f>
        <v>6.7523263569805342E-2</v>
      </c>
      <c r="AG80" s="60">
        <f>X$212-X80</f>
        <v>0.17294789866015134</v>
      </c>
      <c r="AH80" s="83">
        <f>Y$212-Y80</f>
        <v>3.4252175426340264E-2</v>
      </c>
      <c r="AI80" s="60">
        <f>Z$212-Z80</f>
        <v>-0.28851534547713376</v>
      </c>
      <c r="AJ80" s="83">
        <f>AA$212-AA80</f>
        <v>-6.1177668965337051E-2</v>
      </c>
      <c r="AK80" s="76">
        <f>AB$212-AB80</f>
        <v>7.4969676786173681E-2</v>
      </c>
      <c r="AL80" s="108"/>
      <c r="AM80" s="57">
        <f>$AD$212-AD80</f>
        <v>1.3792007820836727E-2</v>
      </c>
      <c r="AN80" s="106">
        <f>IF(AM80&lt;$AD$215,(AM80-$AD$215)*0.5683,0)</f>
        <v>0</v>
      </c>
    </row>
    <row r="81" spans="1:40" x14ac:dyDescent="0.25">
      <c r="A81" s="17" t="s">
        <v>269</v>
      </c>
      <c r="B81" s="90" t="s">
        <v>270</v>
      </c>
      <c r="C81" s="88">
        <f>VLOOKUP($B$3:$B$210,Costdrivere!$B$3:$H$211,2,FALSE)</f>
        <v>2002539.6729430235</v>
      </c>
      <c r="D81" s="46">
        <f>VLOOKUP($B$3:$B$210,Costdrivere!$B$3:$H$211,3,FALSE)</f>
        <v>5921264.04</v>
      </c>
      <c r="E81" s="23">
        <f>VLOOKUP($B$3:$B$210,Costdrivere!$B$3:$H$211,4,FALSE)</f>
        <v>410999</v>
      </c>
      <c r="F81" s="46">
        <f>VLOOKUP($B$3:$B$210,Costdrivere!$B$3:$H$211,5,FALSE)</f>
        <v>4659029</v>
      </c>
      <c r="G81" s="23">
        <f>VLOOKUP($B$3:$B$210,Costdrivere!$B$3:$H$211,6,FALSE)</f>
        <v>2868258.6</v>
      </c>
      <c r="H81" s="93">
        <f>VLOOKUP($B$3:$B$210,Costdrivere!$B$3:$H$211,7,FALSE)</f>
        <v>2956153.2</v>
      </c>
      <c r="I81" s="27">
        <v>29.653255076053924</v>
      </c>
      <c r="J81" s="20">
        <f>VLOOKUP($B$3:$B$210,Costdrivere!$B$3:$I$211,8,FALSE)</f>
        <v>2.2173033707865168E-2</v>
      </c>
      <c r="K81" s="74">
        <f t="shared" si="20"/>
        <v>18818243.512943022</v>
      </c>
      <c r="L81" s="89">
        <f t="shared" si="32"/>
        <v>20864889.169448975</v>
      </c>
      <c r="M81" s="167">
        <f t="shared" si="21"/>
        <v>19031107.364229403</v>
      </c>
      <c r="N81" s="74">
        <f>K81+VLOOKUP($B$3:$B$210,'Potentialer og krav'!$B$2:$F$209,5,FALSE)</f>
        <v>18818243.512943022</v>
      </c>
      <c r="O81" s="160">
        <f t="shared" si="22"/>
        <v>20864889.169448975</v>
      </c>
      <c r="P81" s="163">
        <f t="shared" si="23"/>
        <v>19031107.364229403</v>
      </c>
      <c r="Q81" s="104">
        <f>N81+(0.25*VLOOKUP($B$3:$B$210,'Potentialer og krav'!$B$2:$C$209,2,FALSE))</f>
        <v>22950249.762943022</v>
      </c>
      <c r="R81" s="53">
        <f>O81+(0.25*VLOOKUP($B$3:$B$210,'Potentialer og krav'!$B$2:$C$209,2,FALSE))</f>
        <v>24996895.419448975</v>
      </c>
      <c r="S81" s="104">
        <f>P81+(0.25*VLOOKUP($B$3:$B$210,'Potentialer og krav'!$B$2:$C$209,2,FALSE))</f>
        <v>23163113.614229403</v>
      </c>
      <c r="T81" s="84">
        <v>13407454</v>
      </c>
      <c r="U81" s="92">
        <f t="shared" si="24"/>
        <v>13608565.809999999</v>
      </c>
      <c r="W81" s="70">
        <f t="shared" si="25"/>
        <v>0.10641480282501894</v>
      </c>
      <c r="X81" s="73">
        <f t="shared" si="26"/>
        <v>0.31465551160114424</v>
      </c>
      <c r="Y81" s="62">
        <f t="shared" si="27"/>
        <v>2.1840454966868639E-2</v>
      </c>
      <c r="Z81" s="73">
        <f t="shared" si="28"/>
        <v>0.24758043952378239</v>
      </c>
      <c r="AA81" s="62">
        <f t="shared" si="29"/>
        <v>0.15241903942986162</v>
      </c>
      <c r="AB81" s="64">
        <f t="shared" si="30"/>
        <v>0.15708975165332428</v>
      </c>
      <c r="AC81" s="62"/>
      <c r="AD81" s="145">
        <f t="shared" si="31"/>
        <v>0.30950879108318591</v>
      </c>
      <c r="AF81" s="57">
        <f>W$212-W81</f>
        <v>1.2258602767898891E-2</v>
      </c>
      <c r="AG81" s="60">
        <f>X$212-X81</f>
        <v>-2.4857514478076104E-2</v>
      </c>
      <c r="AH81" s="83">
        <f>Y$212-Y81</f>
        <v>2.735405896946946E-2</v>
      </c>
      <c r="AI81" s="60">
        <f>Z$212-Z81</f>
        <v>-1.6241236723501556E-2</v>
      </c>
      <c r="AJ81" s="83">
        <f>AA$212-AA81</f>
        <v>-3.7741260636982021E-3</v>
      </c>
      <c r="AK81" s="76">
        <f>AB$212-AB81</f>
        <v>5.2602155279071749E-3</v>
      </c>
      <c r="AL81" s="108"/>
      <c r="AM81" s="57">
        <f>$AD$212-AD81</f>
        <v>1.4860894642090838E-3</v>
      </c>
      <c r="AN81" s="106">
        <f>IF(AM81&lt;$AD$215,(AM81-$AD$215)*0.5683,0)</f>
        <v>0</v>
      </c>
    </row>
    <row r="82" spans="1:40" x14ac:dyDescent="0.25">
      <c r="A82" s="17" t="s">
        <v>271</v>
      </c>
      <c r="B82" s="90" t="s">
        <v>272</v>
      </c>
      <c r="C82" s="88">
        <f>VLOOKUP($B$3:$B$210,Costdrivere!$B$3:$H$211,2,FALSE)</f>
        <v>196120.72546490925</v>
      </c>
      <c r="D82" s="46">
        <f>VLOOKUP($B$3:$B$210,Costdrivere!$B$3:$H$211,3,FALSE)</f>
        <v>458092</v>
      </c>
      <c r="E82" s="23">
        <f>VLOOKUP($B$3:$B$210,Costdrivere!$B$3:$H$211,4,FALSE)</f>
        <v>525720</v>
      </c>
      <c r="F82" s="46">
        <f>VLOOKUP($B$3:$B$210,Costdrivere!$B$3:$H$211,5,FALSE)</f>
        <v>352089</v>
      </c>
      <c r="G82" s="23">
        <f>VLOOKUP($B$3:$B$210,Costdrivere!$B$3:$H$211,6,FALSE)</f>
        <v>407264.2</v>
      </c>
      <c r="H82" s="93">
        <f>VLOOKUP($B$3:$B$210,Costdrivere!$B$3:$H$211,7,FALSE)</f>
        <v>1171885.4000000001</v>
      </c>
      <c r="I82" s="27">
        <v>36.138793014764396</v>
      </c>
      <c r="J82" s="20">
        <f>VLOOKUP($B$3:$B$210,Costdrivere!$B$3:$I$211,8,FALSE)</f>
        <v>8.9919540229885062E-2</v>
      </c>
      <c r="K82" s="74">
        <f t="shared" si="20"/>
        <v>3111171.3254649094</v>
      </c>
      <c r="L82" s="89">
        <f t="shared" si="32"/>
        <v>3812735.0903023602</v>
      </c>
      <c r="M82" s="167">
        <f t="shared" si="21"/>
        <v>6001045.821282479</v>
      </c>
      <c r="N82" s="74">
        <f>K82+VLOOKUP($B$3:$B$210,'Potentialer og krav'!$B$2:$F$209,5,FALSE)</f>
        <v>3171178.3254649094</v>
      </c>
      <c r="O82" s="160">
        <f t="shared" si="22"/>
        <v>3886273.5652462258</v>
      </c>
      <c r="P82" s="163">
        <f t="shared" si="23"/>
        <v>6116791.5385466628</v>
      </c>
      <c r="Q82" s="104">
        <f>N82+(0.25*VLOOKUP($B$3:$B$210,'Potentialer og krav'!$B$2:$C$209,2,FALSE))</f>
        <v>5733188.5754649099</v>
      </c>
      <c r="R82" s="53">
        <f>O82+(0.25*VLOOKUP($B$3:$B$210,'Potentialer og krav'!$B$2:$C$209,2,FALSE))</f>
        <v>6448283.8152462263</v>
      </c>
      <c r="S82" s="104">
        <f>P82+(0.25*VLOOKUP($B$3:$B$210,'Potentialer og krav'!$B$2:$C$209,2,FALSE))</f>
        <v>8678801.7885466628</v>
      </c>
      <c r="T82" s="84">
        <v>8237263</v>
      </c>
      <c r="U82" s="92">
        <f t="shared" si="24"/>
        <v>8360821.9449999994</v>
      </c>
      <c r="W82" s="70">
        <f t="shared" si="25"/>
        <v>6.3037584545622055E-2</v>
      </c>
      <c r="X82" s="73">
        <f t="shared" si="26"/>
        <v>0.14724100735003601</v>
      </c>
      <c r="Y82" s="62">
        <f t="shared" si="27"/>
        <v>0.16897815806445196</v>
      </c>
      <c r="Z82" s="73">
        <f t="shared" si="28"/>
        <v>0.11316927393813214</v>
      </c>
      <c r="AA82" s="62">
        <f t="shared" si="29"/>
        <v>0.13090381640719886</v>
      </c>
      <c r="AB82" s="64">
        <f t="shared" si="30"/>
        <v>0.37667015969455897</v>
      </c>
      <c r="AC82" s="62"/>
      <c r="AD82" s="145">
        <f t="shared" si="31"/>
        <v>0.50757397610175781</v>
      </c>
      <c r="AF82" s="57">
        <f>W$212-W82</f>
        <v>5.563582104729578E-2</v>
      </c>
      <c r="AG82" s="60">
        <f>X$212-X82</f>
        <v>0.14255698977303213</v>
      </c>
      <c r="AH82" s="83">
        <f>Y$212-Y82</f>
        <v>-0.11978364412811386</v>
      </c>
      <c r="AI82" s="60">
        <f>Z$212-Z82</f>
        <v>0.11816992886214869</v>
      </c>
      <c r="AJ82" s="83">
        <f>AA$212-AA82</f>
        <v>1.7741096958964558E-2</v>
      </c>
      <c r="AK82" s="76">
        <f>AB$212-AB82</f>
        <v>-0.21432019251332751</v>
      </c>
      <c r="AM82" s="57">
        <f>$AD$212-AD82</f>
        <v>-0.19657909555436281</v>
      </c>
      <c r="AN82" s="106">
        <f>IF(AM82&lt;$AD$215,(AM82-$AD$215)*0.5683,0)</f>
        <v>-5.2040098573331348E-2</v>
      </c>
    </row>
    <row r="83" spans="1:40" x14ac:dyDescent="0.25">
      <c r="A83" s="17" t="s">
        <v>117</v>
      </c>
      <c r="B83" s="90" t="s">
        <v>273</v>
      </c>
      <c r="C83" s="88">
        <f>VLOOKUP($B$3:$B$210,Costdrivere!$B$3:$H$211,2,FALSE)</f>
        <v>360960.81126531912</v>
      </c>
      <c r="D83" s="46">
        <f>VLOOKUP($B$3:$B$210,Costdrivere!$B$3:$H$211,3,FALSE)</f>
        <v>917474.4</v>
      </c>
      <c r="E83" s="23">
        <f>VLOOKUP($B$3:$B$210,Costdrivere!$B$3:$H$211,4,FALSE)</f>
        <v>323624</v>
      </c>
      <c r="F83" s="46">
        <f>VLOOKUP($B$3:$B$210,Costdrivere!$B$3:$H$211,5,FALSE)</f>
        <v>2927845</v>
      </c>
      <c r="G83" s="23">
        <f>VLOOKUP($B$3:$B$210,Costdrivere!$B$3:$H$211,6,FALSE)</f>
        <v>1047765.4000000001</v>
      </c>
      <c r="H83" s="93">
        <f>VLOOKUP($B$3:$B$210,Costdrivere!$B$3:$H$211,7,FALSE)</f>
        <v>881123.60000000009</v>
      </c>
      <c r="I83" s="27">
        <v>17.163740502151299</v>
      </c>
      <c r="J83" s="20">
        <f>VLOOKUP($B$3:$B$210,Costdrivere!$B$3:$I$211,8,FALSE)</f>
        <v>2.9263681592039802E-2</v>
      </c>
      <c r="K83" s="74">
        <f t="shared" si="20"/>
        <v>6458793.21126532</v>
      </c>
      <c r="L83" s="89">
        <f t="shared" si="32"/>
        <v>5709233.0079114186</v>
      </c>
      <c r="M83" s="167">
        <f t="shared" si="21"/>
        <v>7152127.2462462923</v>
      </c>
      <c r="N83" s="74">
        <f>K83+VLOOKUP($B$3:$B$210,'Potentialer og krav'!$B$2:$F$209,5,FALSE)</f>
        <v>6525923.21126532</v>
      </c>
      <c r="O83" s="160">
        <f t="shared" si="22"/>
        <v>5768572.392109788</v>
      </c>
      <c r="P83" s="163">
        <f t="shared" si="23"/>
        <v>7226463.4707290782</v>
      </c>
      <c r="Q83" s="104">
        <f>N83+(0.25*VLOOKUP($B$3:$B$210,'Potentialer og krav'!$B$2:$C$209,2,FALSE))</f>
        <v>8673452.71126532</v>
      </c>
      <c r="R83" s="53">
        <f>O83+(0.25*VLOOKUP($B$3:$B$210,'Potentialer og krav'!$B$2:$C$209,2,FALSE))</f>
        <v>7916101.892109788</v>
      </c>
      <c r="S83" s="104">
        <f>P83+(0.25*VLOOKUP($B$3:$B$210,'Potentialer og krav'!$B$2:$C$209,2,FALSE))</f>
        <v>9373992.9707290791</v>
      </c>
      <c r="T83" s="84">
        <v>8524012</v>
      </c>
      <c r="U83" s="92">
        <f t="shared" si="24"/>
        <v>8651872.1799999997</v>
      </c>
      <c r="W83" s="70">
        <f t="shared" si="25"/>
        <v>5.5886726739561389E-2</v>
      </c>
      <c r="X83" s="73">
        <f t="shared" si="26"/>
        <v>0.14205043728598654</v>
      </c>
      <c r="Y83" s="62">
        <f t="shared" si="27"/>
        <v>5.0105954690659607E-2</v>
      </c>
      <c r="Z83" s="73">
        <f t="shared" si="28"/>
        <v>0.4533114630289295</v>
      </c>
      <c r="AA83" s="62">
        <f t="shared" si="29"/>
        <v>0.16222309117630598</v>
      </c>
      <c r="AB83" s="64">
        <f t="shared" si="30"/>
        <v>0.13642232707855687</v>
      </c>
      <c r="AC83" s="62"/>
      <c r="AD83" s="145">
        <f t="shared" si="31"/>
        <v>0.29864541825486285</v>
      </c>
      <c r="AF83" s="57">
        <f>W$212-W83</f>
        <v>6.2786678853356453E-2</v>
      </c>
      <c r="AG83" s="60">
        <f>X$212-X83</f>
        <v>0.1477475598370816</v>
      </c>
      <c r="AH83" s="83">
        <f>Y$212-Y83</f>
        <v>-9.1144075432150751E-4</v>
      </c>
      <c r="AI83" s="60">
        <f>Z$212-Z83</f>
        <v>-0.22197226022864866</v>
      </c>
      <c r="AJ83" s="83">
        <f>AA$212-AA83</f>
        <v>-1.3578177810142561E-2</v>
      </c>
      <c r="AK83" s="76">
        <f>AB$212-AB83</f>
        <v>2.5927640102674593E-2</v>
      </c>
      <c r="AM83" s="57">
        <f>$AD$212-AD83</f>
        <v>1.2349462292532143E-2</v>
      </c>
      <c r="AN83" s="106">
        <f>IF(AM83&lt;$AD$215,(AM83-$AD$215)*0.5683,0)</f>
        <v>0</v>
      </c>
    </row>
    <row r="84" spans="1:40" x14ac:dyDescent="0.25">
      <c r="A84" s="17" t="s">
        <v>274</v>
      </c>
      <c r="B84" s="90" t="s">
        <v>275</v>
      </c>
      <c r="C84" s="88">
        <f>VLOOKUP($B$3:$B$210,Costdrivere!$B$3:$H$211,2,FALSE)</f>
        <v>318565.27445200505</v>
      </c>
      <c r="D84" s="46">
        <f>VLOOKUP($B$3:$B$210,Costdrivere!$B$3:$H$211,3,FALSE)</f>
        <v>803274</v>
      </c>
      <c r="E84" s="23">
        <f>VLOOKUP($B$3:$B$210,Costdrivere!$B$3:$H$211,4,FALSE)</f>
        <v>70906</v>
      </c>
      <c r="F84" s="46">
        <f>VLOOKUP($B$3:$B$210,Costdrivere!$B$3:$H$211,5,FALSE)</f>
        <v>356136</v>
      </c>
      <c r="G84" s="23">
        <f>VLOOKUP($B$3:$B$210,Costdrivere!$B$3:$H$211,6,FALSE)</f>
        <v>585162.20000000007</v>
      </c>
      <c r="H84" s="93">
        <f>VLOOKUP($B$3:$B$210,Costdrivere!$B$3:$H$211,7,FALSE)</f>
        <v>718141.20000000007</v>
      </c>
      <c r="I84" s="27">
        <v>31.583065586619362</v>
      </c>
      <c r="J84" s="20">
        <f>VLOOKUP($B$3:$B$210,Costdrivere!$B$3:$I$211,8,FALSE)</f>
        <v>5.4477272727272728E-2</v>
      </c>
      <c r="K84" s="74">
        <f t="shared" si="20"/>
        <v>2852184.6744520054</v>
      </c>
      <c r="L84" s="89">
        <f t="shared" si="32"/>
        <v>3261459.4293005322</v>
      </c>
      <c r="M84" s="167">
        <f t="shared" si="21"/>
        <v>4132359.7623120756</v>
      </c>
      <c r="N84" s="74">
        <f>K84+VLOOKUP($B$3:$B$210,'Potentialer og krav'!$B$2:$F$209,5,FALSE)</f>
        <v>2891293.6744520054</v>
      </c>
      <c r="O84" s="160">
        <f t="shared" si="22"/>
        <v>3306180.3823170196</v>
      </c>
      <c r="P84" s="163">
        <f t="shared" si="23"/>
        <v>4189022.4529828029</v>
      </c>
      <c r="Q84" s="104">
        <f>N84+(0.25*VLOOKUP($B$3:$B$210,'Potentialer og krav'!$B$2:$C$209,2,FALSE))</f>
        <v>4141778.4244520054</v>
      </c>
      <c r="R84" s="53">
        <f>O84+(0.25*VLOOKUP($B$3:$B$210,'Potentialer og krav'!$B$2:$C$209,2,FALSE))</f>
        <v>4556665.1323170196</v>
      </c>
      <c r="S84" s="104">
        <f>P84+(0.25*VLOOKUP($B$3:$B$210,'Potentialer og krav'!$B$2:$C$209,2,FALSE))</f>
        <v>5439507.2029828029</v>
      </c>
      <c r="T84" s="84">
        <v>5032679</v>
      </c>
      <c r="U84" s="92">
        <f t="shared" si="24"/>
        <v>5108169.1849999996</v>
      </c>
      <c r="W84" s="70">
        <f t="shared" si="25"/>
        <v>0.11169167175796969</v>
      </c>
      <c r="X84" s="73">
        <f t="shared" si="26"/>
        <v>0.28163463859658183</v>
      </c>
      <c r="Y84" s="62">
        <f t="shared" si="27"/>
        <v>2.4860241566799415E-2</v>
      </c>
      <c r="Z84" s="73">
        <f t="shared" si="28"/>
        <v>0.12486428497776882</v>
      </c>
      <c r="AA84" s="62">
        <f t="shared" si="29"/>
        <v>0.20516280212901297</v>
      </c>
      <c r="AB84" s="64">
        <f t="shared" si="30"/>
        <v>0.25178636097186718</v>
      </c>
      <c r="AC84" s="62"/>
      <c r="AD84" s="145">
        <f t="shared" si="31"/>
        <v>0.45694916310088018</v>
      </c>
      <c r="AF84" s="57">
        <f>W$212-W84</f>
        <v>6.9817338349481423E-3</v>
      </c>
      <c r="AG84" s="60">
        <f>X$212-X84</f>
        <v>8.1633585264863084E-3</v>
      </c>
      <c r="AH84" s="83">
        <f>Y$212-Y84</f>
        <v>2.4334272369538685E-2</v>
      </c>
      <c r="AI84" s="60">
        <f>Z$212-Z84</f>
        <v>0.10647491782251202</v>
      </c>
      <c r="AJ84" s="83">
        <f>AA$212-AA84</f>
        <v>-5.651788876284955E-2</v>
      </c>
      <c r="AK84" s="76">
        <f>AB$212-AB84</f>
        <v>-8.9436393790635726E-2</v>
      </c>
      <c r="AM84" s="57">
        <f>$AD$212-AD84</f>
        <v>-0.14595428255348519</v>
      </c>
      <c r="AN84" s="106">
        <f>IF(AM84&lt;$AD$215,(AM84-$AD$215)*0.5683,0)</f>
        <v>-2.3270017344932593E-2</v>
      </c>
    </row>
    <row r="85" spans="1:40" x14ac:dyDescent="0.25">
      <c r="A85" s="17" t="s">
        <v>276</v>
      </c>
      <c r="B85" s="90" t="s">
        <v>277</v>
      </c>
      <c r="C85" s="88">
        <f>VLOOKUP($B$3:$B$210,Costdrivere!$B$3:$H$211,2,FALSE)</f>
        <v>0</v>
      </c>
      <c r="D85" s="46">
        <f>VLOOKUP($B$3:$B$210,Costdrivere!$B$3:$H$211,3,FALSE)</f>
        <v>0</v>
      </c>
      <c r="E85" s="23">
        <f>VLOOKUP($B$3:$B$210,Costdrivere!$B$3:$H$211,4,FALSE)</f>
        <v>380093</v>
      </c>
      <c r="F85" s="46">
        <f>VLOOKUP($B$3:$B$210,Costdrivere!$B$3:$H$211,5,FALSE)</f>
        <v>2177235</v>
      </c>
      <c r="G85" s="23">
        <f>VLOOKUP($B$3:$B$210,Costdrivere!$B$3:$H$211,6,FALSE)</f>
        <v>855549.8</v>
      </c>
      <c r="H85" s="93">
        <f>VLOOKUP($B$3:$B$210,Costdrivere!$B$3:$H$211,7,FALSE)</f>
        <v>792591.8</v>
      </c>
      <c r="I85" s="27">
        <v>39.678596925153364</v>
      </c>
      <c r="J85" s="20">
        <f>VLOOKUP($B$3:$B$210,Costdrivere!$B$3:$I$211,8,FALSE)</f>
        <v>4.5612068965517241E-2</v>
      </c>
      <c r="K85" s="74">
        <f t="shared" si="20"/>
        <v>4205469.5999999996</v>
      </c>
      <c r="L85" s="89">
        <f t="shared" si="32"/>
        <v>5421753.4165089456</v>
      </c>
      <c r="M85" s="167">
        <f t="shared" si="21"/>
        <v>5588101.2603272265</v>
      </c>
      <c r="N85" s="74">
        <f>K85+VLOOKUP($B$3:$B$210,'Potentialer og krav'!$B$2:$F$209,5,FALSE)</f>
        <v>4579192.5999999996</v>
      </c>
      <c r="O85" s="160">
        <f t="shared" si="22"/>
        <v>5903562.6185248094</v>
      </c>
      <c r="P85" s="163">
        <f t="shared" si="23"/>
        <v>6084693.1194892265</v>
      </c>
      <c r="Q85" s="104">
        <f>N85+(0.25*VLOOKUP($B$3:$B$210,'Potentialer og krav'!$B$2:$C$209,2,FALSE))</f>
        <v>6736732.8499999996</v>
      </c>
      <c r="R85" s="53">
        <f>O85+(0.25*VLOOKUP($B$3:$B$210,'Potentialer og krav'!$B$2:$C$209,2,FALSE))</f>
        <v>8061102.8685248094</v>
      </c>
      <c r="S85" s="104">
        <f>P85+(0.25*VLOOKUP($B$3:$B$210,'Potentialer og krav'!$B$2:$C$209,2,FALSE))</f>
        <v>8242233.3694892265</v>
      </c>
      <c r="T85" s="84">
        <v>8593041</v>
      </c>
      <c r="U85" s="92">
        <f t="shared" si="24"/>
        <v>8721936.6149999984</v>
      </c>
      <c r="W85" s="70">
        <f t="shared" si="25"/>
        <v>0</v>
      </c>
      <c r="X85" s="73">
        <f t="shared" si="26"/>
        <v>0</v>
      </c>
      <c r="Y85" s="62">
        <f t="shared" si="27"/>
        <v>9.0380631927526003E-2</v>
      </c>
      <c r="Z85" s="73">
        <f t="shared" si="28"/>
        <v>0.51771507277094575</v>
      </c>
      <c r="AA85" s="62">
        <f t="shared" si="29"/>
        <v>0.20343739971393449</v>
      </c>
      <c r="AB85" s="64">
        <f t="shared" si="30"/>
        <v>0.18846689558759386</v>
      </c>
      <c r="AC85" s="62"/>
      <c r="AD85" s="145">
        <f t="shared" si="31"/>
        <v>0.39190429530152837</v>
      </c>
      <c r="AF85" s="57">
        <f>W$212-W85</f>
        <v>0.11867340559291784</v>
      </c>
      <c r="AG85" s="60">
        <f>X$212-X85</f>
        <v>0.28979799712306814</v>
      </c>
      <c r="AH85" s="83">
        <f>Y$212-Y85</f>
        <v>-4.1186117991187904E-2</v>
      </c>
      <c r="AI85" s="60">
        <f>Z$212-Z85</f>
        <v>-0.28637586997066489</v>
      </c>
      <c r="AJ85" s="83">
        <f>AA$212-AA85</f>
        <v>-5.4792486347771063E-2</v>
      </c>
      <c r="AK85" s="76">
        <f>AB$212-AB85</f>
        <v>-2.61169284063624E-2</v>
      </c>
      <c r="AM85" s="57">
        <f>$AD$212-AD85</f>
        <v>-8.090941475413338E-2</v>
      </c>
      <c r="AN85" s="106">
        <f>IF(AM85&lt;$AD$215,(AM85-$AD$215)*0.5683,0)</f>
        <v>0</v>
      </c>
    </row>
    <row r="86" spans="1:40" x14ac:dyDescent="0.25">
      <c r="A86" s="17" t="s">
        <v>118</v>
      </c>
      <c r="B86" s="90" t="s">
        <v>278</v>
      </c>
      <c r="C86" s="88">
        <f>VLOOKUP($B$3:$B$210,Costdrivere!$B$3:$H$211,2,FALSE)</f>
        <v>360443.96160646674</v>
      </c>
      <c r="D86" s="46">
        <f>VLOOKUP($B$3:$B$210,Costdrivere!$B$3:$H$211,3,FALSE)</f>
        <v>1007632</v>
      </c>
      <c r="E86" s="23">
        <f>VLOOKUP($B$3:$B$210,Costdrivere!$B$3:$H$211,4,FALSE)</f>
        <v>402484</v>
      </c>
      <c r="F86" s="46">
        <f>VLOOKUP($B$3:$B$210,Costdrivere!$B$3:$H$211,5,FALSE)</f>
        <v>2911274</v>
      </c>
      <c r="G86" s="23">
        <f>VLOOKUP($B$3:$B$210,Costdrivere!$B$3:$H$211,6,FALSE)</f>
        <v>1663078.6</v>
      </c>
      <c r="H86" s="93">
        <f>VLOOKUP($B$3:$B$210,Costdrivere!$B$3:$H$211,7,FALSE)</f>
        <v>1496352.2000000002</v>
      </c>
      <c r="I86" s="27">
        <v>42.32161913685114</v>
      </c>
      <c r="J86" s="20">
        <f>VLOOKUP($B$3:$B$210,Costdrivere!$B$3:$I$211,8,FALSE)</f>
        <v>4.6032258064516128E-2</v>
      </c>
      <c r="K86" s="74">
        <f t="shared" si="20"/>
        <v>7841264.761606467</v>
      </c>
      <c r="L86" s="89">
        <f t="shared" si="32"/>
        <v>10482117.61217829</v>
      </c>
      <c r="M86" s="167">
        <f t="shared" si="21"/>
        <v>10463861.256206054</v>
      </c>
      <c r="N86" s="74">
        <f>K86+VLOOKUP($B$3:$B$210,'Potentialer og krav'!$B$2:$F$209,5,FALSE)</f>
        <v>7976022.761606467</v>
      </c>
      <c r="O86" s="160">
        <f t="shared" si="22"/>
        <v>10662260.643707879</v>
      </c>
      <c r="P86" s="163">
        <f t="shared" si="23"/>
        <v>10643690.538602958</v>
      </c>
      <c r="Q86" s="104">
        <f>N86+(0.25*VLOOKUP($B$3:$B$210,'Potentialer og krav'!$B$2:$C$209,2,FALSE))</f>
        <v>10911221.511606466</v>
      </c>
      <c r="R86" s="53">
        <f>O86+(0.25*VLOOKUP($B$3:$B$210,'Potentialer og krav'!$B$2:$C$209,2,FALSE))</f>
        <v>13597459.393707879</v>
      </c>
      <c r="S86" s="104">
        <f>P86+(0.25*VLOOKUP($B$3:$B$210,'Potentialer og krav'!$B$2:$C$209,2,FALSE))</f>
        <v>13578889.288602958</v>
      </c>
      <c r="T86" s="84">
        <v>12849015</v>
      </c>
      <c r="U86" s="92">
        <f t="shared" si="24"/>
        <v>13041750.225</v>
      </c>
      <c r="W86" s="70">
        <f t="shared" si="25"/>
        <v>4.596757953784758E-2</v>
      </c>
      <c r="X86" s="73">
        <f t="shared" si="26"/>
        <v>0.12850375935955044</v>
      </c>
      <c r="Y86" s="62">
        <f t="shared" si="27"/>
        <v>5.1328964425573317E-2</v>
      </c>
      <c r="Z86" s="73">
        <f t="shared" si="28"/>
        <v>0.37127607452494149</v>
      </c>
      <c r="AA86" s="62">
        <f t="shared" si="29"/>
        <v>0.21209315723440506</v>
      </c>
      <c r="AB86" s="64">
        <f t="shared" si="30"/>
        <v>0.19083046491768216</v>
      </c>
      <c r="AC86" s="62"/>
      <c r="AD86" s="145">
        <f t="shared" si="31"/>
        <v>0.40292362215208721</v>
      </c>
      <c r="AF86" s="57">
        <f>W$212-W86</f>
        <v>7.2705826055070255E-2</v>
      </c>
      <c r="AG86" s="60">
        <f>X$212-X86</f>
        <v>0.1612942377635177</v>
      </c>
      <c r="AH86" s="83">
        <f>Y$212-Y86</f>
        <v>-2.1344504892352179E-3</v>
      </c>
      <c r="AI86" s="60">
        <f>Z$212-Z86</f>
        <v>-0.13993687172466066</v>
      </c>
      <c r="AJ86" s="83">
        <f>AA$212-AA86</f>
        <v>-6.3448243868241633E-2</v>
      </c>
      <c r="AK86" s="76">
        <f>AB$212-AB86</f>
        <v>-2.8480497736450699E-2</v>
      </c>
      <c r="AM86" s="57">
        <f>$AD$212-AD86</f>
        <v>-9.1928741604692221E-2</v>
      </c>
      <c r="AN86" s="106">
        <f>IF(AM86&lt;$AD$215,(AM86-$AD$215)*0.5683,0)</f>
        <v>0</v>
      </c>
    </row>
    <row r="87" spans="1:40" x14ac:dyDescent="0.25">
      <c r="A87" s="17" t="s">
        <v>119</v>
      </c>
      <c r="B87" s="90" t="s">
        <v>279</v>
      </c>
      <c r="C87" s="88">
        <f>VLOOKUP($B$3:$B$210,Costdrivere!$B$3:$H$211,2,FALSE)</f>
        <v>23366747.883498438</v>
      </c>
      <c r="D87" s="46">
        <f>VLOOKUP($B$3:$B$210,Costdrivere!$B$3:$H$211,3,FALSE)</f>
        <v>83152112.852000013</v>
      </c>
      <c r="E87" s="23">
        <f>VLOOKUP($B$3:$B$210,Costdrivere!$B$3:$H$211,4,FALSE)</f>
        <v>2995669</v>
      </c>
      <c r="F87" s="46">
        <f>VLOOKUP($B$3:$B$210,Costdrivere!$B$3:$H$211,5,FALSE)</f>
        <v>50389748.25</v>
      </c>
      <c r="G87" s="23">
        <f>VLOOKUP($B$3:$B$210,Costdrivere!$B$3:$H$211,6,FALSE)</f>
        <v>15795830.199999999</v>
      </c>
      <c r="H87" s="93">
        <f>VLOOKUP($B$3:$B$210,Costdrivere!$B$3:$H$211,7,FALSE)</f>
        <v>5234012</v>
      </c>
      <c r="I87" s="27">
        <v>54.507113356795799</v>
      </c>
      <c r="J87" s="20">
        <f>VLOOKUP($B$3:$B$210,Costdrivere!$B$3:$I$211,8,FALSE)</f>
        <v>3.0908865731321102E-2</v>
      </c>
      <c r="K87" s="74">
        <f t="shared" si="20"/>
        <v>180934120.18549845</v>
      </c>
      <c r="L87" s="89">
        <f t="shared" si="32"/>
        <v>281556657.88979703</v>
      </c>
      <c r="M87" s="167">
        <f t="shared" si="21"/>
        <v>204388551.82756051</v>
      </c>
      <c r="N87" s="74">
        <f>K87+VLOOKUP($B$3:$B$210,'Potentialer og krav'!$B$2:$F$209,5,FALSE)</f>
        <v>191429269.18549845</v>
      </c>
      <c r="O87" s="160">
        <f t="shared" si="22"/>
        <v>297888453.53710735</v>
      </c>
      <c r="P87" s="163">
        <f t="shared" si="23"/>
        <v>216244183.60737777</v>
      </c>
      <c r="Q87" s="104">
        <f>N87+(0.25*VLOOKUP($B$3:$B$210,'Potentialer og krav'!$B$2:$C$209,2,FALSE))</f>
        <v>244036443.18549845</v>
      </c>
      <c r="R87" s="53">
        <f>O87+(0.25*VLOOKUP($B$3:$B$210,'Potentialer og krav'!$B$2:$C$209,2,FALSE))</f>
        <v>350495627.53710735</v>
      </c>
      <c r="S87" s="104">
        <f>P87+(0.25*VLOOKUP($B$3:$B$210,'Potentialer og krav'!$B$2:$C$209,2,FALSE))</f>
        <v>268851357.60737777</v>
      </c>
      <c r="T87" s="84">
        <v>187455001</v>
      </c>
      <c r="U87" s="92">
        <f t="shared" si="24"/>
        <v>190266826.01499999</v>
      </c>
      <c r="W87" s="70">
        <f t="shared" si="25"/>
        <v>0.12914506042056761</v>
      </c>
      <c r="X87" s="73">
        <f t="shared" si="26"/>
        <v>0.45957121170263665</v>
      </c>
      <c r="Y87" s="62">
        <f t="shared" si="27"/>
        <v>1.6556683708571721E-2</v>
      </c>
      <c r="Z87" s="73">
        <f t="shared" si="28"/>
        <v>0.27849776591799874</v>
      </c>
      <c r="AA87" s="62">
        <f t="shared" si="29"/>
        <v>8.7301555858042126E-2</v>
      </c>
      <c r="AB87" s="64">
        <f t="shared" si="30"/>
        <v>2.8927722392183147E-2</v>
      </c>
      <c r="AC87" s="62"/>
      <c r="AD87" s="145">
        <f t="shared" si="31"/>
        <v>0.11622927825022528</v>
      </c>
      <c r="AF87" s="57">
        <f>W$212-W87</f>
        <v>-1.0471654827649779E-2</v>
      </c>
      <c r="AG87" s="60">
        <f>X$212-X87</f>
        <v>-0.16977321457956851</v>
      </c>
      <c r="AH87" s="83">
        <f>Y$212-Y87</f>
        <v>3.2637830227766382E-2</v>
      </c>
      <c r="AI87" s="60">
        <f>Z$212-Z87</f>
        <v>-4.7158563117717905E-2</v>
      </c>
      <c r="AJ87" s="83">
        <f>AA$212-AA87</f>
        <v>6.1343357508121296E-2</v>
      </c>
      <c r="AK87" s="76">
        <f>AB$212-AB87</f>
        <v>0.13342224478904832</v>
      </c>
      <c r="AM87" s="57">
        <f>$AD$212-AD87</f>
        <v>0.19476560229716972</v>
      </c>
      <c r="AN87" s="106">
        <f>IF(AM87&lt;$AD$215,(AM87-$AD$215)*0.5683,0)</f>
        <v>0</v>
      </c>
    </row>
    <row r="88" spans="1:40" x14ac:dyDescent="0.25">
      <c r="A88" s="17" t="s">
        <v>120</v>
      </c>
      <c r="B88" s="90" t="s">
        <v>280</v>
      </c>
      <c r="C88" s="88">
        <f>VLOOKUP($B$3:$B$210,Costdrivere!$B$3:$H$211,2,FALSE)</f>
        <v>401514.47364704794</v>
      </c>
      <c r="D88" s="46">
        <f>VLOOKUP($B$3:$B$210,Costdrivere!$B$3:$H$211,3,FALSE)</f>
        <v>1029094</v>
      </c>
      <c r="E88" s="23">
        <f>VLOOKUP($B$3:$B$210,Costdrivere!$B$3:$H$211,4,FALSE)</f>
        <v>502475</v>
      </c>
      <c r="F88" s="46">
        <f>VLOOKUP($B$3:$B$210,Costdrivere!$B$3:$H$211,5,FALSE)</f>
        <v>2453580</v>
      </c>
      <c r="G88" s="23">
        <f>VLOOKUP($B$3:$B$210,Costdrivere!$B$3:$H$211,6,FALSE)</f>
        <v>1102350.4000000001</v>
      </c>
      <c r="H88" s="93">
        <f>VLOOKUP($B$3:$B$210,Costdrivere!$B$3:$H$211,7,FALSE)</f>
        <v>1064928.2000000002</v>
      </c>
      <c r="I88" s="27">
        <v>52.816873974754422</v>
      </c>
      <c r="J88" s="20">
        <f>VLOOKUP($B$3:$B$210,Costdrivere!$B$3:$I$211,8,FALSE)</f>
        <v>5.7330645161290321E-2</v>
      </c>
      <c r="K88" s="74">
        <f t="shared" si="20"/>
        <v>6553942.0736470483</v>
      </c>
      <c r="L88" s="89">
        <f t="shared" si="32"/>
        <v>9999373.8780968748</v>
      </c>
      <c r="M88" s="167">
        <f t="shared" si="21"/>
        <v>9748898.7707008421</v>
      </c>
      <c r="N88" s="74">
        <f>K88+VLOOKUP($B$3:$B$210,'Potentialer og krav'!$B$2:$F$209,5,FALSE)</f>
        <v>6635187.0736470483</v>
      </c>
      <c r="O88" s="160">
        <f t="shared" si="22"/>
        <v>10123329.677766295</v>
      </c>
      <c r="P88" s="163">
        <f t="shared" si="23"/>
        <v>9869749.5917372946</v>
      </c>
      <c r="Q88" s="104">
        <f>N88+(0.25*VLOOKUP($B$3:$B$210,'Potentialer og krav'!$B$2:$C$209,2,FALSE))</f>
        <v>9269247.5736470483</v>
      </c>
      <c r="R88" s="53">
        <f>O88+(0.25*VLOOKUP($B$3:$B$210,'Potentialer og krav'!$B$2:$C$209,2,FALSE))</f>
        <v>12757390.177766295</v>
      </c>
      <c r="S88" s="104">
        <f>P88+(0.25*VLOOKUP($B$3:$B$210,'Potentialer og krav'!$B$2:$C$209,2,FALSE))</f>
        <v>12503810.091737295</v>
      </c>
      <c r="T88" s="84">
        <v>9333728</v>
      </c>
      <c r="U88" s="92">
        <f t="shared" si="24"/>
        <v>9473733.9199999999</v>
      </c>
      <c r="W88" s="70">
        <f t="shared" si="25"/>
        <v>6.1263048884961938E-2</v>
      </c>
      <c r="X88" s="73">
        <f t="shared" si="26"/>
        <v>0.15701908690006836</v>
      </c>
      <c r="Y88" s="62">
        <f t="shared" si="27"/>
        <v>7.6667598577109419E-2</v>
      </c>
      <c r="Z88" s="73">
        <f t="shared" si="28"/>
        <v>0.37436705610592391</v>
      </c>
      <c r="AA88" s="62">
        <f t="shared" si="29"/>
        <v>0.16819654302903828</v>
      </c>
      <c r="AB88" s="64">
        <f t="shared" si="30"/>
        <v>0.16248666650289809</v>
      </c>
      <c r="AC88" s="62"/>
      <c r="AD88" s="145">
        <f t="shared" si="31"/>
        <v>0.33068320953193636</v>
      </c>
      <c r="AF88" s="57">
        <f>W$212-W88</f>
        <v>5.7410356707955898E-2</v>
      </c>
      <c r="AG88" s="60">
        <f>X$212-X88</f>
        <v>0.13277891022299979</v>
      </c>
      <c r="AH88" s="83">
        <f>Y$212-Y88</f>
        <v>-2.747308464077132E-2</v>
      </c>
      <c r="AI88" s="60">
        <f>Z$212-Z88</f>
        <v>-0.14302785330564308</v>
      </c>
      <c r="AJ88" s="83">
        <f>AA$212-AA88</f>
        <v>-1.9551629662874853E-2</v>
      </c>
      <c r="AK88" s="76">
        <f>AB$212-AB88</f>
        <v>-1.366993216666279E-4</v>
      </c>
      <c r="AM88" s="57">
        <f>$AD$212-AD88</f>
        <v>-1.968832898454137E-2</v>
      </c>
      <c r="AN88" s="106">
        <f>IF(AM88&lt;$AD$215,(AM88-$AD$215)*0.5683,0)</f>
        <v>0</v>
      </c>
    </row>
    <row r="89" spans="1:40" x14ac:dyDescent="0.25">
      <c r="A89" s="17" t="s">
        <v>281</v>
      </c>
      <c r="B89" s="90" t="s">
        <v>282</v>
      </c>
      <c r="C89" s="88">
        <f>VLOOKUP($B$3:$B$210,Costdrivere!$B$3:$H$211,2,FALSE)</f>
        <v>0</v>
      </c>
      <c r="D89" s="46">
        <f>VLOOKUP($B$3:$B$210,Costdrivere!$B$3:$H$211,3,FALSE)</f>
        <v>0</v>
      </c>
      <c r="E89" s="23">
        <f>VLOOKUP($B$3:$B$210,Costdrivere!$B$3:$H$211,4,FALSE)</f>
        <v>0</v>
      </c>
      <c r="F89" s="46">
        <f>VLOOKUP($B$3:$B$210,Costdrivere!$B$3:$H$211,5,FALSE)</f>
        <v>446319</v>
      </c>
      <c r="G89" s="23">
        <f>VLOOKUP($B$3:$B$210,Costdrivere!$B$3:$H$211,6,FALSE)</f>
        <v>323204</v>
      </c>
      <c r="H89" s="93">
        <f>VLOOKUP($B$3:$B$210,Costdrivere!$B$3:$H$211,7,FALSE)</f>
        <v>360119.2</v>
      </c>
      <c r="I89" s="27">
        <v>32.276101872278353</v>
      </c>
      <c r="J89" s="20">
        <f>VLOOKUP($B$3:$B$210,Costdrivere!$B$3:$I$211,8,FALSE)</f>
        <v>4.8079999999999998E-2</v>
      </c>
      <c r="K89" s="74">
        <f t="shared" si="20"/>
        <v>1129642.2</v>
      </c>
      <c r="L89" s="89">
        <f t="shared" si="32"/>
        <v>1305832.3060756433</v>
      </c>
      <c r="M89" s="167">
        <f t="shared" si="21"/>
        <v>1538793.544042944</v>
      </c>
      <c r="N89" s="74">
        <f>K89+VLOOKUP($B$3:$B$210,'Potentialer og krav'!$B$2:$F$209,5,FALSE)</f>
        <v>1151806.2</v>
      </c>
      <c r="O89" s="160">
        <f t="shared" si="22"/>
        <v>1331453.2214697925</v>
      </c>
      <c r="P89" s="163">
        <f t="shared" si="23"/>
        <v>1568985.2455482238</v>
      </c>
      <c r="Q89" s="104">
        <f>N89+(0.25*VLOOKUP($B$3:$B$210,'Potentialer og krav'!$B$2:$C$209,2,FALSE))</f>
        <v>2026129.7</v>
      </c>
      <c r="R89" s="53">
        <f>O89+(0.25*VLOOKUP($B$3:$B$210,'Potentialer og krav'!$B$2:$C$209,2,FALSE))</f>
        <v>2205776.7214697925</v>
      </c>
      <c r="S89" s="104">
        <f>P89+(0.25*VLOOKUP($B$3:$B$210,'Potentialer og krav'!$B$2:$C$209,2,FALSE))</f>
        <v>2443308.7455482241</v>
      </c>
      <c r="T89" s="84">
        <v>2667830</v>
      </c>
      <c r="U89" s="92">
        <f t="shared" si="24"/>
        <v>2707847.4499999997</v>
      </c>
      <c r="W89" s="70">
        <f t="shared" si="25"/>
        <v>0</v>
      </c>
      <c r="X89" s="73">
        <f t="shared" si="26"/>
        <v>0</v>
      </c>
      <c r="Y89" s="62">
        <f t="shared" si="27"/>
        <v>0</v>
      </c>
      <c r="Z89" s="73">
        <f t="shared" si="28"/>
        <v>0.39509766897872622</v>
      </c>
      <c r="AA89" s="62">
        <f t="shared" si="29"/>
        <v>0.28611183257849254</v>
      </c>
      <c r="AB89" s="64">
        <f t="shared" si="30"/>
        <v>0.31879049844278129</v>
      </c>
      <c r="AC89" s="62"/>
      <c r="AD89" s="145">
        <f t="shared" si="31"/>
        <v>0.60490233102127378</v>
      </c>
      <c r="AF89" s="57">
        <f>W$212-W89</f>
        <v>0.11867340559291784</v>
      </c>
      <c r="AG89" s="60">
        <f>X$212-X89</f>
        <v>0.28979799712306814</v>
      </c>
      <c r="AH89" s="83">
        <f>Y$212-Y89</f>
        <v>4.91945139363381E-2</v>
      </c>
      <c r="AI89" s="60">
        <f>Z$212-Z89</f>
        <v>-0.16375846617844539</v>
      </c>
      <c r="AJ89" s="83">
        <f>AA$212-AA89</f>
        <v>-0.13746691921232912</v>
      </c>
      <c r="AK89" s="76">
        <f>AB$212-AB89</f>
        <v>-0.15644053126154983</v>
      </c>
      <c r="AM89" s="57">
        <f>$AD$212-AD89</f>
        <v>-0.29390745047387878</v>
      </c>
      <c r="AN89" s="106">
        <f>IF(AM89&lt;$AD$215,(AM89-$AD$215)*0.5683,0)</f>
        <v>-0.10735180267409226</v>
      </c>
    </row>
    <row r="90" spans="1:40" x14ac:dyDescent="0.25">
      <c r="A90" s="17" t="s">
        <v>283</v>
      </c>
      <c r="B90" s="90" t="s">
        <v>284</v>
      </c>
      <c r="C90" s="88">
        <f>VLOOKUP($B$3:$B$210,Costdrivere!$B$3:$H$211,2,FALSE)</f>
        <v>1294653.8338125788</v>
      </c>
      <c r="D90" s="46">
        <f>VLOOKUP($B$3:$B$210,Costdrivere!$B$3:$H$211,3,FALSE)</f>
        <v>3653938.5779999997</v>
      </c>
      <c r="E90" s="23">
        <f>VLOOKUP($B$3:$B$210,Costdrivere!$B$3:$H$211,4,FALSE)</f>
        <v>35453</v>
      </c>
      <c r="F90" s="46">
        <f>VLOOKUP($B$3:$B$210,Costdrivere!$B$3:$H$211,5,FALSE)</f>
        <v>2012674</v>
      </c>
      <c r="G90" s="23">
        <f>VLOOKUP($B$3:$B$210,Costdrivere!$B$3:$H$211,6,FALSE)</f>
        <v>1079558.6000000001</v>
      </c>
      <c r="H90" s="93">
        <f>VLOOKUP($B$3:$B$210,Costdrivere!$B$3:$H$211,7,FALSE)</f>
        <v>1171885.4000000001</v>
      </c>
      <c r="I90" s="27">
        <v>29.190292449765231</v>
      </c>
      <c r="J90" s="20">
        <f>VLOOKUP($B$3:$B$210,Costdrivere!$B$3:$I$211,8,FALSE)</f>
        <v>3.6217592592592593E-2</v>
      </c>
      <c r="K90" s="74">
        <f t="shared" si="20"/>
        <v>9248163.4118125793</v>
      </c>
      <c r="L90" s="89">
        <f t="shared" si="32"/>
        <v>10176912.664844733</v>
      </c>
      <c r="M90" s="167">
        <f t="shared" si="21"/>
        <v>11111955.717407722</v>
      </c>
      <c r="N90" s="74">
        <f>K90+VLOOKUP($B$3:$B$210,'Potentialer og krav'!$B$2:$F$209,5,FALSE)</f>
        <v>9248163.4118125793</v>
      </c>
      <c r="O90" s="160">
        <f t="shared" si="22"/>
        <v>10176912.664844733</v>
      </c>
      <c r="P90" s="163">
        <f t="shared" si="23"/>
        <v>11111955.717407722</v>
      </c>
      <c r="Q90" s="104">
        <f>N90+(0.25*VLOOKUP($B$3:$B$210,'Potentialer og krav'!$B$2:$C$209,2,FALSE))</f>
        <v>11713668.911812579</v>
      </c>
      <c r="R90" s="53">
        <f>O90+(0.25*VLOOKUP($B$3:$B$210,'Potentialer og krav'!$B$2:$C$209,2,FALSE))</f>
        <v>12642418.164844733</v>
      </c>
      <c r="S90" s="104">
        <f>P90+(0.25*VLOOKUP($B$3:$B$210,'Potentialer og krav'!$B$2:$C$209,2,FALSE))</f>
        <v>13577461.217407722</v>
      </c>
      <c r="T90" s="84">
        <v>8438127</v>
      </c>
      <c r="U90" s="92">
        <f t="shared" si="24"/>
        <v>8564698.9049999993</v>
      </c>
      <c r="W90" s="70">
        <f t="shared" si="25"/>
        <v>0.1399903717270968</v>
      </c>
      <c r="X90" s="73">
        <f t="shared" si="26"/>
        <v>0.39509883371360671</v>
      </c>
      <c r="Y90" s="62">
        <f t="shared" si="27"/>
        <v>3.8335179020210939E-3</v>
      </c>
      <c r="Z90" s="73">
        <f t="shared" si="28"/>
        <v>0.21762958874939789</v>
      </c>
      <c r="AA90" s="62">
        <f t="shared" si="29"/>
        <v>0.11673221502780666</v>
      </c>
      <c r="AB90" s="64">
        <f t="shared" si="30"/>
        <v>0.12671547288007082</v>
      </c>
      <c r="AC90" s="62"/>
      <c r="AD90" s="145">
        <f t="shared" si="31"/>
        <v>0.24344768790787746</v>
      </c>
      <c r="AF90" s="57">
        <f>W$212-W90</f>
        <v>-2.1316966134178966E-2</v>
      </c>
      <c r="AG90" s="60">
        <f>X$212-X90</f>
        <v>-0.10530083659053857</v>
      </c>
      <c r="AH90" s="83">
        <f>Y$212-Y90</f>
        <v>4.5360996034317008E-2</v>
      </c>
      <c r="AI90" s="60">
        <f>Z$212-Z90</f>
        <v>1.3709614050882946E-2</v>
      </c>
      <c r="AJ90" s="83">
        <f>AA$212-AA90</f>
        <v>3.1912698338356763E-2</v>
      </c>
      <c r="AK90" s="76">
        <f>AB$212-AB90</f>
        <v>3.5634494301160641E-2</v>
      </c>
      <c r="AM90" s="57">
        <f>$AD$212-AD90</f>
        <v>6.7547192639517528E-2</v>
      </c>
      <c r="AN90" s="106">
        <f>IF(AM90&lt;$AD$215,(AM90-$AD$215)*0.5683,0)</f>
        <v>0</v>
      </c>
    </row>
    <row r="91" spans="1:40" x14ac:dyDescent="0.25">
      <c r="A91" s="17" t="s">
        <v>285</v>
      </c>
      <c r="B91" s="90" t="s">
        <v>286</v>
      </c>
      <c r="C91" s="88">
        <f>VLOOKUP($B$3:$B$210,Costdrivere!$B$3:$H$211,2,FALSE)</f>
        <v>148275.32933356633</v>
      </c>
      <c r="D91" s="46">
        <f>VLOOKUP($B$3:$B$210,Costdrivere!$B$3:$H$211,3,FALSE)</f>
        <v>326669.59899999999</v>
      </c>
      <c r="E91" s="23">
        <f>VLOOKUP($B$3:$B$210,Costdrivere!$B$3:$H$211,4,FALSE)</f>
        <v>0</v>
      </c>
      <c r="F91" s="46">
        <f>VLOOKUP($B$3:$B$210,Costdrivere!$B$3:$H$211,5,FALSE)</f>
        <v>129504</v>
      </c>
      <c r="G91" s="23">
        <f>VLOOKUP($B$3:$B$210,Costdrivere!$B$3:$H$211,6,FALSE)</f>
        <v>318179.40000000002</v>
      </c>
      <c r="H91" s="93">
        <f>VLOOKUP($B$3:$B$210,Costdrivere!$B$3:$H$211,7,FALSE)</f>
        <v>354876.2</v>
      </c>
      <c r="I91" s="27">
        <v>25.305153198123197</v>
      </c>
      <c r="J91" s="20">
        <f>VLOOKUP($B$3:$B$210,Costdrivere!$B$3:$I$211,8,FALSE)</f>
        <v>7.4031250000000007E-2</v>
      </c>
      <c r="K91" s="74">
        <f t="shared" si="20"/>
        <v>1277504.5283335664</v>
      </c>
      <c r="L91" s="89">
        <f t="shared" si="32"/>
        <v>1316459.1642057868</v>
      </c>
      <c r="M91" s="167">
        <f t="shared" si="21"/>
        <v>2189233.0019862698</v>
      </c>
      <c r="N91" s="74">
        <f>K91+VLOOKUP($B$3:$B$210,'Potentialer og krav'!$B$2:$F$209,5,FALSE)</f>
        <v>1277504.5283335664</v>
      </c>
      <c r="O91" s="160">
        <f t="shared" si="22"/>
        <v>1316459.1642057868</v>
      </c>
      <c r="P91" s="163">
        <f t="shared" si="23"/>
        <v>2189233.0019862698</v>
      </c>
      <c r="Q91" s="104">
        <f>N91+(0.25*VLOOKUP($B$3:$B$210,'Potentialer og krav'!$B$2:$C$209,2,FALSE))</f>
        <v>1805707.2783335664</v>
      </c>
      <c r="R91" s="53">
        <f>O91+(0.25*VLOOKUP($B$3:$B$210,'Potentialer og krav'!$B$2:$C$209,2,FALSE))</f>
        <v>1844661.9142057868</v>
      </c>
      <c r="S91" s="104">
        <f>P91+(0.25*VLOOKUP($B$3:$B$210,'Potentialer og krav'!$B$2:$C$209,2,FALSE))</f>
        <v>2717435.7519862698</v>
      </c>
      <c r="T91" s="84">
        <v>2000797</v>
      </c>
      <c r="U91" s="92">
        <f t="shared" si="24"/>
        <v>2030808.9549999998</v>
      </c>
      <c r="W91" s="70">
        <f t="shared" si="25"/>
        <v>0.11606638258025062</v>
      </c>
      <c r="X91" s="73">
        <f t="shared" si="26"/>
        <v>0.2557091515175467</v>
      </c>
      <c r="Y91" s="62">
        <f t="shared" si="27"/>
        <v>0</v>
      </c>
      <c r="Z91" s="73">
        <f t="shared" si="28"/>
        <v>0.10137263479522125</v>
      </c>
      <c r="AA91" s="62">
        <f t="shared" si="29"/>
        <v>0.2490632267386538</v>
      </c>
      <c r="AB91" s="64">
        <f t="shared" si="30"/>
        <v>0.27778860436832759</v>
      </c>
      <c r="AC91" s="62"/>
      <c r="AD91" s="145">
        <f t="shared" si="31"/>
        <v>0.52685183110698142</v>
      </c>
      <c r="AF91" s="57">
        <f>W$212-W91</f>
        <v>2.6070230126672145E-3</v>
      </c>
      <c r="AG91" s="60">
        <f>X$212-X91</f>
        <v>3.4088845605521445E-2</v>
      </c>
      <c r="AH91" s="83">
        <f>Y$212-Y91</f>
        <v>4.91945139363381E-2</v>
      </c>
      <c r="AI91" s="60">
        <f>Z$212-Z91</f>
        <v>0.12996656800505957</v>
      </c>
      <c r="AJ91" s="83">
        <f>AA$212-AA91</f>
        <v>-0.10041831337249038</v>
      </c>
      <c r="AK91" s="76">
        <f>AB$212-AB91</f>
        <v>-0.11543863718709613</v>
      </c>
      <c r="AM91" s="57">
        <f>$AD$212-AD91</f>
        <v>-0.21585695055958642</v>
      </c>
      <c r="AN91" s="106">
        <f>IF(AM91&lt;$AD$215,(AM91-$AD$215)*0.5683,0)</f>
        <v>-6.2995703572799919E-2</v>
      </c>
    </row>
    <row r="92" spans="1:40" x14ac:dyDescent="0.25">
      <c r="A92" s="17" t="s">
        <v>287</v>
      </c>
      <c r="B92" s="90" t="s">
        <v>288</v>
      </c>
      <c r="C92" s="88">
        <f>VLOOKUP($B$3:$B$210,Costdrivere!$B$3:$H$211,2,FALSE)</f>
        <v>173503.30691937378</v>
      </c>
      <c r="D92" s="46">
        <f>VLOOKUP($B$3:$B$210,Costdrivere!$B$3:$H$211,3,FALSE)</f>
        <v>348419.29100000003</v>
      </c>
      <c r="E92" s="23">
        <f>VLOOKUP($B$3:$B$210,Costdrivere!$B$3:$H$211,4,FALSE)</f>
        <v>70906</v>
      </c>
      <c r="F92" s="46">
        <f>VLOOKUP($B$3:$B$210,Costdrivere!$B$3:$H$211,5,FALSE)</f>
        <v>198303</v>
      </c>
      <c r="G92" s="23">
        <f>VLOOKUP($B$3:$B$210,Costdrivere!$B$3:$H$211,6,FALSE)</f>
        <v>257612.60000000003</v>
      </c>
      <c r="H92" s="93">
        <f>VLOOKUP($B$3:$B$210,Costdrivere!$B$3:$H$211,7,FALSE)</f>
        <v>284170.60000000003</v>
      </c>
      <c r="I92" s="27">
        <v>35.168293165467162</v>
      </c>
      <c r="J92" s="20">
        <f>VLOOKUP($B$3:$B$210,Costdrivere!$B$3:$I$211,8,FALSE)</f>
        <v>3.8714285714285715E-2</v>
      </c>
      <c r="K92" s="74">
        <f t="shared" si="20"/>
        <v>1332914.797919374</v>
      </c>
      <c r="L92" s="89">
        <f t="shared" si="32"/>
        <v>1610200.0996043633</v>
      </c>
      <c r="M92" s="167">
        <f t="shared" si="21"/>
        <v>1646611.3447833066</v>
      </c>
      <c r="N92" s="74">
        <f>K92+VLOOKUP($B$3:$B$210,'Potentialer og krav'!$B$2:$F$209,5,FALSE)</f>
        <v>1332914.797919374</v>
      </c>
      <c r="O92" s="160">
        <f t="shared" si="22"/>
        <v>1610200.0996043633</v>
      </c>
      <c r="P92" s="163">
        <f t="shared" si="23"/>
        <v>1646611.3447833066</v>
      </c>
      <c r="Q92" s="104">
        <f>N92+(0.25*VLOOKUP($B$3:$B$210,'Potentialer og krav'!$B$2:$C$209,2,FALSE))</f>
        <v>1638081.547919374</v>
      </c>
      <c r="R92" s="53">
        <f>O92+(0.25*VLOOKUP($B$3:$B$210,'Potentialer og krav'!$B$2:$C$209,2,FALSE))</f>
        <v>1915366.8496043633</v>
      </c>
      <c r="S92" s="104">
        <f>P92+(0.25*VLOOKUP($B$3:$B$210,'Potentialer og krav'!$B$2:$C$209,2,FALSE))</f>
        <v>1951778.0947833066</v>
      </c>
      <c r="T92" s="181">
        <v>976442</v>
      </c>
      <c r="U92" s="92">
        <f t="shared" si="24"/>
        <v>991088.62999999989</v>
      </c>
      <c r="W92" s="70">
        <f t="shared" si="25"/>
        <v>0.13016834023465371</v>
      </c>
      <c r="X92" s="73">
        <f t="shared" si="26"/>
        <v>0.26139652102585131</v>
      </c>
      <c r="Y92" s="62">
        <f t="shared" si="27"/>
        <v>5.3196198369679287E-2</v>
      </c>
      <c r="Z92" s="73">
        <f t="shared" si="28"/>
        <v>0.14877395037517999</v>
      </c>
      <c r="AA92" s="62">
        <f t="shared" si="29"/>
        <v>0.19327011779156694</v>
      </c>
      <c r="AB92" s="64">
        <f t="shared" si="30"/>
        <v>0.21319487220306868</v>
      </c>
      <c r="AC92" s="62"/>
      <c r="AD92" s="145">
        <f t="shared" si="31"/>
        <v>0.40646498999463565</v>
      </c>
      <c r="AF92" s="57">
        <f>W$212-W92</f>
        <v>-1.1494934641735871E-2</v>
      </c>
      <c r="AG92" s="60">
        <f>X$212-X92</f>
        <v>2.8401476097216827E-2</v>
      </c>
      <c r="AH92" s="83">
        <f>Y$212-Y92</f>
        <v>-4.0016844333411877E-3</v>
      </c>
      <c r="AI92" s="60">
        <f>Z$212-Z92</f>
        <v>8.2565252425100849E-2</v>
      </c>
      <c r="AJ92" s="83">
        <f>AA$212-AA92</f>
        <v>-4.462520442540352E-2</v>
      </c>
      <c r="AK92" s="76">
        <f>AB$212-AB92</f>
        <v>-5.0844905021837222E-2</v>
      </c>
      <c r="AM92" s="57">
        <f>$AD$212-AD92</f>
        <v>-9.5470109447240659E-2</v>
      </c>
      <c r="AN92" s="106">
        <f>IF(AM92&lt;$AD$215,(AM92-$AD$215)*0.5683,0)</f>
        <v>0</v>
      </c>
    </row>
    <row r="93" spans="1:40" x14ac:dyDescent="0.25">
      <c r="A93" s="17" t="s">
        <v>37</v>
      </c>
      <c r="B93" s="90" t="s">
        <v>289</v>
      </c>
      <c r="C93" s="88">
        <f>VLOOKUP($B$3:$B$210,Costdrivere!$B$3:$H$211,2,FALSE)</f>
        <v>2193480.7211311799</v>
      </c>
      <c r="D93" s="46">
        <f>VLOOKUP($B$3:$B$210,Costdrivere!$B$3:$H$211,3,FALSE)</f>
        <v>7737187.8600000003</v>
      </c>
      <c r="E93" s="23">
        <f>VLOOKUP($B$3:$B$210,Costdrivere!$B$3:$H$211,4,FALSE)</f>
        <v>1656850</v>
      </c>
      <c r="F93" s="46">
        <f>VLOOKUP($B$3:$B$210,Costdrivere!$B$3:$H$211,5,FALSE)</f>
        <v>5656455</v>
      </c>
      <c r="G93" s="23">
        <f>VLOOKUP($B$3:$B$210,Costdrivere!$B$3:$H$211,6,FALSE)</f>
        <v>2694184.4000000004</v>
      </c>
      <c r="H93" s="93">
        <f>VLOOKUP($B$3:$B$210,Costdrivere!$B$3:$H$211,7,FALSE)</f>
        <v>2227376.2000000002</v>
      </c>
      <c r="I93" s="27">
        <v>40.573456456979933</v>
      </c>
      <c r="J93" s="20">
        <f>VLOOKUP($B$3:$B$210,Costdrivere!$B$3:$I$211,8,FALSE)</f>
        <v>2.4216612377850163E-2</v>
      </c>
      <c r="K93" s="74">
        <f t="shared" si="20"/>
        <v>22165534.18113118</v>
      </c>
      <c r="L93" s="89">
        <f t="shared" si="32"/>
        <v>28933164.201139297</v>
      </c>
      <c r="M93" s="167">
        <f t="shared" si="21"/>
        <v>23029763.882426389</v>
      </c>
      <c r="N93" s="74">
        <f>K93+VLOOKUP($B$3:$B$210,'Potentialer og krav'!$B$2:$F$209,5,FALSE)</f>
        <v>22165534.18113118</v>
      </c>
      <c r="O93" s="160">
        <f t="shared" si="22"/>
        <v>28933164.201139297</v>
      </c>
      <c r="P93" s="163">
        <f t="shared" si="23"/>
        <v>23029763.882426389</v>
      </c>
      <c r="Q93" s="104">
        <f>N93+(0.25*VLOOKUP($B$3:$B$210,'Potentialer og krav'!$B$2:$C$209,2,FALSE))</f>
        <v>27379305.43113118</v>
      </c>
      <c r="R93" s="53">
        <f>O93+(0.25*VLOOKUP($B$3:$B$210,'Potentialer og krav'!$B$2:$C$209,2,FALSE))</f>
        <v>34146935.451139301</v>
      </c>
      <c r="S93" s="104">
        <f>P93+(0.25*VLOOKUP($B$3:$B$210,'Potentialer og krav'!$B$2:$C$209,2,FALSE))</f>
        <v>28243535.132426389</v>
      </c>
      <c r="T93" s="84">
        <v>14987300</v>
      </c>
      <c r="U93" s="92">
        <f t="shared" si="24"/>
        <v>15212109.499999998</v>
      </c>
      <c r="W93" s="70">
        <f t="shared" si="25"/>
        <v>9.8959073271440531E-2</v>
      </c>
      <c r="X93" s="73">
        <f t="shared" si="26"/>
        <v>0.34906390239791396</v>
      </c>
      <c r="Y93" s="62">
        <f t="shared" si="27"/>
        <v>7.4748931672958471E-2</v>
      </c>
      <c r="Z93" s="73">
        <f t="shared" si="28"/>
        <v>0.25519145867529608</v>
      </c>
      <c r="AA93" s="62">
        <f t="shared" si="29"/>
        <v>0.12154836323743889</v>
      </c>
      <c r="AB93" s="64">
        <f t="shared" si="30"/>
        <v>0.1004882707449521</v>
      </c>
      <c r="AC93" s="62"/>
      <c r="AD93" s="145">
        <f t="shared" si="31"/>
        <v>0.22203663398239099</v>
      </c>
      <c r="AF93" s="57">
        <f>W$212-W93</f>
        <v>1.9714332321477304E-2</v>
      </c>
      <c r="AG93" s="60">
        <f>X$212-X93</f>
        <v>-5.926590527484582E-2</v>
      </c>
      <c r="AH93" s="83">
        <f>Y$212-Y93</f>
        <v>-2.5554417736620372E-2</v>
      </c>
      <c r="AI93" s="60">
        <f>Z$212-Z93</f>
        <v>-2.3852255875015244E-2</v>
      </c>
      <c r="AJ93" s="83">
        <f>AA$212-AA93</f>
        <v>2.7096550128724528E-2</v>
      </c>
      <c r="AK93" s="76">
        <f>AB$212-AB93</f>
        <v>6.1861696436279354E-2</v>
      </c>
      <c r="AM93" s="57">
        <f>$AD$212-AD93</f>
        <v>8.8958246565004007E-2</v>
      </c>
      <c r="AN93" s="106">
        <f>IF(AM93&lt;$AD$215,(AM93-$AD$215)*0.5683,0)</f>
        <v>0</v>
      </c>
    </row>
    <row r="94" spans="1:40" x14ac:dyDescent="0.25">
      <c r="A94" s="17" t="s">
        <v>290</v>
      </c>
      <c r="B94" s="90" t="s">
        <v>291</v>
      </c>
      <c r="C94" s="88">
        <f>VLOOKUP($B$3:$B$210,Costdrivere!$B$3:$H$211,2,FALSE)</f>
        <v>542435.00087898341</v>
      </c>
      <c r="D94" s="46">
        <f>VLOOKUP($B$3:$B$210,Costdrivere!$B$3:$H$211,3,FALSE)</f>
        <v>1450919.308</v>
      </c>
      <c r="E94" s="23">
        <f>VLOOKUP($B$3:$B$210,Costdrivere!$B$3:$H$211,4,FALSE)</f>
        <v>1047857</v>
      </c>
      <c r="F94" s="46">
        <f>VLOOKUP($B$3:$B$210,Costdrivere!$B$3:$H$211,5,FALSE)</f>
        <v>3029786</v>
      </c>
      <c r="G94" s="23">
        <f>VLOOKUP($B$3:$B$210,Costdrivere!$B$3:$H$211,6,FALSE)</f>
        <v>1197317.2000000002</v>
      </c>
      <c r="H94" s="93">
        <f>VLOOKUP($B$3:$B$210,Costdrivere!$B$3:$H$211,7,FALSE)</f>
        <v>1223716.2000000002</v>
      </c>
      <c r="I94" s="27">
        <v>32.205294201401365</v>
      </c>
      <c r="J94" s="20">
        <f>VLOOKUP($B$3:$B$210,Costdrivere!$B$3:$I$211,8,FALSE)</f>
        <v>4.3919354838709679E-2</v>
      </c>
      <c r="K94" s="74">
        <f t="shared" si="20"/>
        <v>8492030.7088789828</v>
      </c>
      <c r="L94" s="89">
        <f t="shared" si="32"/>
        <v>9805707.9098475017</v>
      </c>
      <c r="M94" s="167">
        <f t="shared" si="21"/>
        <v>11089265.157513572</v>
      </c>
      <c r="N94" s="74">
        <f>K94+VLOOKUP($B$3:$B$210,'Potentialer og krav'!$B$2:$F$209,5,FALSE)</f>
        <v>8743065.7088789828</v>
      </c>
      <c r="O94" s="160">
        <f t="shared" si="22"/>
        <v>10095576.84338478</v>
      </c>
      <c r="P94" s="163">
        <f t="shared" si="23"/>
        <v>11417077.641270347</v>
      </c>
      <c r="Q94" s="104">
        <f>N94+(0.25*VLOOKUP($B$3:$B$210,'Potentialer og krav'!$B$2:$C$209,2,FALSE))</f>
        <v>11296332.958878983</v>
      </c>
      <c r="R94" s="53">
        <f>O94+(0.25*VLOOKUP($B$3:$B$210,'Potentialer og krav'!$B$2:$C$209,2,FALSE))</f>
        <v>12648844.09338478</v>
      </c>
      <c r="S94" s="104">
        <f>P94+(0.25*VLOOKUP($B$3:$B$210,'Potentialer og krav'!$B$2:$C$209,2,FALSE))</f>
        <v>13970344.891270347</v>
      </c>
      <c r="T94" s="84">
        <v>7646229</v>
      </c>
      <c r="U94" s="92">
        <f t="shared" si="24"/>
        <v>7760922.4349999996</v>
      </c>
      <c r="W94" s="70">
        <f t="shared" si="25"/>
        <v>6.3875770057193929E-2</v>
      </c>
      <c r="X94" s="73">
        <f t="shared" si="26"/>
        <v>0.17085657809538624</v>
      </c>
      <c r="Y94" s="62">
        <f t="shared" si="27"/>
        <v>0.12339298289446785</v>
      </c>
      <c r="Z94" s="73">
        <f t="shared" si="28"/>
        <v>0.35677991564869843</v>
      </c>
      <c r="AA94" s="62">
        <f t="shared" si="29"/>
        <v>0.14099303700681692</v>
      </c>
      <c r="AB94" s="64">
        <f t="shared" si="30"/>
        <v>0.14410171629743679</v>
      </c>
      <c r="AC94" s="62"/>
      <c r="AD94" s="145">
        <f t="shared" si="31"/>
        <v>0.28509475330425371</v>
      </c>
      <c r="AF94" s="57">
        <f>W$212-W94</f>
        <v>5.4797635535723907E-2</v>
      </c>
      <c r="AG94" s="60">
        <f>X$212-X94</f>
        <v>0.1189414190276819</v>
      </c>
      <c r="AH94" s="83">
        <f>Y$212-Y94</f>
        <v>-7.4198468958129746E-2</v>
      </c>
      <c r="AI94" s="60">
        <f>Z$212-Z94</f>
        <v>-0.1254407128484176</v>
      </c>
      <c r="AJ94" s="83">
        <f>AA$212-AA94</f>
        <v>7.6518763593464989E-3</v>
      </c>
      <c r="AK94" s="76">
        <f>AB$212-AB94</f>
        <v>1.824825088379467E-2</v>
      </c>
      <c r="AM94" s="57">
        <f>$AD$212-AD94</f>
        <v>2.590012724314128E-2</v>
      </c>
      <c r="AN94" s="106">
        <f>IF(AM94&lt;$AD$215,(AM94-$AD$215)*0.5683,0)</f>
        <v>0</v>
      </c>
    </row>
    <row r="95" spans="1:40" x14ac:dyDescent="0.25">
      <c r="A95" s="17" t="s">
        <v>292</v>
      </c>
      <c r="B95" s="90" t="s">
        <v>293</v>
      </c>
      <c r="C95" s="88">
        <f>VLOOKUP($B$3:$B$210,Costdrivere!$B$3:$H$211,2,FALSE)</f>
        <v>236757.8361838586</v>
      </c>
      <c r="D95" s="46">
        <f>VLOOKUP($B$3:$B$210,Costdrivere!$B$3:$H$211,3,FALSE)</f>
        <v>601118.32299999997</v>
      </c>
      <c r="E95" s="23">
        <f>VLOOKUP($B$3:$B$210,Costdrivere!$B$3:$H$211,4,FALSE)</f>
        <v>283624</v>
      </c>
      <c r="F95" s="46">
        <f>VLOOKUP($B$3:$B$210,Costdrivere!$B$3:$H$211,5,FALSE)</f>
        <v>530157</v>
      </c>
      <c r="G95" s="23">
        <f>VLOOKUP($B$3:$B$210,Costdrivere!$B$3:$H$211,6,FALSE)</f>
        <v>288575</v>
      </c>
      <c r="H95" s="93">
        <f>VLOOKUP($B$3:$B$210,Costdrivere!$B$3:$H$211,7,FALSE)</f>
        <v>319523.40000000002</v>
      </c>
      <c r="I95" s="27">
        <v>29.845604786115452</v>
      </c>
      <c r="J95" s="20">
        <f>VLOOKUP($B$3:$B$210,Costdrivere!$B$3:$I$211,8,FALSE)</f>
        <v>1.6282442748091604E-2</v>
      </c>
      <c r="K95" s="74">
        <f t="shared" si="20"/>
        <v>2259755.5591838583</v>
      </c>
      <c r="L95" s="89">
        <f t="shared" si="32"/>
        <v>2513347.3305180357</v>
      </c>
      <c r="M95" s="167">
        <f t="shared" si="21"/>
        <v>2105028.7505432293</v>
      </c>
      <c r="N95" s="74">
        <f>K95+VLOOKUP($B$3:$B$210,'Potentialer og krav'!$B$2:$F$209,5,FALSE)</f>
        <v>2259755.5591838583</v>
      </c>
      <c r="O95" s="160">
        <f t="shared" si="22"/>
        <v>2513347.3305180357</v>
      </c>
      <c r="P95" s="163">
        <f t="shared" si="23"/>
        <v>2105028.7505432293</v>
      </c>
      <c r="Q95" s="104">
        <f>N95+(0.25*VLOOKUP($B$3:$B$210,'Potentialer og krav'!$B$2:$C$209,2,FALSE))</f>
        <v>2717173.0591838583</v>
      </c>
      <c r="R95" s="53">
        <f>O95+(0.25*VLOOKUP($B$3:$B$210,'Potentialer og krav'!$B$2:$C$209,2,FALSE))</f>
        <v>2970764.8305180357</v>
      </c>
      <c r="S95" s="104">
        <f>P95+(0.25*VLOOKUP($B$3:$B$210,'Potentialer og krav'!$B$2:$C$209,2,FALSE))</f>
        <v>2562446.2505432293</v>
      </c>
      <c r="T95" s="84">
        <v>1263597</v>
      </c>
      <c r="U95" s="92">
        <f t="shared" si="24"/>
        <v>1282550.9549999998</v>
      </c>
      <c r="W95" s="70">
        <f t="shared" si="25"/>
        <v>0.10477143654837028</v>
      </c>
      <c r="X95" s="73">
        <f t="shared" si="26"/>
        <v>0.26601033043463429</v>
      </c>
      <c r="Y95" s="62">
        <f t="shared" si="27"/>
        <v>0.12551092035035624</v>
      </c>
      <c r="Z95" s="73">
        <f t="shared" si="28"/>
        <v>0.23460811849555688</v>
      </c>
      <c r="AA95" s="62">
        <f t="shared" si="29"/>
        <v>0.12770186528680244</v>
      </c>
      <c r="AB95" s="64">
        <f t="shared" si="30"/>
        <v>0.14139732888427997</v>
      </c>
      <c r="AC95" s="62"/>
      <c r="AD95" s="145">
        <f t="shared" si="31"/>
        <v>0.26909919417108241</v>
      </c>
      <c r="AF95" s="57">
        <f>W$212-W95</f>
        <v>1.390196904454756E-2</v>
      </c>
      <c r="AG95" s="60">
        <f>X$212-X95</f>
        <v>2.3787666688433851E-2</v>
      </c>
      <c r="AH95" s="83">
        <f>Y$212-Y95</f>
        <v>-7.6316406414018143E-2</v>
      </c>
      <c r="AI95" s="60">
        <f>Z$212-Z95</f>
        <v>-3.2689156952760423E-3</v>
      </c>
      <c r="AJ95" s="83">
        <f>AA$212-AA95</f>
        <v>2.0943048079360982E-2</v>
      </c>
      <c r="AK95" s="76">
        <f>AB$212-AB95</f>
        <v>2.0952638296951487E-2</v>
      </c>
      <c r="AM95" s="57">
        <f>$AD$212-AD95</f>
        <v>4.189568637631258E-2</v>
      </c>
      <c r="AN95" s="106">
        <f>IF(AM95&lt;$AD$215,(AM95-$AD$215)*0.5683,0)</f>
        <v>0</v>
      </c>
    </row>
    <row r="96" spans="1:40" x14ac:dyDescent="0.25">
      <c r="A96" s="17" t="s">
        <v>294</v>
      </c>
      <c r="B96" s="90" t="s">
        <v>295</v>
      </c>
      <c r="C96" s="88">
        <f>VLOOKUP($B$3:$B$210,Costdrivere!$B$3:$H$211,2,FALSE)</f>
        <v>172977.47979872109</v>
      </c>
      <c r="D96" s="46">
        <f>VLOOKUP($B$3:$B$210,Costdrivere!$B$3:$H$211,3,FALSE)</f>
        <v>390216.96000000002</v>
      </c>
      <c r="E96" s="23">
        <f>VLOOKUP($B$3:$B$210,Costdrivere!$B$3:$H$211,4,FALSE)</f>
        <v>35453</v>
      </c>
      <c r="F96" s="46">
        <f>VLOOKUP($B$3:$B$210,Costdrivere!$B$3:$H$211,5,FALSE)</f>
        <v>339948</v>
      </c>
      <c r="G96" s="23">
        <f>VLOOKUP($B$3:$B$210,Costdrivere!$B$3:$H$211,6,FALSE)</f>
        <v>92072.400000000009</v>
      </c>
      <c r="H96" s="93">
        <f>VLOOKUP($B$3:$B$210,Costdrivere!$B$3:$H$211,7,FALSE)</f>
        <v>101564.40000000001</v>
      </c>
      <c r="I96" s="27">
        <v>42.66829796908808</v>
      </c>
      <c r="J96" s="20">
        <f>VLOOKUP($B$3:$B$210,Costdrivere!$B$3:$I$211,8,FALSE)</f>
        <v>8.0714285714285714E-3</v>
      </c>
      <c r="K96" s="74">
        <f t="shared" si="20"/>
        <v>1132232.2397987212</v>
      </c>
      <c r="L96" s="89">
        <f t="shared" si="32"/>
        <v>1520621.1442871816</v>
      </c>
      <c r="M96" s="167">
        <f t="shared" si="21"/>
        <v>928792.10396183562</v>
      </c>
      <c r="N96" s="74">
        <f>K96+VLOOKUP($B$3:$B$210,'Potentialer og krav'!$B$2:$F$209,5,FALSE)</f>
        <v>1132232.2397987212</v>
      </c>
      <c r="O96" s="160">
        <f t="shared" si="22"/>
        <v>1520621.1442871816</v>
      </c>
      <c r="P96" s="163">
        <f t="shared" si="23"/>
        <v>928792.10396183562</v>
      </c>
      <c r="Q96" s="104">
        <f>N96+(0.25*VLOOKUP($B$3:$B$210,'Potentialer og krav'!$B$2:$C$209,2,FALSE))</f>
        <v>1347839.4897987212</v>
      </c>
      <c r="R96" s="53">
        <f>O96+(0.25*VLOOKUP($B$3:$B$210,'Potentialer og krav'!$B$2:$C$209,2,FALSE))</f>
        <v>1736228.3942871816</v>
      </c>
      <c r="S96" s="104">
        <f>P96+(0.25*VLOOKUP($B$3:$B$210,'Potentialer og krav'!$B$2:$C$209,2,FALSE))</f>
        <v>1144399.3539618356</v>
      </c>
      <c r="T96" s="84">
        <v>534698</v>
      </c>
      <c r="U96" s="92">
        <f t="shared" si="24"/>
        <v>542718.47</v>
      </c>
      <c r="W96" s="70">
        <f t="shared" si="25"/>
        <v>0.1527756176855303</v>
      </c>
      <c r="X96" s="73">
        <f t="shared" si="26"/>
        <v>0.34464392223045121</v>
      </c>
      <c r="Y96" s="62">
        <f t="shared" si="27"/>
        <v>3.1312480561675703E-2</v>
      </c>
      <c r="Z96" s="73">
        <f t="shared" si="28"/>
        <v>0.3002458224122227</v>
      </c>
      <c r="AA96" s="62">
        <f t="shared" si="29"/>
        <v>8.131935901804728E-2</v>
      </c>
      <c r="AB96" s="64">
        <f t="shared" si="30"/>
        <v>8.970279809207278E-2</v>
      </c>
      <c r="AC96" s="62"/>
      <c r="AD96" s="145">
        <f t="shared" si="31"/>
        <v>0.17102215711012006</v>
      </c>
      <c r="AF96" s="57">
        <f>W$212-W96</f>
        <v>-3.4102212092612466E-2</v>
      </c>
      <c r="AG96" s="60">
        <f>X$212-X96</f>
        <v>-5.4845925107383064E-2</v>
      </c>
      <c r="AH96" s="83">
        <f>Y$212-Y96</f>
        <v>1.7882033374662397E-2</v>
      </c>
      <c r="AI96" s="60">
        <f>Z$212-Z96</f>
        <v>-6.8906619611941861E-2</v>
      </c>
      <c r="AJ96" s="83">
        <f>AA$212-AA96</f>
        <v>6.7325554348116143E-2</v>
      </c>
      <c r="AK96" s="76">
        <f>AB$212-AB96</f>
        <v>7.2647169089158678E-2</v>
      </c>
      <c r="AM96" s="57">
        <f>$AD$212-AD96</f>
        <v>0.13997272343727493</v>
      </c>
      <c r="AN96" s="106">
        <f>IF(AM96&lt;$AD$215,(AM96-$AD$215)*0.5683,0)</f>
        <v>0</v>
      </c>
    </row>
    <row r="97" spans="1:40" x14ac:dyDescent="0.25">
      <c r="A97" s="17" t="s">
        <v>296</v>
      </c>
      <c r="B97" s="90" t="s">
        <v>297</v>
      </c>
      <c r="C97" s="88">
        <f>VLOOKUP($B$3:$B$210,Costdrivere!$B$3:$H$211,2,FALSE)</f>
        <v>173887.30543295882</v>
      </c>
      <c r="D97" s="46">
        <f>VLOOKUP($B$3:$B$210,Costdrivere!$B$3:$H$211,3,FALSE)</f>
        <v>421307.53499999997</v>
      </c>
      <c r="E97" s="23">
        <f>VLOOKUP($B$3:$B$210,Costdrivere!$B$3:$H$211,4,FALSE)</f>
        <v>0</v>
      </c>
      <c r="F97" s="46">
        <f>VLOOKUP($B$3:$B$210,Costdrivere!$B$3:$H$211,5,FALSE)</f>
        <v>372324</v>
      </c>
      <c r="G97" s="23">
        <f>VLOOKUP($B$3:$B$210,Costdrivere!$B$3:$H$211,6,FALSE)</f>
        <v>291019.40000000002</v>
      </c>
      <c r="H97" s="93">
        <f>VLOOKUP($B$3:$B$210,Costdrivere!$B$3:$H$211,7,FALSE)</f>
        <v>310235.80000000005</v>
      </c>
      <c r="I97" s="27">
        <v>33.270808179510752</v>
      </c>
      <c r="J97" s="20">
        <f>VLOOKUP($B$3:$B$210,Costdrivere!$B$3:$I$211,8,FALSE)</f>
        <v>2.251086956521739E-2</v>
      </c>
      <c r="K97" s="74">
        <f t="shared" si="20"/>
        <v>1568774.0404329589</v>
      </c>
      <c r="L97" s="89">
        <f t="shared" si="32"/>
        <v>1841543.9164212893</v>
      </c>
      <c r="M97" s="167">
        <f t="shared" si="21"/>
        <v>1593697.4946511521</v>
      </c>
      <c r="N97" s="74">
        <f>K97+VLOOKUP($B$3:$B$210,'Potentialer og krav'!$B$2:$F$209,5,FALSE)</f>
        <v>1568774.0404329589</v>
      </c>
      <c r="O97" s="160">
        <f t="shared" si="22"/>
        <v>1841543.9164212893</v>
      </c>
      <c r="P97" s="163">
        <f t="shared" si="23"/>
        <v>1593697.4946511521</v>
      </c>
      <c r="Q97" s="104">
        <f>N97+(0.25*VLOOKUP($B$3:$B$210,'Potentialer og krav'!$B$2:$C$209,2,FALSE))</f>
        <v>1958085.5404329589</v>
      </c>
      <c r="R97" s="53">
        <f>O97+(0.25*VLOOKUP($B$3:$B$210,'Potentialer og krav'!$B$2:$C$209,2,FALSE))</f>
        <v>2230855.4164212896</v>
      </c>
      <c r="S97" s="104">
        <f>P97+(0.25*VLOOKUP($B$3:$B$210,'Potentialer og krav'!$B$2:$C$209,2,FALSE))</f>
        <v>1983008.9946511521</v>
      </c>
      <c r="T97" s="84">
        <v>1424350</v>
      </c>
      <c r="U97" s="92">
        <f t="shared" si="24"/>
        <v>1445715.2499999998</v>
      </c>
      <c r="W97" s="70">
        <f t="shared" si="25"/>
        <v>0.11084279886794178</v>
      </c>
      <c r="X97" s="73">
        <f t="shared" si="26"/>
        <v>0.26855845656632948</v>
      </c>
      <c r="Y97" s="62">
        <f t="shared" si="27"/>
        <v>0</v>
      </c>
      <c r="Z97" s="73">
        <f t="shared" si="28"/>
        <v>0.23733437091886347</v>
      </c>
      <c r="AA97" s="62">
        <f t="shared" si="29"/>
        <v>0.18550753167720885</v>
      </c>
      <c r="AB97" s="64">
        <f t="shared" si="30"/>
        <v>0.19775684196965643</v>
      </c>
      <c r="AC97" s="62"/>
      <c r="AD97" s="145">
        <f t="shared" si="31"/>
        <v>0.38326437364686528</v>
      </c>
      <c r="AF97" s="57">
        <f>W$212-W97</f>
        <v>7.8306067249760553E-3</v>
      </c>
      <c r="AG97" s="60">
        <f>X$212-X97</f>
        <v>2.1239540556738656E-2</v>
      </c>
      <c r="AH97" s="83">
        <f>Y$212-Y97</f>
        <v>4.91945139363381E-2</v>
      </c>
      <c r="AI97" s="60">
        <f>Z$212-Z97</f>
        <v>-5.9951681185826389E-3</v>
      </c>
      <c r="AJ97" s="83">
        <f>AA$212-AA97</f>
        <v>-3.6862618311045425E-2</v>
      </c>
      <c r="AK97" s="76">
        <f>AB$212-AB97</f>
        <v>-3.5406874788424969E-2</v>
      </c>
      <c r="AM97" s="57">
        <f>$AD$212-AD97</f>
        <v>-7.2269493099470283E-2</v>
      </c>
      <c r="AN97" s="106">
        <f>IF(AM97&lt;$AD$215,(AM97-$AD$215)*0.5683,0)</f>
        <v>0</v>
      </c>
    </row>
    <row r="98" spans="1:40" x14ac:dyDescent="0.25">
      <c r="A98" s="17" t="s">
        <v>38</v>
      </c>
      <c r="B98" s="90" t="s">
        <v>298</v>
      </c>
      <c r="C98" s="88">
        <f>VLOOKUP($B$3:$B$210,Costdrivere!$B$3:$H$211,2,FALSE)</f>
        <v>0</v>
      </c>
      <c r="D98" s="46">
        <f>VLOOKUP($B$3:$B$210,Costdrivere!$B$3:$H$211,3,FALSE)</f>
        <v>0</v>
      </c>
      <c r="E98" s="23">
        <f>VLOOKUP($B$3:$B$210,Costdrivere!$B$3:$H$211,4,FALSE)</f>
        <v>144773</v>
      </c>
      <c r="F98" s="46">
        <f>VLOOKUP($B$3:$B$210,Costdrivere!$B$3:$H$211,5,FALSE)</f>
        <v>1412186</v>
      </c>
      <c r="G98" s="23">
        <f>VLOOKUP($B$3:$B$210,Costdrivere!$B$3:$H$211,6,FALSE)</f>
        <v>945047.40000000014</v>
      </c>
      <c r="H98" s="93">
        <f>VLOOKUP($B$3:$B$210,Costdrivere!$B$3:$H$211,7,FALSE)</f>
        <v>1058786.4000000001</v>
      </c>
      <c r="I98" s="27">
        <v>32.558715728754663</v>
      </c>
      <c r="J98" s="20">
        <f>VLOOKUP($B$3:$B$210,Costdrivere!$B$3:$I$211,8,FALSE)</f>
        <v>4.7756756756756759E-2</v>
      </c>
      <c r="K98" s="74">
        <f t="shared" si="20"/>
        <v>3560792.8000000007</v>
      </c>
      <c r="L98" s="89">
        <f t="shared" si="32"/>
        <v>4134282.9897955349</v>
      </c>
      <c r="M98" s="167">
        <f t="shared" si="21"/>
        <v>4834906.8258328224</v>
      </c>
      <c r="N98" s="74">
        <f>K98+VLOOKUP($B$3:$B$210,'Potentialer og krav'!$B$2:$F$209,5,FALSE)</f>
        <v>3644856.8000000007</v>
      </c>
      <c r="O98" s="160">
        <f t="shared" si="22"/>
        <v>4231886.0756179318</v>
      </c>
      <c r="P98" s="163">
        <f t="shared" si="23"/>
        <v>4949050.3972888226</v>
      </c>
      <c r="Q98" s="104">
        <f>N98+(0.25*VLOOKUP($B$3:$B$210,'Potentialer og krav'!$B$2:$C$209,2,FALSE))</f>
        <v>5579748.8000000007</v>
      </c>
      <c r="R98" s="53">
        <f>O98+(0.25*VLOOKUP($B$3:$B$210,'Potentialer og krav'!$B$2:$C$209,2,FALSE))</f>
        <v>6166778.0756179318</v>
      </c>
      <c r="S98" s="104">
        <f>P98+(0.25*VLOOKUP($B$3:$B$210,'Potentialer og krav'!$B$2:$C$209,2,FALSE))</f>
        <v>6883942.3972888226</v>
      </c>
      <c r="T98" s="84">
        <v>6487258</v>
      </c>
      <c r="U98" s="92">
        <f t="shared" si="24"/>
        <v>6584566.8699999992</v>
      </c>
      <c r="W98" s="70">
        <f t="shared" si="25"/>
        <v>0</v>
      </c>
      <c r="X98" s="73">
        <f t="shared" si="26"/>
        <v>0</v>
      </c>
      <c r="Y98" s="62">
        <f t="shared" si="27"/>
        <v>4.0657518741331979E-2</v>
      </c>
      <c r="Z98" s="73">
        <f t="shared" si="28"/>
        <v>0.39659314071855001</v>
      </c>
      <c r="AA98" s="62">
        <f t="shared" si="29"/>
        <v>0.26540364831112889</v>
      </c>
      <c r="AB98" s="64">
        <f t="shared" si="30"/>
        <v>0.29734569222898899</v>
      </c>
      <c r="AC98" s="62"/>
      <c r="AD98" s="145">
        <f t="shared" si="31"/>
        <v>0.56274934054011783</v>
      </c>
      <c r="AF98" s="57">
        <f>W$212-W98</f>
        <v>0.11867340559291784</v>
      </c>
      <c r="AG98" s="60">
        <f>X$212-X98</f>
        <v>0.28979799712306814</v>
      </c>
      <c r="AH98" s="83">
        <f>Y$212-Y98</f>
        <v>8.536995195006121E-3</v>
      </c>
      <c r="AI98" s="60">
        <f>Z$212-Z98</f>
        <v>-0.16525393791826917</v>
      </c>
      <c r="AJ98" s="83">
        <f>AA$212-AA98</f>
        <v>-0.11675873494496547</v>
      </c>
      <c r="AK98" s="76">
        <f>AB$212-AB98</f>
        <v>-0.13499572504775753</v>
      </c>
      <c r="AM98" s="57">
        <f>$AD$212-AD98</f>
        <v>-0.25175445999272283</v>
      </c>
      <c r="AN98" s="106">
        <f>IF(AM98&lt;$AD$215,(AM98-$AD$215)*0.5683,0)</f>
        <v>-8.3396258183651345E-2</v>
      </c>
    </row>
    <row r="99" spans="1:40" x14ac:dyDescent="0.25">
      <c r="A99" s="17" t="s">
        <v>299</v>
      </c>
      <c r="B99" s="90" t="s">
        <v>300</v>
      </c>
      <c r="C99" s="88">
        <f>VLOOKUP($B$3:$B$210,Costdrivere!$B$3:$H$211,2,FALSE)</f>
        <v>228149.2825306592</v>
      </c>
      <c r="D99" s="46">
        <f>VLOOKUP($B$3:$B$210,Costdrivere!$B$3:$H$211,3,FALSE)</f>
        <v>564520.96600000001</v>
      </c>
      <c r="E99" s="23">
        <f>VLOOKUP($B$3:$B$210,Costdrivere!$B$3:$H$211,4,FALSE)</f>
        <v>248171</v>
      </c>
      <c r="F99" s="46">
        <f>VLOOKUP($B$3:$B$210,Costdrivere!$B$3:$H$211,5,FALSE)</f>
        <v>530157</v>
      </c>
      <c r="G99" s="23">
        <f>VLOOKUP($B$3:$B$210,Costdrivere!$B$3:$H$211,6,FALSE)</f>
        <v>330537.2</v>
      </c>
      <c r="H99" s="93">
        <f>VLOOKUP($B$3:$B$210,Costdrivere!$B$3:$H$211,7,FALSE)</f>
        <v>364613.2</v>
      </c>
      <c r="I99" s="27">
        <v>32.869603676372577</v>
      </c>
      <c r="J99" s="20">
        <f>VLOOKUP($B$3:$B$210,Costdrivere!$B$3:$I$211,8,FALSE)</f>
        <v>1.8580152671755727E-2</v>
      </c>
      <c r="K99" s="74">
        <f t="shared" si="20"/>
        <v>2266148.6485306593</v>
      </c>
      <c r="L99" s="89">
        <f t="shared" si="32"/>
        <v>2643808.8159862305</v>
      </c>
      <c r="M99" s="167">
        <f t="shared" si="21"/>
        <v>2181507.0623704283</v>
      </c>
      <c r="N99" s="74">
        <f>K99+VLOOKUP($B$3:$B$210,'Potentialer og krav'!$B$2:$F$209,5,FALSE)</f>
        <v>2266148.6485306593</v>
      </c>
      <c r="O99" s="160">
        <f t="shared" si="22"/>
        <v>2643808.8159862305</v>
      </c>
      <c r="P99" s="163">
        <f t="shared" si="23"/>
        <v>2181507.0623704283</v>
      </c>
      <c r="Q99" s="104">
        <f>N99+(0.25*VLOOKUP($B$3:$B$210,'Potentialer og krav'!$B$2:$C$209,2,FALSE))</f>
        <v>2690296.6485306593</v>
      </c>
      <c r="R99" s="53">
        <f>O99+(0.25*VLOOKUP($B$3:$B$210,'Potentialer og krav'!$B$2:$C$209,2,FALSE))</f>
        <v>3067956.8159862305</v>
      </c>
      <c r="S99" s="104">
        <f>P99+(0.25*VLOOKUP($B$3:$B$210,'Potentialer og krav'!$B$2:$C$209,2,FALSE))</f>
        <v>2605655.0623704283</v>
      </c>
      <c r="T99" s="84">
        <v>1396472</v>
      </c>
      <c r="U99" s="92">
        <f t="shared" si="24"/>
        <v>1417419.0799999998</v>
      </c>
      <c r="W99" s="70">
        <f t="shared" si="25"/>
        <v>0.10067710371894102</v>
      </c>
      <c r="X99" s="73">
        <f t="shared" si="26"/>
        <v>0.24911029837606988</v>
      </c>
      <c r="Y99" s="62">
        <f t="shared" si="27"/>
        <v>0.10951223352488848</v>
      </c>
      <c r="Z99" s="73">
        <f t="shared" si="28"/>
        <v>0.23394625959058191</v>
      </c>
      <c r="AA99" s="62">
        <f t="shared" si="29"/>
        <v>0.14585856943423192</v>
      </c>
      <c r="AB99" s="64">
        <f t="shared" si="30"/>
        <v>0.16089553535528678</v>
      </c>
      <c r="AC99" s="62"/>
      <c r="AD99" s="145">
        <f t="shared" si="31"/>
        <v>0.3067541047895187</v>
      </c>
      <c r="AF99" s="57">
        <f>W$212-W99</f>
        <v>1.7996301873976814E-2</v>
      </c>
      <c r="AG99" s="60">
        <f>X$212-X99</f>
        <v>4.0687698746998263E-2</v>
      </c>
      <c r="AH99" s="83">
        <f>Y$212-Y99</f>
        <v>-6.0317719588550381E-2</v>
      </c>
      <c r="AI99" s="60">
        <f>Z$212-Z99</f>
        <v>-2.6070567903010711E-3</v>
      </c>
      <c r="AJ99" s="83">
        <f>AA$212-AA99</f>
        <v>2.7863439319315009E-3</v>
      </c>
      <c r="AK99" s="76">
        <f>AB$212-AB99</f>
        <v>1.4544318259446798E-3</v>
      </c>
      <c r="AM99" s="57">
        <f>$AD$212-AD99</f>
        <v>4.2407757578762917E-3</v>
      </c>
      <c r="AN99" s="106">
        <f>IF(AM99&lt;$AD$215,(AM99-$AD$215)*0.5683,0)</f>
        <v>0</v>
      </c>
    </row>
    <row r="100" spans="1:40" x14ac:dyDescent="0.25">
      <c r="A100" s="17" t="s">
        <v>301</v>
      </c>
      <c r="B100" s="90" t="s">
        <v>302</v>
      </c>
      <c r="C100" s="88">
        <f>VLOOKUP($B$3:$B$210,Costdrivere!$B$3:$H$211,2,FALSE)</f>
        <v>234771.70518928458</v>
      </c>
      <c r="D100" s="46">
        <f>VLOOKUP($B$3:$B$210,Costdrivere!$B$3:$H$211,3,FALSE)</f>
        <v>595709.93400000001</v>
      </c>
      <c r="E100" s="23">
        <f>VLOOKUP($B$3:$B$210,Costdrivere!$B$3:$H$211,4,FALSE)</f>
        <v>144773</v>
      </c>
      <c r="F100" s="46">
        <f>VLOOKUP($B$3:$B$210,Costdrivere!$B$3:$H$211,5,FALSE)</f>
        <v>352089</v>
      </c>
      <c r="G100" s="23">
        <f>VLOOKUP($B$3:$B$210,Costdrivere!$B$3:$H$211,6,FALSE)</f>
        <v>282056.60000000003</v>
      </c>
      <c r="H100" s="93">
        <f>VLOOKUP($B$3:$B$210,Costdrivere!$B$3:$H$211,7,FALSE)</f>
        <v>311134.60000000003</v>
      </c>
      <c r="I100" s="27">
        <v>23.08</v>
      </c>
      <c r="J100" s="20">
        <f>VLOOKUP($B$3:$B$210,Costdrivere!$B$3:$I$211,8,FALSE)</f>
        <v>2.3873563218390806E-2</v>
      </c>
      <c r="K100" s="74">
        <f t="shared" si="20"/>
        <v>1920534.8391892847</v>
      </c>
      <c r="L100" s="89">
        <f t="shared" si="32"/>
        <v>1902174.526126635</v>
      </c>
      <c r="M100" s="167">
        <f t="shared" si="21"/>
        <v>1986492.8047018778</v>
      </c>
      <c r="N100" s="74">
        <f>K100+VLOOKUP($B$3:$B$210,'Potentialer og krav'!$B$2:$F$209,5,FALSE)</f>
        <v>1920534.8391892847</v>
      </c>
      <c r="O100" s="160">
        <f t="shared" si="22"/>
        <v>1902174.526126635</v>
      </c>
      <c r="P100" s="163">
        <f t="shared" si="23"/>
        <v>1986492.8047018778</v>
      </c>
      <c r="Q100" s="104">
        <f>N100+(0.25*VLOOKUP($B$3:$B$210,'Potentialer og krav'!$B$2:$C$209,2,FALSE))</f>
        <v>2339396.0891892845</v>
      </c>
      <c r="R100" s="53">
        <f>O100+(0.25*VLOOKUP($B$3:$B$210,'Potentialer og krav'!$B$2:$C$209,2,FALSE))</f>
        <v>2321035.7761266353</v>
      </c>
      <c r="S100" s="104">
        <f>P100+(0.25*VLOOKUP($B$3:$B$210,'Potentialer og krav'!$B$2:$C$209,2,FALSE))</f>
        <v>2405354.0547018778</v>
      </c>
      <c r="T100" s="84">
        <v>1969248</v>
      </c>
      <c r="U100" s="92">
        <f t="shared" si="24"/>
        <v>1998786.7199999997</v>
      </c>
      <c r="W100" s="70">
        <f t="shared" si="25"/>
        <v>0.12224287755612324</v>
      </c>
      <c r="X100" s="73">
        <f t="shared" si="26"/>
        <v>0.31017918646634235</v>
      </c>
      <c r="Y100" s="62">
        <f t="shared" si="27"/>
        <v>7.5381605709955779E-2</v>
      </c>
      <c r="Z100" s="73">
        <f t="shared" si="28"/>
        <v>0.18332861909895232</v>
      </c>
      <c r="AA100" s="62">
        <f t="shared" si="29"/>
        <v>0.14686356854586641</v>
      </c>
      <c r="AB100" s="64">
        <f t="shared" si="30"/>
        <v>0.16200414262275986</v>
      </c>
      <c r="AC100" s="62"/>
      <c r="AD100" s="145">
        <f t="shared" si="31"/>
        <v>0.30886771116862627</v>
      </c>
      <c r="AF100" s="57">
        <f>W$212-W100</f>
        <v>-3.5694719632054089E-3</v>
      </c>
      <c r="AG100" s="60">
        <f>X$212-X100</f>
        <v>-2.0381189343274209E-2</v>
      </c>
      <c r="AH100" s="83">
        <f>Y$212-Y100</f>
        <v>-2.6187091773617679E-2</v>
      </c>
      <c r="AI100" s="60">
        <f>Z$212-Z100</f>
        <v>4.8010583701328519E-2</v>
      </c>
      <c r="AJ100" s="83">
        <f>AA$212-AA100</f>
        <v>1.781344820297015E-3</v>
      </c>
      <c r="AK100" s="76">
        <f>AB$212-AB100</f>
        <v>3.4582455847159688E-4</v>
      </c>
      <c r="AM100" s="57">
        <f>$AD$212-AD100</f>
        <v>2.1271693787687229E-3</v>
      </c>
      <c r="AN100" s="106">
        <f>IF(AM100&lt;$AD$215,(AM100-$AD$215)*0.5683,0)</f>
        <v>0</v>
      </c>
    </row>
    <row r="101" spans="1:40" x14ac:dyDescent="0.25">
      <c r="A101" s="17" t="s">
        <v>303</v>
      </c>
      <c r="B101" s="90" t="s">
        <v>304</v>
      </c>
      <c r="C101" s="88">
        <f>VLOOKUP($B$3:$B$210,Costdrivere!$B$3:$H$211,2,FALSE)</f>
        <v>211587.77478613248</v>
      </c>
      <c r="D101" s="46">
        <f>VLOOKUP($B$3:$B$210,Costdrivere!$B$3:$H$211,3,FALSE)</f>
        <v>526060.59400000004</v>
      </c>
      <c r="E101" s="23">
        <f>VLOOKUP($B$3:$B$210,Costdrivere!$B$3:$H$211,4,FALSE)</f>
        <v>70906</v>
      </c>
      <c r="F101" s="46">
        <f>VLOOKUP($B$3:$B$210,Costdrivere!$B$3:$H$211,5,FALSE)</f>
        <v>161880</v>
      </c>
      <c r="G101" s="23">
        <f>VLOOKUP($B$3:$B$210,Costdrivere!$B$3:$H$211,6,FALSE)</f>
        <v>104022.8</v>
      </c>
      <c r="H101" s="93">
        <f>VLOOKUP($B$3:$B$210,Costdrivere!$B$3:$H$211,7,FALSE)</f>
        <v>115945.20000000001</v>
      </c>
      <c r="I101" s="27">
        <v>31.647380295078129</v>
      </c>
      <c r="J101" s="20">
        <f>VLOOKUP($B$3:$B$210,Costdrivere!$B$3:$I$211,8,FALSE)</f>
        <v>1.9349999999999999E-2</v>
      </c>
      <c r="K101" s="74">
        <f t="shared" si="20"/>
        <v>1190402.3687861324</v>
      </c>
      <c r="L101" s="89">
        <f t="shared" si="32"/>
        <v>1362597.4584964844</v>
      </c>
      <c r="M101" s="167">
        <f t="shared" si="21"/>
        <v>1158352.451569882</v>
      </c>
      <c r="N101" s="74">
        <f>K101+VLOOKUP($B$3:$B$210,'Potentialer og krav'!$B$2:$F$209,5,FALSE)</f>
        <v>1190402.3687861324</v>
      </c>
      <c r="O101" s="160">
        <f t="shared" si="22"/>
        <v>1362597.4584964844</v>
      </c>
      <c r="P101" s="163">
        <f t="shared" si="23"/>
        <v>1158352.451569882</v>
      </c>
      <c r="Q101" s="104">
        <f>N101+(0.25*VLOOKUP($B$3:$B$210,'Potentialer og krav'!$B$2:$C$209,2,FALSE))</f>
        <v>1431094.6187861324</v>
      </c>
      <c r="R101" s="53">
        <f>O101+(0.25*VLOOKUP($B$3:$B$210,'Potentialer og krav'!$B$2:$C$209,2,FALSE))</f>
        <v>1603289.7084964844</v>
      </c>
      <c r="S101" s="104">
        <f>P101+(0.25*VLOOKUP($B$3:$B$210,'Potentialer og krav'!$B$2:$C$209,2,FALSE))</f>
        <v>1399044.701569882</v>
      </c>
      <c r="T101" s="84">
        <v>1103566</v>
      </c>
      <c r="U101" s="92">
        <f t="shared" si="24"/>
        <v>1120119.49</v>
      </c>
      <c r="W101" s="70">
        <f t="shared" si="25"/>
        <v>0.17774475281151453</v>
      </c>
      <c r="X101" s="73">
        <f t="shared" si="26"/>
        <v>0.44191830241099933</v>
      </c>
      <c r="Y101" s="62">
        <f t="shared" si="27"/>
        <v>5.9564733622215232E-2</v>
      </c>
      <c r="Z101" s="73">
        <f t="shared" si="28"/>
        <v>0.13598763262296845</v>
      </c>
      <c r="AA101" s="62">
        <f t="shared" si="29"/>
        <v>8.7384570736425277E-2</v>
      </c>
      <c r="AB101" s="64">
        <f t="shared" si="30"/>
        <v>9.7400007795877222E-2</v>
      </c>
      <c r="AC101" s="62"/>
      <c r="AD101" s="145">
        <f t="shared" si="31"/>
        <v>0.18478457853230251</v>
      </c>
      <c r="AF101" s="57">
        <f>W$212-W101</f>
        <v>-5.9071347218596693E-2</v>
      </c>
      <c r="AG101" s="60">
        <f>X$212-X101</f>
        <v>-0.15212030528793119</v>
      </c>
      <c r="AH101" s="83">
        <f>Y$212-Y101</f>
        <v>-1.0370219685877133E-2</v>
      </c>
      <c r="AI101" s="60">
        <f>Z$212-Z101</f>
        <v>9.5351570177312384E-2</v>
      </c>
      <c r="AJ101" s="83">
        <f>AA$212-AA101</f>
        <v>6.1260342629738146E-2</v>
      </c>
      <c r="AK101" s="76">
        <f>AB$212-AB101</f>
        <v>6.4949959385354236E-2</v>
      </c>
      <c r="AM101" s="57">
        <f>$AD$212-AD101</f>
        <v>0.12621030201509248</v>
      </c>
      <c r="AN101" s="106">
        <f>IF(AM101&lt;$AD$215,(AM101-$AD$215)*0.5683,0)</f>
        <v>0</v>
      </c>
    </row>
    <row r="102" spans="1:40" x14ac:dyDescent="0.25">
      <c r="A102" s="17" t="s">
        <v>305</v>
      </c>
      <c r="B102" s="90" t="s">
        <v>306</v>
      </c>
      <c r="C102" s="88">
        <f>VLOOKUP($B$3:$B$210,Costdrivere!$B$3:$H$211,2,FALSE)</f>
        <v>608622.81553439412</v>
      </c>
      <c r="D102" s="46">
        <f>VLOOKUP($B$3:$B$210,Costdrivere!$B$3:$H$211,3,FALSE)</f>
        <v>1613878.9820000001</v>
      </c>
      <c r="E102" s="23">
        <f>VLOOKUP($B$3:$B$210,Costdrivere!$B$3:$H$211,4,FALSE)</f>
        <v>470640</v>
      </c>
      <c r="F102" s="46">
        <f>VLOOKUP($B$3:$B$210,Costdrivere!$B$3:$H$211,5,FALSE)</f>
        <v>1480219</v>
      </c>
      <c r="G102" s="23">
        <f>VLOOKUP($B$3:$B$210,Costdrivere!$B$3:$H$211,6,FALSE)</f>
        <v>878304.20000000007</v>
      </c>
      <c r="H102" s="93">
        <f>VLOOKUP($B$3:$B$210,Costdrivere!$B$3:$H$211,7,FALSE)</f>
        <v>975497.60000000009</v>
      </c>
      <c r="I102" s="27">
        <v>25.562696473828368</v>
      </c>
      <c r="J102" s="20">
        <f>VLOOKUP($B$3:$B$210,Costdrivere!$B$3:$I$211,8,FALSE)</f>
        <v>3.1765853658536583E-2</v>
      </c>
      <c r="K102" s="74">
        <f t="shared" si="20"/>
        <v>6027162.5975343939</v>
      </c>
      <c r="L102" s="89">
        <f t="shared" si="32"/>
        <v>6238887.999007564</v>
      </c>
      <c r="M102" s="167">
        <f t="shared" si="21"/>
        <v>6878419.2854771484</v>
      </c>
      <c r="N102" s="74">
        <f>K102+VLOOKUP($B$3:$B$210,'Potentialer og krav'!$B$2:$F$209,5,FALSE)</f>
        <v>6027162.5975343939</v>
      </c>
      <c r="O102" s="160">
        <f t="shared" si="22"/>
        <v>6238887.999007564</v>
      </c>
      <c r="P102" s="163">
        <f t="shared" si="23"/>
        <v>6878419.2854771484</v>
      </c>
      <c r="Q102" s="104">
        <f>N102+(0.25*VLOOKUP($B$3:$B$210,'Potentialer og krav'!$B$2:$C$209,2,FALSE))</f>
        <v>7376449.0975343939</v>
      </c>
      <c r="R102" s="53">
        <f>O102+(0.25*VLOOKUP($B$3:$B$210,'Potentialer og krav'!$B$2:$C$209,2,FALSE))</f>
        <v>7588174.499007564</v>
      </c>
      <c r="S102" s="104">
        <f>P102+(0.25*VLOOKUP($B$3:$B$210,'Potentialer og krav'!$B$2:$C$209,2,FALSE))</f>
        <v>8227705.7854771484</v>
      </c>
      <c r="T102" s="84">
        <v>4452407</v>
      </c>
      <c r="U102" s="92">
        <f t="shared" si="24"/>
        <v>4519193.1049999995</v>
      </c>
      <c r="W102" s="70">
        <f t="shared" si="25"/>
        <v>0.10097998945363959</v>
      </c>
      <c r="X102" s="73">
        <f t="shared" si="26"/>
        <v>0.26776761965243973</v>
      </c>
      <c r="Y102" s="62">
        <f t="shared" si="27"/>
        <v>7.8086494662103614E-2</v>
      </c>
      <c r="Z102" s="73">
        <f t="shared" si="28"/>
        <v>0.24559135016625094</v>
      </c>
      <c r="AA102" s="62">
        <f t="shared" si="29"/>
        <v>0.14572432480240352</v>
      </c>
      <c r="AB102" s="64">
        <f t="shared" si="30"/>
        <v>0.1618502212631627</v>
      </c>
      <c r="AC102" s="62"/>
      <c r="AD102" s="145">
        <f t="shared" si="31"/>
        <v>0.30757454606556622</v>
      </c>
      <c r="AF102" s="57">
        <f>W$212-W102</f>
        <v>1.7693416139278245E-2</v>
      </c>
      <c r="AG102" s="60">
        <f>X$212-X102</f>
        <v>2.2030377470628415E-2</v>
      </c>
      <c r="AH102" s="83">
        <f>Y$212-Y102</f>
        <v>-2.8891980725765515E-2</v>
      </c>
      <c r="AI102" s="60">
        <f>Z$212-Z102</f>
        <v>-1.4252147365970108E-2</v>
      </c>
      <c r="AJ102" s="83">
        <f>AA$212-AA102</f>
        <v>2.9205885637599016E-3</v>
      </c>
      <c r="AK102" s="76">
        <f>AB$212-AB102</f>
        <v>4.9974591806875579E-4</v>
      </c>
      <c r="AM102" s="57">
        <f>$AD$212-AD102</f>
        <v>3.4203344818287684E-3</v>
      </c>
      <c r="AN102" s="106">
        <f>IF(AM102&lt;$AD$215,(AM102-$AD$215)*0.5683,0)</f>
        <v>0</v>
      </c>
    </row>
    <row r="103" spans="1:40" x14ac:dyDescent="0.25">
      <c r="A103" s="17" t="s">
        <v>45</v>
      </c>
      <c r="B103" s="90" t="s">
        <v>307</v>
      </c>
      <c r="C103" s="88">
        <f>VLOOKUP($B$3:$B$210,Costdrivere!$B$3:$H$211,2,FALSE)</f>
        <v>0</v>
      </c>
      <c r="D103" s="46">
        <f>VLOOKUP($B$3:$B$210,Costdrivere!$B$3:$H$211,3,FALSE)</f>
        <v>0</v>
      </c>
      <c r="E103" s="23">
        <f>VLOOKUP($B$3:$B$210,Costdrivere!$B$3:$H$211,4,FALSE)</f>
        <v>35453</v>
      </c>
      <c r="F103" s="46">
        <f>VLOOKUP($B$3:$B$210,Costdrivere!$B$3:$H$211,5,FALSE)</f>
        <v>1279401</v>
      </c>
      <c r="G103" s="23">
        <f>VLOOKUP($B$3:$B$210,Costdrivere!$B$3:$H$211,6,FALSE)</f>
        <v>713366.4</v>
      </c>
      <c r="H103" s="93">
        <f>VLOOKUP($B$3:$B$210,Costdrivere!$B$3:$H$211,7,FALSE)</f>
        <v>554409.80000000005</v>
      </c>
      <c r="I103" s="27">
        <v>37.532936430860644</v>
      </c>
      <c r="J103" s="20">
        <f>VLOOKUP($B$3:$B$210,Costdrivere!$B$3:$I$211,8,FALSE)</f>
        <v>4.9346666666666664E-2</v>
      </c>
      <c r="K103" s="74">
        <f t="shared" si="20"/>
        <v>2582630.2000000002</v>
      </c>
      <c r="L103" s="89">
        <f t="shared" si="32"/>
        <v>3229818.8771783765</v>
      </c>
      <c r="M103" s="167">
        <f t="shared" si="21"/>
        <v>3562354.2032665173</v>
      </c>
      <c r="N103" s="74">
        <f>K103+VLOOKUP($B$3:$B$210,'Potentialer og krav'!$B$2:$F$209,5,FALSE)</f>
        <v>2645433.2000000002</v>
      </c>
      <c r="O103" s="160">
        <f t="shared" si="22"/>
        <v>3308359.8602983886</v>
      </c>
      <c r="P103" s="163">
        <f t="shared" si="23"/>
        <v>3648981.6000296106</v>
      </c>
      <c r="Q103" s="104">
        <f>N103+(0.25*VLOOKUP($B$3:$B$210,'Potentialer og krav'!$B$2:$C$209,2,FALSE))</f>
        <v>4297279.95</v>
      </c>
      <c r="R103" s="53">
        <f>O103+(0.25*VLOOKUP($B$3:$B$210,'Potentialer og krav'!$B$2:$C$209,2,FALSE))</f>
        <v>4960206.6102983886</v>
      </c>
      <c r="S103" s="104">
        <f>P103+(0.25*VLOOKUP($B$3:$B$210,'Potentialer og krav'!$B$2:$C$209,2,FALSE))</f>
        <v>5300828.3500296101</v>
      </c>
      <c r="T103" s="84">
        <v>3306152</v>
      </c>
      <c r="U103" s="92">
        <f t="shared" si="24"/>
        <v>3355744.28</v>
      </c>
      <c r="W103" s="70">
        <f t="shared" si="25"/>
        <v>0</v>
      </c>
      <c r="X103" s="73">
        <f t="shared" si="26"/>
        <v>0</v>
      </c>
      <c r="Y103" s="62">
        <f t="shared" si="27"/>
        <v>1.3727478289381111E-2</v>
      </c>
      <c r="Z103" s="73">
        <f t="shared" si="28"/>
        <v>0.49538683470827527</v>
      </c>
      <c r="AA103" s="62">
        <f t="shared" si="29"/>
        <v>0.27621701318291714</v>
      </c>
      <c r="AB103" s="64">
        <f t="shared" si="30"/>
        <v>0.21466867381942642</v>
      </c>
      <c r="AC103" s="62"/>
      <c r="AD103" s="145">
        <f t="shared" si="31"/>
        <v>0.49088568700234358</v>
      </c>
      <c r="AF103" s="57">
        <f>W$212-W103</f>
        <v>0.11867340559291784</v>
      </c>
      <c r="AG103" s="60">
        <f>X$212-X103</f>
        <v>0.28979799712306814</v>
      </c>
      <c r="AH103" s="83">
        <f>Y$212-Y103</f>
        <v>3.5467035646956989E-2</v>
      </c>
      <c r="AI103" s="60">
        <f>Z$212-Z103</f>
        <v>-0.26404763190799441</v>
      </c>
      <c r="AJ103" s="83">
        <f>AA$212-AA103</f>
        <v>-0.12757209981675371</v>
      </c>
      <c r="AK103" s="76">
        <f>AB$212-AB103</f>
        <v>-5.2318706638194962E-2</v>
      </c>
      <c r="AM103" s="57">
        <f>$AD$212-AD103</f>
        <v>-0.17989080645494859</v>
      </c>
      <c r="AN103" s="106">
        <f>IF(AM103&lt;$AD$215,(AM103-$AD$215)*0.5683,0)</f>
        <v>-4.2556143878134244E-2</v>
      </c>
    </row>
    <row r="104" spans="1:40" x14ac:dyDescent="0.25">
      <c r="A104" s="17" t="s">
        <v>483</v>
      </c>
      <c r="B104" s="90" t="s">
        <v>308</v>
      </c>
      <c r="C104" s="88">
        <f>VLOOKUP($B$3:$B$210,Costdrivere!$B$3:$H$211,2,FALSE)</f>
        <v>84558.162785417764</v>
      </c>
      <c r="D104" s="46">
        <f>VLOOKUP($B$3:$B$210,Costdrivere!$B$3:$H$211,3,FALSE)</f>
        <v>199176.46599999999</v>
      </c>
      <c r="E104" s="23">
        <f>VLOOKUP($B$3:$B$210,Costdrivere!$B$3:$H$211,4,FALSE)</f>
        <v>177265</v>
      </c>
      <c r="F104" s="46">
        <f>VLOOKUP($B$3:$B$210,Costdrivere!$B$3:$H$211,5,FALSE)</f>
        <v>485640</v>
      </c>
      <c r="G104" s="23">
        <f>VLOOKUP($B$3:$B$210,Costdrivere!$B$3:$H$211,6,FALSE)</f>
        <v>115022.6</v>
      </c>
      <c r="H104" s="93">
        <f>VLOOKUP($B$3:$B$210,Costdrivere!$B$3:$H$211,7,FALSE)</f>
        <v>159836.6</v>
      </c>
      <c r="I104" s="27">
        <v>33.002514003356957</v>
      </c>
      <c r="J104" s="20">
        <f>VLOOKUP($B$3:$B$210,Costdrivere!$B$3:$I$211,8,FALSE)</f>
        <v>8.8916666666666675E-3</v>
      </c>
      <c r="K104" s="74">
        <f t="shared" si="20"/>
        <v>1221498.8287854178</v>
      </c>
      <c r="L104" s="89">
        <f t="shared" si="32"/>
        <v>1427987.4061889627</v>
      </c>
      <c r="M104" s="167">
        <f t="shared" si="21"/>
        <v>1015589.2239852102</v>
      </c>
      <c r="N104" s="74">
        <f>K104+VLOOKUP($B$3:$B$210,'Potentialer og krav'!$B$2:$F$209,5,FALSE)</f>
        <v>1221498.8287854178</v>
      </c>
      <c r="O104" s="160">
        <f t="shared" si="22"/>
        <v>1427987.4061889627</v>
      </c>
      <c r="P104" s="163">
        <f t="shared" si="23"/>
        <v>1015589.2239852102</v>
      </c>
      <c r="Q104" s="104">
        <f>N104+(0.25*VLOOKUP($B$3:$B$210,'Potentialer og krav'!$B$2:$C$209,2,FALSE))</f>
        <v>1452824.8287854178</v>
      </c>
      <c r="R104" s="53">
        <f>O104+(0.25*VLOOKUP($B$3:$B$210,'Potentialer og krav'!$B$2:$C$209,2,FALSE))</f>
        <v>1659313.4061889627</v>
      </c>
      <c r="S104" s="104">
        <f>P104+(0.25*VLOOKUP($B$3:$B$210,'Potentialer og krav'!$B$2:$C$209,2,FALSE))</f>
        <v>1246915.2239852101</v>
      </c>
      <c r="T104" s="84">
        <v>723636</v>
      </c>
      <c r="U104" s="92">
        <f t="shared" si="24"/>
        <v>734490.53999999992</v>
      </c>
      <c r="W104" s="70">
        <f t="shared" si="25"/>
        <v>6.9224923342331088E-2</v>
      </c>
      <c r="X104" s="73">
        <f t="shared" si="26"/>
        <v>0.16305907243320783</v>
      </c>
      <c r="Y104" s="62">
        <f t="shared" si="27"/>
        <v>0.14512089231903827</v>
      </c>
      <c r="Z104" s="73">
        <f t="shared" si="28"/>
        <v>0.39757713110776383</v>
      </c>
      <c r="AA104" s="62">
        <f t="shared" si="29"/>
        <v>9.4165133268585527E-2</v>
      </c>
      <c r="AB104" s="64">
        <f t="shared" si="30"/>
        <v>0.13085284752907339</v>
      </c>
      <c r="AC104" s="62"/>
      <c r="AD104" s="145">
        <f t="shared" si="31"/>
        <v>0.22501798079765892</v>
      </c>
      <c r="AF104" s="57">
        <f>W$212-W104</f>
        <v>4.9448482250586748E-2</v>
      </c>
      <c r="AG104" s="60">
        <f>X$212-X104</f>
        <v>0.12673892468986031</v>
      </c>
      <c r="AH104" s="83">
        <f>Y$212-Y104</f>
        <v>-9.592637838270017E-2</v>
      </c>
      <c r="AI104" s="60">
        <f>Z$212-Z104</f>
        <v>-0.16623792830748299</v>
      </c>
      <c r="AJ104" s="83">
        <f>AA$212-AA104</f>
        <v>5.4479780097577896E-2</v>
      </c>
      <c r="AK104" s="76">
        <f>AB$212-AB104</f>
        <v>3.1497119652158068E-2</v>
      </c>
      <c r="AM104" s="57">
        <f>$AD$212-AD104</f>
        <v>8.5976899749736074E-2</v>
      </c>
      <c r="AN104" s="106">
        <f>IF(AM104&lt;$AD$215,(AM104-$AD$215)*0.5683,0)</f>
        <v>0</v>
      </c>
    </row>
    <row r="105" spans="1:40" x14ac:dyDescent="0.25">
      <c r="A105" s="17" t="s">
        <v>309</v>
      </c>
      <c r="B105" s="90" t="s">
        <v>310</v>
      </c>
      <c r="C105" s="88">
        <f>VLOOKUP($B$3:$B$210,Costdrivere!$B$3:$H$211,2,FALSE)</f>
        <v>152257.06494759099</v>
      </c>
      <c r="D105" s="46">
        <f>VLOOKUP($B$3:$B$210,Costdrivere!$B$3:$H$211,3,FALSE)</f>
        <v>173593.59599999999</v>
      </c>
      <c r="E105" s="23">
        <f>VLOOKUP($B$3:$B$210,Costdrivere!$B$3:$H$211,4,FALSE)</f>
        <v>180226</v>
      </c>
      <c r="F105" s="46">
        <f>VLOOKUP($B$3:$B$210,Costdrivere!$B$3:$H$211,5,FALSE)</f>
        <v>339543.30000000005</v>
      </c>
      <c r="G105" s="23">
        <f>VLOOKUP($B$3:$B$210,Costdrivere!$B$3:$H$211,6,FALSE)</f>
        <v>365166.2</v>
      </c>
      <c r="H105" s="93">
        <f>VLOOKUP($B$3:$B$210,Costdrivere!$B$3:$H$211,7,FALSE)</f>
        <v>402812.2</v>
      </c>
      <c r="I105" s="27">
        <v>23.35</v>
      </c>
      <c r="J105" s="20">
        <f>VLOOKUP($B$3:$B$210,Costdrivere!$B$3:$I$211,8,FALSE)</f>
        <v>3.205005959475566E-2</v>
      </c>
      <c r="K105" s="74">
        <f>SUM(C105:H105)</f>
        <v>1613598.360947591</v>
      </c>
      <c r="L105" s="89">
        <f>IF(I105=0,K105,((0.575+0.018*I105)*K105))</f>
        <v>1606014.4486511373</v>
      </c>
      <c r="M105" s="167">
        <f>IF(J105=0,K105,(0.711+13.544*J105)*K105)</f>
        <v>1847708.9042834733</v>
      </c>
      <c r="N105" s="74">
        <f>K105+VLOOKUP($B$3:$B$210,'Potentialer og krav'!$B$2:$F$209,5,FALSE)</f>
        <v>1613598.360947591</v>
      </c>
      <c r="O105" s="160">
        <f t="shared" ref="O105" si="33">IF(I105=0,N105,((0.575+0.018*I105)*N105))</f>
        <v>1606014.4486511373</v>
      </c>
      <c r="P105" s="163">
        <f t="shared" ref="P105" si="34">IF(J105=0,N105,((0.711+13.544*J105)*N105))</f>
        <v>1847708.9042834733</v>
      </c>
      <c r="Q105" s="104">
        <f>N105+(0.25*VLOOKUP($B$3:$B$210,'Potentialer og krav'!$B$2:$C$209,2,FALSE))</f>
        <v>1839442.110947591</v>
      </c>
      <c r="R105" s="53">
        <f>O105+(0.25*VLOOKUP($B$3:$B$210,'Potentialer og krav'!$B$2:$C$209,2,FALSE))</f>
        <v>1831858.1986511373</v>
      </c>
      <c r="S105" s="104">
        <f>P105+(0.25*VLOOKUP($B$3:$B$210,'Potentialer og krav'!$B$2:$C$209,2,FALSE))</f>
        <v>2073552.6542834733</v>
      </c>
      <c r="T105" s="84">
        <v>872154</v>
      </c>
      <c r="U105" s="92">
        <f t="shared" si="24"/>
        <v>885236.30999999994</v>
      </c>
      <c r="W105" s="70">
        <f t="shared" ref="W105" si="35">C105/(SUM($C105:$H105))</f>
        <v>9.4358713191910734E-2</v>
      </c>
      <c r="X105" s="73">
        <f t="shared" ref="X105" si="36">D105/(SUM($C105:$H105))</f>
        <v>0.10758166356716957</v>
      </c>
      <c r="Y105" s="62">
        <f t="shared" ref="Y105" si="37">E105/(SUM($C105:$H105))</f>
        <v>0.11169198256631946</v>
      </c>
      <c r="Z105" s="73">
        <f t="shared" ref="Z105" si="38">F105/(SUM($C105:$H105))</f>
        <v>0.21042615573840948</v>
      </c>
      <c r="AA105" s="62">
        <f t="shared" ref="AA105" si="39">G105/(SUM($C105:$H105))</f>
        <v>0.22630550999416915</v>
      </c>
      <c r="AB105" s="64">
        <f t="shared" ref="AB105" si="40">H105/(SUM($C105:$H105))</f>
        <v>0.24963597494202164</v>
      </c>
      <c r="AC105" s="62"/>
      <c r="AD105" s="145">
        <f>SUM(AA105:AB105)</f>
        <v>0.47594148493619082</v>
      </c>
      <c r="AF105" s="57">
        <f>W$212-W105</f>
        <v>2.4314692401007101E-2</v>
      </c>
      <c r="AG105" s="60">
        <f>X$212-X105</f>
        <v>0.18221633355589856</v>
      </c>
      <c r="AH105" s="83">
        <f>Y$212-Y105</f>
        <v>-6.2497468629981359E-2</v>
      </c>
      <c r="AI105" s="60">
        <f>Z$212-Z105</f>
        <v>2.0913047061871359E-2</v>
      </c>
      <c r="AJ105" s="83">
        <f>AA$212-AA105</f>
        <v>-7.7660596628005729E-2</v>
      </c>
      <c r="AK105" s="76">
        <f>AB$212-AB105</f>
        <v>-8.728600776079018E-2</v>
      </c>
      <c r="AM105" s="57">
        <f>$AD$212-AD105</f>
        <v>-0.16494660438879583</v>
      </c>
      <c r="AN105" s="106">
        <f>IF(AM105&lt;$AD$215,(AM105-$AD$215)*0.5683,0)</f>
        <v>-3.4063353843939624E-2</v>
      </c>
    </row>
    <row r="106" spans="1:40" x14ac:dyDescent="0.25">
      <c r="A106" s="17" t="s">
        <v>39</v>
      </c>
      <c r="B106" s="90" t="s">
        <v>311</v>
      </c>
      <c r="C106" s="88">
        <f>VLOOKUP($B$3:$B$210,Costdrivere!$B$3:$H$211,2,FALSE)</f>
        <v>169462.69959267048</v>
      </c>
      <c r="D106" s="46">
        <f>VLOOKUP($B$3:$B$210,Costdrivere!$B$3:$H$211,3,FALSE)</f>
        <v>419279.99400000001</v>
      </c>
      <c r="E106" s="23">
        <f>VLOOKUP($B$3:$B$210,Costdrivere!$B$3:$H$211,4,FALSE)</f>
        <v>0</v>
      </c>
      <c r="F106" s="46">
        <f>VLOOKUP($B$3:$B$210,Costdrivere!$B$3:$H$211,5,FALSE)</f>
        <v>178068</v>
      </c>
      <c r="G106" s="23">
        <f>VLOOKUP($B$3:$B$210,Costdrivere!$B$3:$H$211,6,FALSE)</f>
        <v>263316.2</v>
      </c>
      <c r="H106" s="93">
        <f>VLOOKUP($B$3:$B$210,Costdrivere!$B$3:$H$211,7,FALSE)</f>
        <v>290462.2</v>
      </c>
      <c r="I106" s="27">
        <v>34.775350008373394</v>
      </c>
      <c r="J106" s="20">
        <f>VLOOKUP($B$3:$B$210,Costdrivere!$B$3:$I$211,8,FALSE)</f>
        <v>4.4068181818181819E-2</v>
      </c>
      <c r="K106" s="74">
        <f t="shared" si="20"/>
        <v>1320589.0935926705</v>
      </c>
      <c r="L106" s="89">
        <f t="shared" si="32"/>
        <v>1585969.7918604475</v>
      </c>
      <c r="M106" s="167">
        <f t="shared" si="21"/>
        <v>1727144.9316247862</v>
      </c>
      <c r="N106" s="74">
        <f>K106+VLOOKUP($B$3:$B$210,'Potentialer og krav'!$B$2:$F$209,5,FALSE)</f>
        <v>1349156.0935926705</v>
      </c>
      <c r="O106" s="160">
        <f t="shared" si="22"/>
        <v>1620277.5104868533</v>
      </c>
      <c r="P106" s="163">
        <f t="shared" si="23"/>
        <v>1764506.5526627861</v>
      </c>
      <c r="Q106" s="104">
        <f>N106+(0.25*VLOOKUP($B$3:$B$210,'Potentialer og krav'!$B$2:$C$209,2,FALSE))</f>
        <v>1846627.8435926705</v>
      </c>
      <c r="R106" s="53">
        <f>O106+(0.25*VLOOKUP($B$3:$B$210,'Potentialer og krav'!$B$2:$C$209,2,FALSE))</f>
        <v>2117749.2604868533</v>
      </c>
      <c r="S106" s="104">
        <f>P106+(0.25*VLOOKUP($B$3:$B$210,'Potentialer og krav'!$B$2:$C$209,2,FALSE))</f>
        <v>2261978.3026627861</v>
      </c>
      <c r="T106" s="84">
        <v>1984759</v>
      </c>
      <c r="U106" s="92">
        <f t="shared" si="24"/>
        <v>2014530.3849999998</v>
      </c>
      <c r="W106" s="70">
        <f t="shared" si="25"/>
        <v>0.12832356439628484</v>
      </c>
      <c r="X106" s="73">
        <f t="shared" si="26"/>
        <v>0.31749466661075193</v>
      </c>
      <c r="Y106" s="62">
        <f t="shared" si="27"/>
        <v>0</v>
      </c>
      <c r="Z106" s="73">
        <f t="shared" si="28"/>
        <v>0.13483982327581168</v>
      </c>
      <c r="AA106" s="62">
        <f t="shared" si="29"/>
        <v>0.19939298399295932</v>
      </c>
      <c r="AB106" s="64">
        <f t="shared" si="30"/>
        <v>0.21994896172419223</v>
      </c>
      <c r="AC106" s="62"/>
      <c r="AD106" s="145">
        <f t="shared" si="31"/>
        <v>0.41934194571715155</v>
      </c>
      <c r="AF106" s="57">
        <f>W$212-W106</f>
        <v>-9.6501588033670038E-3</v>
      </c>
      <c r="AG106" s="60">
        <f>X$212-X106</f>
        <v>-2.7696669487683789E-2</v>
      </c>
      <c r="AH106" s="83">
        <f>Y$212-Y106</f>
        <v>4.91945139363381E-2</v>
      </c>
      <c r="AI106" s="60">
        <f>Z$212-Z106</f>
        <v>9.6499379524469159E-2</v>
      </c>
      <c r="AJ106" s="83">
        <f>AA$212-AA106</f>
        <v>-5.0748070626795899E-2</v>
      </c>
      <c r="AK106" s="76">
        <f>AB$212-AB106</f>
        <v>-5.7598994542960774E-2</v>
      </c>
      <c r="AM106" s="57">
        <f>$AD$212-AD106</f>
        <v>-0.10834706516975656</v>
      </c>
      <c r="AN106" s="106">
        <f>IF(AM106&lt;$AD$215,(AM106-$AD$215)*0.5683,0)</f>
        <v>-1.8978357057596108E-3</v>
      </c>
    </row>
    <row r="107" spans="1:40" x14ac:dyDescent="0.25">
      <c r="A107" s="17" t="s">
        <v>312</v>
      </c>
      <c r="B107" s="90" t="s">
        <v>313</v>
      </c>
      <c r="C107" s="88">
        <f>VLOOKUP($B$3:$B$210,Costdrivere!$B$3:$H$211,2,FALSE)</f>
        <v>0</v>
      </c>
      <c r="D107" s="46">
        <f>VLOOKUP($B$3:$B$210,Costdrivere!$B$3:$H$211,3,FALSE)</f>
        <v>4388823.8059999999</v>
      </c>
      <c r="E107" s="23">
        <f>VLOOKUP($B$3:$B$210,Costdrivere!$B$3:$H$211,4,FALSE)</f>
        <v>0</v>
      </c>
      <c r="F107" s="46">
        <f>VLOOKUP($B$3:$B$210,Costdrivere!$B$3:$H$211,5,FALSE)</f>
        <v>0</v>
      </c>
      <c r="G107" s="23">
        <f>VLOOKUP($B$3:$B$210,Costdrivere!$B$3:$H$211,6,FALSE)</f>
        <v>950.60000000000014</v>
      </c>
      <c r="H107" s="93">
        <f>VLOOKUP($B$3:$B$210,Costdrivere!$B$3:$H$211,7,FALSE)</f>
        <v>1348.2</v>
      </c>
      <c r="I107" s="27">
        <v>12.245865347050398</v>
      </c>
      <c r="J107" s="20">
        <f>VLOOKUP($B$3:$B$210,Costdrivere!$B$3:$I$211,8,FALSE)</f>
        <v>0</v>
      </c>
      <c r="K107" s="74">
        <f t="shared" si="20"/>
        <v>4391122.6059999997</v>
      </c>
      <c r="L107" s="89">
        <f t="shared" si="32"/>
        <v>3492811.22924837</v>
      </c>
      <c r="M107" s="167">
        <f t="shared" si="21"/>
        <v>4391122.6059999997</v>
      </c>
      <c r="N107" s="74">
        <f>K107+VLOOKUP($B$3:$B$210,'Potentialer og krav'!$B$2:$F$209,5,FALSE)</f>
        <v>6437949.6059999997</v>
      </c>
      <c r="O107" s="160">
        <f t="shared" si="22"/>
        <v>5120909.7752010981</v>
      </c>
      <c r="P107" s="163">
        <f t="shared" si="23"/>
        <v>6437949.6059999997</v>
      </c>
      <c r="Q107" s="104">
        <f>N107+(0.25*VLOOKUP($B$3:$B$210,'Potentialer og krav'!$B$2:$C$209,2,FALSE))</f>
        <v>7765657.8559999997</v>
      </c>
      <c r="R107" s="53">
        <f>O107+(0.25*VLOOKUP($B$3:$B$210,'Potentialer og krav'!$B$2:$C$209,2,FALSE))</f>
        <v>6448618.0252010981</v>
      </c>
      <c r="S107" s="104">
        <f>P107+(0.25*VLOOKUP($B$3:$B$210,'Potentialer og krav'!$B$2:$C$209,2,FALSE))</f>
        <v>7765657.8559999997</v>
      </c>
      <c r="T107" s="84">
        <v>5468167</v>
      </c>
      <c r="U107" s="92">
        <f t="shared" si="24"/>
        <v>5550189.5049999999</v>
      </c>
      <c r="W107" s="70">
        <f t="shared" si="25"/>
        <v>0</v>
      </c>
      <c r="X107" s="73">
        <f t="shared" si="26"/>
        <v>0.99947648922467824</v>
      </c>
      <c r="Y107" s="62">
        <f t="shared" si="27"/>
        <v>0</v>
      </c>
      <c r="Z107" s="73">
        <f t="shared" si="28"/>
        <v>0</v>
      </c>
      <c r="AA107" s="62">
        <f t="shared" si="29"/>
        <v>2.1648222682306954E-4</v>
      </c>
      <c r="AB107" s="64">
        <f t="shared" si="30"/>
        <v>3.07028548498698E-4</v>
      </c>
      <c r="AC107" s="62"/>
      <c r="AD107" s="145">
        <f t="shared" si="31"/>
        <v>5.2351077532176754E-4</v>
      </c>
      <c r="AF107" s="57">
        <f>W$212-W107</f>
        <v>0.11867340559291784</v>
      </c>
      <c r="AG107" s="60">
        <f>X$212-X107</f>
        <v>-0.70967849210161016</v>
      </c>
      <c r="AH107" s="83">
        <f>Y$212-Y107</f>
        <v>4.91945139363381E-2</v>
      </c>
      <c r="AI107" s="60">
        <f>Z$212-Z107</f>
        <v>0.23133920280028084</v>
      </c>
      <c r="AJ107" s="83">
        <f>AA$212-AA107</f>
        <v>0.14842843113934034</v>
      </c>
      <c r="AK107" s="76">
        <f>AB$212-AB107</f>
        <v>0.16204293863273275</v>
      </c>
      <c r="AM107" s="57">
        <f>$AD$212-AD107</f>
        <v>0.31047136977207324</v>
      </c>
      <c r="AN107" s="106">
        <f>IF(AM107&lt;$AD$215,(AM107-$AD$215)*0.5683,0)</f>
        <v>0</v>
      </c>
    </row>
    <row r="108" spans="1:40" x14ac:dyDescent="0.25">
      <c r="A108" s="17" t="s">
        <v>40</v>
      </c>
      <c r="B108" s="90" t="s">
        <v>314</v>
      </c>
      <c r="C108" s="88">
        <f>VLOOKUP($B$3:$B$210,Costdrivere!$B$3:$H$211,2,FALSE)</f>
        <v>776688.55791999144</v>
      </c>
      <c r="D108" s="46">
        <f>VLOOKUP($B$3:$B$210,Costdrivere!$B$3:$H$211,3,FALSE)</f>
        <v>4269304.53</v>
      </c>
      <c r="E108" s="23">
        <f>VLOOKUP($B$3:$B$210,Costdrivere!$B$3:$H$211,4,FALSE)</f>
        <v>249757</v>
      </c>
      <c r="F108" s="46">
        <f>VLOOKUP($B$3:$B$210,Costdrivere!$B$3:$H$211,5,FALSE)</f>
        <v>1125066</v>
      </c>
      <c r="G108" s="23">
        <f>VLOOKUP($B$3:$B$210,Costdrivere!$B$3:$H$211,6,FALSE)</f>
        <v>549582.60000000009</v>
      </c>
      <c r="H108" s="93">
        <f>VLOOKUP($B$3:$B$210,Costdrivere!$B$3:$H$211,7,FALSE)</f>
        <v>623168</v>
      </c>
      <c r="I108" s="27">
        <v>27.646411388720676</v>
      </c>
      <c r="J108" s="20">
        <f>VLOOKUP($B$3:$B$210,Costdrivere!$B$3:$I$211,8,FALSE)</f>
        <v>1.4964028776978418E-2</v>
      </c>
      <c r="K108" s="74">
        <f t="shared" si="20"/>
        <v>7593566.6879199911</v>
      </c>
      <c r="L108" s="89">
        <f t="shared" si="32"/>
        <v>8145128.4796685744</v>
      </c>
      <c r="M108" s="167">
        <f t="shared" si="21"/>
        <v>6938035.3814425655</v>
      </c>
      <c r="N108" s="74">
        <f>K108+VLOOKUP($B$3:$B$210,'Potentialer og krav'!$B$2:$F$209,5,FALSE)</f>
        <v>7593566.6879199911</v>
      </c>
      <c r="O108" s="160">
        <f t="shared" si="22"/>
        <v>8145128.4796685744</v>
      </c>
      <c r="P108" s="163">
        <f t="shared" si="23"/>
        <v>6938035.3814425655</v>
      </c>
      <c r="Q108" s="104">
        <f>N108+(0.25*VLOOKUP($B$3:$B$210,'Potentialer og krav'!$B$2:$C$209,2,FALSE))</f>
        <v>9644541.1879199911</v>
      </c>
      <c r="R108" s="53">
        <f>O108+(0.25*VLOOKUP($B$3:$B$210,'Potentialer og krav'!$B$2:$C$209,2,FALSE))</f>
        <v>10196102.979668574</v>
      </c>
      <c r="S108" s="104">
        <f>P108+(0.25*VLOOKUP($B$3:$B$210,'Potentialer og krav'!$B$2:$C$209,2,FALSE))</f>
        <v>8989009.8814425655</v>
      </c>
      <c r="T108" s="84">
        <v>7700578</v>
      </c>
      <c r="U108" s="92">
        <f t="shared" si="24"/>
        <v>7816086.669999999</v>
      </c>
      <c r="W108" s="70">
        <f t="shared" si="25"/>
        <v>0.10228244378963107</v>
      </c>
      <c r="X108" s="73">
        <f t="shared" si="26"/>
        <v>0.56222651429290815</v>
      </c>
      <c r="Y108" s="62">
        <f t="shared" si="27"/>
        <v>3.2890604674259173E-2</v>
      </c>
      <c r="Z108" s="73">
        <f t="shared" si="28"/>
        <v>0.14816041607822833</v>
      </c>
      <c r="AA108" s="62">
        <f t="shared" si="29"/>
        <v>7.2374764400803634E-2</v>
      </c>
      <c r="AB108" s="64">
        <f t="shared" si="30"/>
        <v>8.2065256764169731E-2</v>
      </c>
      <c r="AC108" s="62"/>
      <c r="AD108" s="145">
        <f t="shared" si="31"/>
        <v>0.15444002116497335</v>
      </c>
      <c r="AF108" s="57">
        <f>W$212-W108</f>
        <v>1.6390961803286766E-2</v>
      </c>
      <c r="AG108" s="60">
        <f>X$212-X108</f>
        <v>-0.27242851716984001</v>
      </c>
      <c r="AH108" s="83">
        <f>Y$212-Y108</f>
        <v>1.6303909262078926E-2</v>
      </c>
      <c r="AI108" s="60">
        <f>Z$212-Z108</f>
        <v>8.3178786722052506E-2</v>
      </c>
      <c r="AJ108" s="83">
        <f>AA$212-AA108</f>
        <v>7.6270148965359788E-2</v>
      </c>
      <c r="AK108" s="76">
        <f>AB$212-AB108</f>
        <v>8.0284710417061728E-2</v>
      </c>
      <c r="AM108" s="57">
        <f>$AD$212-AD108</f>
        <v>0.15655485938242164</v>
      </c>
      <c r="AN108" s="106">
        <f>IF(AM108&lt;$AD$215,(AM108-$AD$215)*0.5683,0)</f>
        <v>0</v>
      </c>
    </row>
    <row r="109" spans="1:40" x14ac:dyDescent="0.25">
      <c r="A109" s="17" t="s">
        <v>315</v>
      </c>
      <c r="B109" s="90" t="s">
        <v>316</v>
      </c>
      <c r="C109" s="88">
        <f>VLOOKUP($B$3:$B$210,Costdrivere!$B$3:$H$211,2,FALSE)</f>
        <v>400402.09089473984</v>
      </c>
      <c r="D109" s="46">
        <f>VLOOKUP($B$3:$B$210,Costdrivere!$B$3:$H$211,3,FALSE)</f>
        <v>1330333.811</v>
      </c>
      <c r="E109" s="23">
        <f>VLOOKUP($B$3:$B$210,Costdrivere!$B$3:$H$211,4,FALSE)</f>
        <v>795428</v>
      </c>
      <c r="F109" s="46">
        <f>VLOOKUP($B$3:$B$210,Costdrivere!$B$3:$H$211,5,FALSE)</f>
        <v>797259</v>
      </c>
      <c r="G109" s="23">
        <f>VLOOKUP($B$3:$B$210,Costdrivere!$B$3:$H$211,6,FALSE)</f>
        <v>954945.60000000009</v>
      </c>
      <c r="H109" s="93">
        <f>VLOOKUP($B$3:$B$210,Costdrivere!$B$3:$H$211,7,FALSE)</f>
        <v>1170836.8</v>
      </c>
      <c r="I109" s="27">
        <v>34.552738939944767</v>
      </c>
      <c r="J109" s="20">
        <f>VLOOKUP($B$3:$B$210,Costdrivere!$B$3:$I$211,8,FALSE)</f>
        <v>3.96751269035533E-2</v>
      </c>
      <c r="K109" s="74">
        <f t="shared" si="20"/>
        <v>5449205.3018947402</v>
      </c>
      <c r="L109" s="89">
        <f t="shared" si="32"/>
        <v>6522422.4766670493</v>
      </c>
      <c r="M109" s="167">
        <f t="shared" si="21"/>
        <v>6802569.4880982684</v>
      </c>
      <c r="N109" s="74">
        <f>K109+VLOOKUP($B$3:$B$210,'Potentialer og krav'!$B$2:$F$209,5,FALSE)</f>
        <v>5449205.3018947402</v>
      </c>
      <c r="O109" s="160">
        <f t="shared" si="22"/>
        <v>6522422.4766670493</v>
      </c>
      <c r="P109" s="163">
        <f t="shared" si="23"/>
        <v>6802569.4880982684</v>
      </c>
      <c r="Q109" s="104">
        <f>N109+(0.25*VLOOKUP($B$3:$B$210,'Potentialer og krav'!$B$2:$C$209,2,FALSE))</f>
        <v>7044024.5518947402</v>
      </c>
      <c r="R109" s="53">
        <f>O109+(0.25*VLOOKUP($B$3:$B$210,'Potentialer og krav'!$B$2:$C$209,2,FALSE))</f>
        <v>8117241.7266670493</v>
      </c>
      <c r="S109" s="104">
        <f>P109+(0.25*VLOOKUP($B$3:$B$210,'Potentialer og krav'!$B$2:$C$209,2,FALSE))</f>
        <v>8397388.7380982675</v>
      </c>
      <c r="T109" s="84">
        <v>5295780</v>
      </c>
      <c r="U109" s="92">
        <f t="shared" si="24"/>
        <v>5375216.6999999993</v>
      </c>
      <c r="W109" s="70">
        <f t="shared" si="25"/>
        <v>7.3478987982984648E-2</v>
      </c>
      <c r="X109" s="73">
        <f t="shared" si="26"/>
        <v>0.24413354559011208</v>
      </c>
      <c r="Y109" s="62">
        <f t="shared" si="27"/>
        <v>0.14597137672963473</v>
      </c>
      <c r="Z109" s="73">
        <f t="shared" si="28"/>
        <v>0.14630738902841217</v>
      </c>
      <c r="AA109" s="62">
        <f t="shared" si="29"/>
        <v>0.17524492969056543</v>
      </c>
      <c r="AB109" s="64">
        <f t="shared" si="30"/>
        <v>0.2148637709782909</v>
      </c>
      <c r="AC109" s="62"/>
      <c r="AD109" s="145">
        <f t="shared" si="31"/>
        <v>0.39010870066885633</v>
      </c>
      <c r="AF109" s="57">
        <f>W$212-W109</f>
        <v>4.5194417609933188E-2</v>
      </c>
      <c r="AG109" s="60">
        <f>X$212-X109</f>
        <v>4.5664451532956063E-2</v>
      </c>
      <c r="AH109" s="83">
        <f>Y$212-Y109</f>
        <v>-9.6776862793296628E-2</v>
      </c>
      <c r="AI109" s="60">
        <f>Z$212-Z109</f>
        <v>8.5031813771868664E-2</v>
      </c>
      <c r="AJ109" s="83">
        <f>AA$212-AA109</f>
        <v>-2.6600016324402009E-2</v>
      </c>
      <c r="AK109" s="76">
        <f>AB$212-AB109</f>
        <v>-5.2513803797059444E-2</v>
      </c>
      <c r="AM109" s="57">
        <f>$AD$212-AD109</f>
        <v>-7.9113820121461342E-2</v>
      </c>
      <c r="AN109" s="106">
        <f>IF(AM109&lt;$AD$215,(AM109-$AD$215)*0.5683,0)</f>
        <v>0</v>
      </c>
    </row>
    <row r="110" spans="1:40" x14ac:dyDescent="0.25">
      <c r="A110" s="17" t="s">
        <v>48</v>
      </c>
      <c r="B110" s="90" t="s">
        <v>317</v>
      </c>
      <c r="C110" s="88">
        <f>VLOOKUP($B$3:$B$210,Costdrivere!$B$3:$H$211,2,FALSE)</f>
        <v>198444.25055395055</v>
      </c>
      <c r="D110" s="46">
        <f>VLOOKUP($B$3:$B$210,Costdrivere!$B$3:$H$211,3,FALSE)</f>
        <v>489508.40100000001</v>
      </c>
      <c r="E110" s="23">
        <f>VLOOKUP($B$3:$B$210,Costdrivere!$B$3:$H$211,4,FALSE)</f>
        <v>70906</v>
      </c>
      <c r="F110" s="46">
        <f>VLOOKUP($B$3:$B$210,Costdrivere!$B$3:$H$211,5,FALSE)</f>
        <v>368277</v>
      </c>
      <c r="G110" s="23">
        <f>VLOOKUP($B$3:$B$210,Costdrivere!$B$3:$H$211,6,FALSE)</f>
        <v>56764.4</v>
      </c>
      <c r="H110" s="93">
        <f>VLOOKUP($B$3:$B$210,Costdrivere!$B$3:$H$211,7,FALSE)</f>
        <v>138415.20000000001</v>
      </c>
      <c r="I110" s="27">
        <v>28.215128114349977</v>
      </c>
      <c r="J110" s="20">
        <f>VLOOKUP($B$3:$B$210,Costdrivere!$B$3:$I$211,8,FALSE)</f>
        <v>1.0153846153846154E-2</v>
      </c>
      <c r="K110" s="74">
        <f t="shared" si="20"/>
        <v>1322315.2515539504</v>
      </c>
      <c r="L110" s="89">
        <f t="shared" si="32"/>
        <v>1431898.5657862867</v>
      </c>
      <c r="M110" s="167">
        <f t="shared" si="21"/>
        <v>1122015.8196433329</v>
      </c>
      <c r="N110" s="74">
        <f>K110+VLOOKUP($B$3:$B$210,'Potentialer og krav'!$B$2:$F$209,5,FALSE)</f>
        <v>1322315.2515539504</v>
      </c>
      <c r="O110" s="160">
        <f t="shared" si="22"/>
        <v>1431898.5657862867</v>
      </c>
      <c r="P110" s="163">
        <f t="shared" si="23"/>
        <v>1122015.8196433329</v>
      </c>
      <c r="Q110" s="104">
        <f>N110+(0.25*VLOOKUP($B$3:$B$210,'Potentialer og krav'!$B$2:$C$209,2,FALSE))</f>
        <v>1565067.5015539504</v>
      </c>
      <c r="R110" s="53">
        <f>O110+(0.25*VLOOKUP($B$3:$B$210,'Potentialer og krav'!$B$2:$C$209,2,FALSE))</f>
        <v>1674650.8157862867</v>
      </c>
      <c r="S110" s="104">
        <f>P110+(0.25*VLOOKUP($B$3:$B$210,'Potentialer og krav'!$B$2:$C$209,2,FALSE))</f>
        <v>1364768.0696433329</v>
      </c>
      <c r="T110" s="84">
        <v>1074455</v>
      </c>
      <c r="U110" s="92">
        <f t="shared" si="24"/>
        <v>1090571.825</v>
      </c>
      <c r="W110" s="70">
        <f t="shared" si="25"/>
        <v>0.15007332806661955</v>
      </c>
      <c r="X110" s="73">
        <f t="shared" si="26"/>
        <v>0.37019039175774648</v>
      </c>
      <c r="Y110" s="62">
        <f t="shared" si="27"/>
        <v>5.3622613757704995E-2</v>
      </c>
      <c r="Z110" s="73">
        <f t="shared" si="28"/>
        <v>0.27850922808854428</v>
      </c>
      <c r="AA110" s="62">
        <f t="shared" si="29"/>
        <v>4.2928038478942117E-2</v>
      </c>
      <c r="AB110" s="64">
        <f t="shared" si="30"/>
        <v>0.10467639985044269</v>
      </c>
      <c r="AC110" s="62"/>
      <c r="AD110" s="145">
        <f t="shared" si="31"/>
        <v>0.1476044383293848</v>
      </c>
      <c r="AF110" s="57">
        <f>W$212-W110</f>
        <v>-3.1399922473701714E-2</v>
      </c>
      <c r="AG110" s="60">
        <f>X$212-X110</f>
        <v>-8.0392394634678344E-2</v>
      </c>
      <c r="AH110" s="83">
        <f>Y$212-Y110</f>
        <v>-4.4280998213668959E-3</v>
      </c>
      <c r="AI110" s="60">
        <f>Z$212-Z110</f>
        <v>-4.7170025288263445E-2</v>
      </c>
      <c r="AJ110" s="83">
        <f>AA$212-AA110</f>
        <v>0.10571687488722131</v>
      </c>
      <c r="AK110" s="76">
        <f>AB$212-AB110</f>
        <v>5.7673567330788766E-2</v>
      </c>
      <c r="AM110" s="57">
        <f>$AD$212-AD110</f>
        <v>0.16339044221801019</v>
      </c>
      <c r="AN110" s="106">
        <f>IF(AM110&lt;$AD$215,(AM110-$AD$215)*0.5683,0)</f>
        <v>0</v>
      </c>
    </row>
    <row r="111" spans="1:40" x14ac:dyDescent="0.25">
      <c r="A111" s="17" t="s">
        <v>318</v>
      </c>
      <c r="B111" s="90" t="s">
        <v>319</v>
      </c>
      <c r="C111" s="88">
        <f>VLOOKUP($B$3:$B$210,Costdrivere!$B$3:$H$211,2,FALSE)</f>
        <v>173256.76420881212</v>
      </c>
      <c r="D111" s="46">
        <f>VLOOKUP($B$3:$B$210,Costdrivere!$B$3:$H$211,3,FALSE)</f>
        <v>424796.45399999997</v>
      </c>
      <c r="E111" s="23">
        <f>VLOOKUP($B$3:$B$210,Costdrivere!$B$3:$H$211,4,FALSE)</f>
        <v>106359</v>
      </c>
      <c r="F111" s="46">
        <f>VLOOKUP($B$3:$B$210,Costdrivere!$B$3:$H$211,5,FALSE)</f>
        <v>376371</v>
      </c>
      <c r="G111" s="23">
        <f>VLOOKUP($B$3:$B$210,Costdrivere!$B$3:$H$211,6,FALSE)</f>
        <v>182922.6</v>
      </c>
      <c r="H111" s="93">
        <f>VLOOKUP($B$3:$B$210,Costdrivere!$B$3:$H$211,7,FALSE)</f>
        <v>273684.60000000003</v>
      </c>
      <c r="I111" s="27">
        <v>26.880789804635125</v>
      </c>
      <c r="J111" s="20">
        <f>VLOOKUP($B$3:$B$210,Costdrivere!$B$3:$I$211,8,FALSE)</f>
        <v>1.964516129032258E-2</v>
      </c>
      <c r="K111" s="74">
        <f t="shared" si="20"/>
        <v>1537390.4182088124</v>
      </c>
      <c r="L111" s="89">
        <f t="shared" si="32"/>
        <v>1627872.3267016283</v>
      </c>
      <c r="M111" s="167">
        <f t="shared" si="21"/>
        <v>1502144.3046674356</v>
      </c>
      <c r="N111" s="74">
        <f>K111+VLOOKUP($B$3:$B$210,'Potentialer og krav'!$B$2:$F$209,5,FALSE)</f>
        <v>1537390.4182088124</v>
      </c>
      <c r="O111" s="160">
        <f t="shared" si="22"/>
        <v>1627872.3267016283</v>
      </c>
      <c r="P111" s="163">
        <f t="shared" si="23"/>
        <v>1502144.3046674356</v>
      </c>
      <c r="Q111" s="104">
        <f>N111+(0.25*VLOOKUP($B$3:$B$210,'Potentialer og krav'!$B$2:$C$209,2,FALSE))</f>
        <v>1849388.4182088124</v>
      </c>
      <c r="R111" s="53">
        <f>O111+(0.25*VLOOKUP($B$3:$B$210,'Potentialer og krav'!$B$2:$C$209,2,FALSE))</f>
        <v>1939870.3267016283</v>
      </c>
      <c r="S111" s="104">
        <f>P111+(0.25*VLOOKUP($B$3:$B$210,'Potentialer og krav'!$B$2:$C$209,2,FALSE))</f>
        <v>1814142.3046674356</v>
      </c>
      <c r="T111" s="84">
        <v>1524701</v>
      </c>
      <c r="U111" s="92">
        <f t="shared" si="24"/>
        <v>1547571.5149999999</v>
      </c>
      <c r="W111" s="70">
        <f t="shared" si="25"/>
        <v>0.11269535841824138</v>
      </c>
      <c r="X111" s="73">
        <f t="shared" si="26"/>
        <v>0.27631006995277307</v>
      </c>
      <c r="Y111" s="62">
        <f t="shared" si="27"/>
        <v>6.9181516119969755E-2</v>
      </c>
      <c r="Z111" s="73">
        <f t="shared" si="28"/>
        <v>0.24481159472718941</v>
      </c>
      <c r="AA111" s="62">
        <f t="shared" si="29"/>
        <v>0.11898252898773758</v>
      </c>
      <c r="AB111" s="64">
        <f t="shared" si="30"/>
        <v>0.17801893179408868</v>
      </c>
      <c r="AC111" s="62"/>
      <c r="AD111" s="145">
        <f t="shared" si="31"/>
        <v>0.29700146078182627</v>
      </c>
      <c r="AF111" s="57">
        <f>W$212-W111</f>
        <v>5.9780471746764541E-3</v>
      </c>
      <c r="AG111" s="60">
        <f>X$212-X111</f>
        <v>1.3487927170295066E-2</v>
      </c>
      <c r="AH111" s="83">
        <f>Y$212-Y111</f>
        <v>-1.9987002183631655E-2</v>
      </c>
      <c r="AI111" s="60">
        <f>Z$212-Z111</f>
        <v>-1.3472391926908578E-2</v>
      </c>
      <c r="AJ111" s="83">
        <f>AA$212-AA111</f>
        <v>2.9662384378425846E-2</v>
      </c>
      <c r="AK111" s="76">
        <f>AB$212-AB111</f>
        <v>-1.5668964612857217E-2</v>
      </c>
      <c r="AM111" s="57">
        <f>$AD$212-AD111</f>
        <v>1.3993419765568726E-2</v>
      </c>
      <c r="AN111" s="106">
        <f>IF(AM111&lt;$AD$215,(AM111-$AD$215)*0.5683,0)</f>
        <v>0</v>
      </c>
    </row>
    <row r="112" spans="1:40" x14ac:dyDescent="0.25">
      <c r="A112" s="17" t="s">
        <v>320</v>
      </c>
      <c r="B112" s="90" t="s">
        <v>321</v>
      </c>
      <c r="C112" s="88">
        <f>VLOOKUP($B$3:$B$210,Costdrivere!$B$3:$H$211,2,FALSE)</f>
        <v>1156683.0337593164</v>
      </c>
      <c r="D112" s="46">
        <f>VLOOKUP($B$3:$B$210,Costdrivere!$B$3:$H$211,3,FALSE)</f>
        <v>3114661.0670000003</v>
      </c>
      <c r="E112" s="23">
        <f>VLOOKUP($B$3:$B$210,Costdrivere!$B$3:$H$211,4,FALSE)</f>
        <v>307601</v>
      </c>
      <c r="F112" s="46">
        <f>VLOOKUP($B$3:$B$210,Costdrivere!$B$3:$H$211,5,FALSE)</f>
        <v>2182265</v>
      </c>
      <c r="G112" s="23">
        <f>VLOOKUP($B$3:$B$210,Costdrivere!$B$3:$H$211,6,FALSE)</f>
        <v>1069384.2000000002</v>
      </c>
      <c r="H112" s="93">
        <f>VLOOKUP($B$3:$B$210,Costdrivere!$B$3:$H$211,7,FALSE)</f>
        <v>1185517.2000000002</v>
      </c>
      <c r="I112" s="27">
        <v>25.988737380763229</v>
      </c>
      <c r="J112" s="20">
        <f>VLOOKUP($B$3:$B$210,Costdrivere!$B$3:$I$211,8,FALSE)</f>
        <v>2.8467625899280577E-2</v>
      </c>
      <c r="K112" s="74">
        <f t="shared" si="20"/>
        <v>9016111.5007593166</v>
      </c>
      <c r="L112" s="89">
        <f t="shared" si="32"/>
        <v>9401976.4847370386</v>
      </c>
      <c r="M112" s="167">
        <f t="shared" si="21"/>
        <v>9886757.0429102797</v>
      </c>
      <c r="N112" s="74">
        <f>K112+VLOOKUP($B$3:$B$210,'Potentialer og krav'!$B$2:$F$209,5,FALSE)</f>
        <v>9016111.5007593166</v>
      </c>
      <c r="O112" s="160">
        <f t="shared" si="22"/>
        <v>9401976.4847370386</v>
      </c>
      <c r="P112" s="163">
        <f t="shared" si="23"/>
        <v>9886757.0429102797</v>
      </c>
      <c r="Q112" s="104">
        <f>N112+(0.25*VLOOKUP($B$3:$B$210,'Potentialer og krav'!$B$2:$C$209,2,FALSE))</f>
        <v>12341781.000759317</v>
      </c>
      <c r="R112" s="53">
        <f>O112+(0.25*VLOOKUP($B$3:$B$210,'Potentialer og krav'!$B$2:$C$209,2,FALSE))</f>
        <v>12727645.984737039</v>
      </c>
      <c r="S112" s="104">
        <f>P112+(0.25*VLOOKUP($B$3:$B$210,'Potentialer og krav'!$B$2:$C$209,2,FALSE))</f>
        <v>13212426.54291028</v>
      </c>
      <c r="T112" s="84">
        <v>9868475</v>
      </c>
      <c r="U112" s="92">
        <f t="shared" si="24"/>
        <v>10016502.124999998</v>
      </c>
      <c r="W112" s="70">
        <f t="shared" si="25"/>
        <v>0.12829067538283032</v>
      </c>
      <c r="X112" s="73">
        <f t="shared" si="26"/>
        <v>0.34545502978059783</v>
      </c>
      <c r="Y112" s="62">
        <f t="shared" si="27"/>
        <v>3.4116814102631107E-2</v>
      </c>
      <c r="Z112" s="73">
        <f t="shared" si="28"/>
        <v>0.2420405958617764</v>
      </c>
      <c r="AA112" s="62">
        <f t="shared" si="29"/>
        <v>0.11860813832104218</v>
      </c>
      <c r="AB112" s="64">
        <f t="shared" si="30"/>
        <v>0.13148874655112225</v>
      </c>
      <c r="AC112" s="62"/>
      <c r="AD112" s="145">
        <f t="shared" si="31"/>
        <v>0.25009688487216442</v>
      </c>
      <c r="AF112" s="57">
        <f>W$212-W112</f>
        <v>-9.6172697899124804E-3</v>
      </c>
      <c r="AG112" s="60">
        <f>X$212-X112</f>
        <v>-5.5657032657529693E-2</v>
      </c>
      <c r="AH112" s="83">
        <f>Y$212-Y112</f>
        <v>1.5077699833706992E-2</v>
      </c>
      <c r="AI112" s="60">
        <f>Z$212-Z112</f>
        <v>-1.0701393061495562E-2</v>
      </c>
      <c r="AJ112" s="83">
        <f>AA$212-AA112</f>
        <v>3.0036775045121242E-2</v>
      </c>
      <c r="AK112" s="76">
        <f>AB$212-AB112</f>
        <v>3.086122063010921E-2</v>
      </c>
      <c r="AM112" s="57">
        <f>$AD$212-AD112</f>
        <v>6.0897995675230576E-2</v>
      </c>
      <c r="AN112" s="106">
        <f>IF(AM112&lt;$AD$215,(AM112-$AD$215)*0.5683,0)</f>
        <v>0</v>
      </c>
    </row>
    <row r="113" spans="1:40" x14ac:dyDescent="0.25">
      <c r="A113" s="17" t="s">
        <v>322</v>
      </c>
      <c r="B113" s="90" t="s">
        <v>323</v>
      </c>
      <c r="C113" s="88">
        <f>VLOOKUP($B$3:$B$210,Costdrivere!$B$3:$H$211,2,FALSE)</f>
        <v>517945.08774308424</v>
      </c>
      <c r="D113" s="46">
        <f>VLOOKUP($B$3:$B$210,Costdrivere!$B$3:$H$211,3,FALSE)</f>
        <v>1379153.7120000001</v>
      </c>
      <c r="E113" s="23">
        <f>VLOOKUP($B$3:$B$210,Costdrivere!$B$3:$H$211,4,FALSE)</f>
        <v>219297</v>
      </c>
      <c r="F113" s="46">
        <f>VLOOKUP($B$3:$B$210,Costdrivere!$B$3:$H$211,5,FALSE)</f>
        <v>1363839</v>
      </c>
      <c r="G113" s="23">
        <f>VLOOKUP($B$3:$B$210,Costdrivere!$B$3:$H$211,6,FALSE)</f>
        <v>964587.4</v>
      </c>
      <c r="H113" s="93">
        <f>VLOOKUP($B$3:$B$210,Costdrivere!$B$3:$H$211,7,FALSE)</f>
        <v>1116309.6000000001</v>
      </c>
      <c r="I113" s="27">
        <v>32.746129308994512</v>
      </c>
      <c r="J113" s="20">
        <f>VLOOKUP($B$3:$B$210,Costdrivere!$B$3:$I$211,8,FALSE)</f>
        <v>2.2112759643916916E-2</v>
      </c>
      <c r="K113" s="74">
        <f t="shared" si="20"/>
        <v>5561131.7997430842</v>
      </c>
      <c r="L113" s="89">
        <f t="shared" si="32"/>
        <v>6475550.523189744</v>
      </c>
      <c r="M113" s="167">
        <f t="shared" si="21"/>
        <v>5619497.0826182468</v>
      </c>
      <c r="N113" s="74">
        <f>K113+VLOOKUP($B$3:$B$210,'Potentialer og krav'!$B$2:$F$209,5,FALSE)</f>
        <v>5870757.7997430842</v>
      </c>
      <c r="O113" s="160">
        <f t="shared" si="22"/>
        <v>6836088.427791425</v>
      </c>
      <c r="P113" s="163">
        <f t="shared" si="23"/>
        <v>5932372.6745585678</v>
      </c>
      <c r="Q113" s="104">
        <f>N113+(0.25*VLOOKUP($B$3:$B$210,'Potentialer og krav'!$B$2:$C$209,2,FALSE))</f>
        <v>7122755.0497430842</v>
      </c>
      <c r="R113" s="53">
        <f>O113+(0.25*VLOOKUP($B$3:$B$210,'Potentialer og krav'!$B$2:$C$209,2,FALSE))</f>
        <v>8088085.677791425</v>
      </c>
      <c r="S113" s="104">
        <f>P113+(0.25*VLOOKUP($B$3:$B$210,'Potentialer og krav'!$B$2:$C$209,2,FALSE))</f>
        <v>7184369.9245585678</v>
      </c>
      <c r="T113" s="84">
        <v>4206618</v>
      </c>
      <c r="U113" s="92">
        <f t="shared" si="24"/>
        <v>4269717.2699999996</v>
      </c>
      <c r="W113" s="70">
        <f t="shared" si="25"/>
        <v>9.3136632324918561E-2</v>
      </c>
      <c r="X113" s="73">
        <f t="shared" si="26"/>
        <v>0.24799874587826076</v>
      </c>
      <c r="Y113" s="62">
        <f t="shared" si="27"/>
        <v>3.9433879270786419E-2</v>
      </c>
      <c r="Z113" s="73">
        <f t="shared" si="28"/>
        <v>0.24524486185761812</v>
      </c>
      <c r="AA113" s="62">
        <f t="shared" si="29"/>
        <v>0.17345163443969489</v>
      </c>
      <c r="AB113" s="64">
        <f t="shared" si="30"/>
        <v>0.20073424622872127</v>
      </c>
      <c r="AC113" s="62"/>
      <c r="AD113" s="145">
        <f t="shared" si="31"/>
        <v>0.37418588066841618</v>
      </c>
      <c r="AF113" s="57">
        <f>W$212-W113</f>
        <v>2.5536773267999274E-2</v>
      </c>
      <c r="AG113" s="60">
        <f>X$212-X113</f>
        <v>4.1799251244807378E-2</v>
      </c>
      <c r="AH113" s="83">
        <f>Y$212-Y113</f>
        <v>9.7606346655516804E-3</v>
      </c>
      <c r="AI113" s="60">
        <f>Z$212-Z113</f>
        <v>-1.3905659057337288E-2</v>
      </c>
      <c r="AJ113" s="83">
        <f>AA$212-AA113</f>
        <v>-2.4806721073531462E-2</v>
      </c>
      <c r="AK113" s="76">
        <f>AB$212-AB113</f>
        <v>-3.8384279047489811E-2</v>
      </c>
      <c r="AM113" s="57">
        <f>$AD$212-AD113</f>
        <v>-6.319100012102119E-2</v>
      </c>
      <c r="AN113" s="106">
        <f>IF(AM113&lt;$AD$215,(AM113-$AD$215)*0.5683,0)</f>
        <v>0</v>
      </c>
    </row>
    <row r="114" spans="1:40" x14ac:dyDescent="0.25">
      <c r="A114" s="17" t="s">
        <v>324</v>
      </c>
      <c r="B114" s="90" t="s">
        <v>325</v>
      </c>
      <c r="C114" s="88">
        <f>VLOOKUP($B$3:$B$210,Costdrivere!$B$3:$H$211,2,FALSE)</f>
        <v>235559.66922399943</v>
      </c>
      <c r="D114" s="46">
        <f>VLOOKUP($B$3:$B$210,Costdrivere!$B$3:$H$211,3,FALSE)</f>
        <v>563708.01399999997</v>
      </c>
      <c r="E114" s="23">
        <f>VLOOKUP($B$3:$B$210,Costdrivere!$B$3:$H$211,4,FALSE)</f>
        <v>0</v>
      </c>
      <c r="F114" s="46">
        <f>VLOOKUP($B$3:$B$210,Costdrivere!$B$3:$H$211,5,FALSE)</f>
        <v>416841</v>
      </c>
      <c r="G114" s="23">
        <f>VLOOKUP($B$3:$B$210,Costdrivere!$B$3:$H$211,6,FALSE)</f>
        <v>317772</v>
      </c>
      <c r="H114" s="93">
        <f>VLOOKUP($B$3:$B$210,Costdrivere!$B$3:$H$211,7,FALSE)</f>
        <v>419140.4</v>
      </c>
      <c r="I114" s="27">
        <v>27.918431573055404</v>
      </c>
      <c r="J114" s="20">
        <f>VLOOKUP($B$3:$B$210,Costdrivere!$B$3:$I$211,8,FALSE)</f>
        <v>2.716504854368932E-2</v>
      </c>
      <c r="K114" s="74">
        <f t="shared" si="20"/>
        <v>1953021.0832239995</v>
      </c>
      <c r="L114" s="89">
        <f t="shared" si="32"/>
        <v>2104442.2613628274</v>
      </c>
      <c r="M114" s="167">
        <f t="shared" si="21"/>
        <v>2107160.1815141859</v>
      </c>
      <c r="N114" s="74">
        <f>K114+VLOOKUP($B$3:$B$210,'Potentialer og krav'!$B$2:$F$209,5,FALSE)</f>
        <v>1953021.0832239995</v>
      </c>
      <c r="O114" s="160">
        <f t="shared" si="22"/>
        <v>2104442.2613628274</v>
      </c>
      <c r="P114" s="163">
        <f t="shared" si="23"/>
        <v>2107160.1815141859</v>
      </c>
      <c r="Q114" s="104">
        <f>N114+(0.25*VLOOKUP($B$3:$B$210,'Potentialer og krav'!$B$2:$C$209,2,FALSE))</f>
        <v>2280757.8332239995</v>
      </c>
      <c r="R114" s="53">
        <f>O114+(0.25*VLOOKUP($B$3:$B$210,'Potentialer og krav'!$B$2:$C$209,2,FALSE))</f>
        <v>2432179.0113628274</v>
      </c>
      <c r="S114" s="104">
        <f>P114+(0.25*VLOOKUP($B$3:$B$210,'Potentialer og krav'!$B$2:$C$209,2,FALSE))</f>
        <v>2434896.9315141859</v>
      </c>
      <c r="T114" s="84">
        <v>1434556</v>
      </c>
      <c r="U114" s="92">
        <f t="shared" si="24"/>
        <v>1456074.3399999999</v>
      </c>
      <c r="W114" s="70">
        <f t="shared" si="25"/>
        <v>0.12061296790260108</v>
      </c>
      <c r="X114" s="73">
        <f t="shared" si="26"/>
        <v>0.28863386004489239</v>
      </c>
      <c r="Y114" s="62">
        <f t="shared" si="27"/>
        <v>0</v>
      </c>
      <c r="Z114" s="73">
        <f t="shared" si="28"/>
        <v>0.21343394783628708</v>
      </c>
      <c r="AA114" s="62">
        <f t="shared" si="29"/>
        <v>0.16270792093827771</v>
      </c>
      <c r="AB114" s="64">
        <f t="shared" si="30"/>
        <v>0.21461130327794173</v>
      </c>
      <c r="AC114" s="62"/>
      <c r="AD114" s="145">
        <f t="shared" si="31"/>
        <v>0.37731922421621944</v>
      </c>
      <c r="AF114" s="57">
        <f>W$212-W114</f>
        <v>-1.9395623096832432E-3</v>
      </c>
      <c r="AG114" s="60">
        <f>X$212-X114</f>
        <v>1.1641370781757532E-3</v>
      </c>
      <c r="AH114" s="83">
        <f>Y$212-Y114</f>
        <v>4.91945139363381E-2</v>
      </c>
      <c r="AI114" s="60">
        <f>Z$212-Z114</f>
        <v>1.7905254963993755E-2</v>
      </c>
      <c r="AJ114" s="83">
        <f>AA$212-AA114</f>
        <v>-1.4063007572114289E-2</v>
      </c>
      <c r="AK114" s="76">
        <f>AB$212-AB114</f>
        <v>-5.226133609671027E-2</v>
      </c>
      <c r="AM114" s="57">
        <f>$AD$212-AD114</f>
        <v>-6.6324343668824448E-2</v>
      </c>
      <c r="AN114" s="106">
        <f>IF(AM114&lt;$AD$215,(AM114-$AD$215)*0.5683,0)</f>
        <v>0</v>
      </c>
    </row>
    <row r="115" spans="1:40" x14ac:dyDescent="0.25">
      <c r="A115" s="17" t="s">
        <v>326</v>
      </c>
      <c r="B115" s="90" t="s">
        <v>327</v>
      </c>
      <c r="C115" s="88">
        <f>VLOOKUP($B$3:$B$210,Costdrivere!$B$3:$H$211,2,FALSE)</f>
        <v>72346.197563892434</v>
      </c>
      <c r="D115" s="46">
        <f>VLOOKUP($B$3:$B$210,Costdrivere!$B$3:$H$211,3,FALSE)</f>
        <v>168485.91500000001</v>
      </c>
      <c r="E115" s="23">
        <f>VLOOKUP($B$3:$B$210,Costdrivere!$B$3:$H$211,4,FALSE)</f>
        <v>35453</v>
      </c>
      <c r="F115" s="46">
        <f>VLOOKUP($B$3:$B$210,Costdrivere!$B$3:$H$211,5,FALSE)</f>
        <v>309190.80000000005</v>
      </c>
      <c r="G115" s="23">
        <f>VLOOKUP($B$3:$B$210,Costdrivere!$B$3:$H$211,6,FALSE)</f>
        <v>223391.00000000003</v>
      </c>
      <c r="H115" s="93">
        <f>VLOOKUP($B$3:$B$210,Costdrivere!$B$3:$H$211,7,FALSE)</f>
        <v>307689.2</v>
      </c>
      <c r="I115" s="27">
        <v>33.086699237832022</v>
      </c>
      <c r="J115" s="20">
        <f>VLOOKUP($B$3:$B$210,Costdrivere!$B$3:$I$211,8,FALSE)</f>
        <v>2.6884816753926701E-2</v>
      </c>
      <c r="K115" s="74">
        <f t="shared" si="20"/>
        <v>1116556.1125638925</v>
      </c>
      <c r="L115" s="89">
        <f t="shared" si="32"/>
        <v>1306996.5777383978</v>
      </c>
      <c r="M115" s="167">
        <f t="shared" si="21"/>
        <v>1200440.6934218446</v>
      </c>
      <c r="N115" s="74">
        <f>K115+VLOOKUP($B$3:$B$210,'Potentialer og krav'!$B$2:$F$209,5,FALSE)</f>
        <v>1116556.1125638925</v>
      </c>
      <c r="O115" s="160">
        <f t="shared" si="22"/>
        <v>1306996.5777383978</v>
      </c>
      <c r="P115" s="163">
        <f t="shared" si="23"/>
        <v>1200440.6934218446</v>
      </c>
      <c r="Q115" s="104">
        <f>N115+(0.25*VLOOKUP($B$3:$B$210,'Potentialer og krav'!$B$2:$C$209,2,FALSE))</f>
        <v>1451447.1125638925</v>
      </c>
      <c r="R115" s="53">
        <f>O115+(0.25*VLOOKUP($B$3:$B$210,'Potentialer og krav'!$B$2:$C$209,2,FALSE))</f>
        <v>1641887.5777383978</v>
      </c>
      <c r="S115" s="104">
        <f>P115+(0.25*VLOOKUP($B$3:$B$210,'Potentialer og krav'!$B$2:$C$209,2,FALSE))</f>
        <v>1535331.6934218446</v>
      </c>
      <c r="T115" s="84">
        <v>1117615</v>
      </c>
      <c r="U115" s="92">
        <f t="shared" si="24"/>
        <v>1134379.2249999999</v>
      </c>
      <c r="W115" s="70">
        <f t="shared" ref="W115" si="41">C115/(SUM($C115:$H115))</f>
        <v>6.4794054458908873E-2</v>
      </c>
      <c r="X115" s="73">
        <f t="shared" ref="X115" si="42">D115/(SUM($C115:$H115))</f>
        <v>0.15089784839663289</v>
      </c>
      <c r="Y115" s="62">
        <f t="shared" ref="Y115" si="43">E115/(SUM($C115:$H115))</f>
        <v>3.1752098798322845E-2</v>
      </c>
      <c r="Z115" s="73">
        <f t="shared" ref="Z115" si="44">F115/(SUM($C115:$H115))</f>
        <v>0.27691469915472544</v>
      </c>
      <c r="AA115" s="62">
        <f t="shared" ref="AA115" si="45">G115/(SUM($C115:$H115))</f>
        <v>0.2000714495996429</v>
      </c>
      <c r="AB115" s="64">
        <f t="shared" ref="AB115" si="46">H115/(SUM($C115:$H115))</f>
        <v>0.27556984959176706</v>
      </c>
      <c r="AC115" s="62"/>
      <c r="AD115" s="145">
        <f t="shared" si="31"/>
        <v>0.47564129919140996</v>
      </c>
      <c r="AF115" s="57">
        <f>W$212-W115</f>
        <v>5.3879351134008963E-2</v>
      </c>
      <c r="AG115" s="60">
        <f>X$212-X115</f>
        <v>0.13890014872643525</v>
      </c>
      <c r="AH115" s="83">
        <f>Y$212-Y115</f>
        <v>1.7442415138015255E-2</v>
      </c>
      <c r="AI115" s="60">
        <f>Z$212-Z115</f>
        <v>-4.5575496354444606E-2</v>
      </c>
      <c r="AJ115" s="83">
        <f>AA$212-AA115</f>
        <v>-5.1426536233479481E-2</v>
      </c>
      <c r="AK115" s="76">
        <f>AB$212-AB115</f>
        <v>-0.1132198824105356</v>
      </c>
      <c r="AM115" s="57">
        <f>$AD$212-AD115</f>
        <v>-0.16464641864401497</v>
      </c>
      <c r="AN115" s="106">
        <f>IF(AM115&lt;$AD$215,(AM115-$AD$215)*0.5683,0)</f>
        <v>-3.3892758285180666E-2</v>
      </c>
    </row>
    <row r="116" spans="1:40" x14ac:dyDescent="0.25">
      <c r="A116" s="17" t="s">
        <v>484</v>
      </c>
      <c r="B116" s="90" t="s">
        <v>328</v>
      </c>
      <c r="C116" s="88">
        <f>VLOOKUP($B$3:$B$210,Costdrivere!$B$3:$H$211,2,FALSE)</f>
        <v>1171261.8384297248</v>
      </c>
      <c r="D116" s="46">
        <f>VLOOKUP($B$3:$B$210,Costdrivere!$B$3:$H$211,3,FALSE)</f>
        <v>3288381.162</v>
      </c>
      <c r="E116" s="23">
        <f>VLOOKUP($B$3:$B$210,Costdrivere!$B$3:$H$211,4,FALSE)</f>
        <v>1029819</v>
      </c>
      <c r="F116" s="46">
        <f>VLOOKUP($B$3:$B$210,Costdrivere!$B$3:$H$211,5,FALSE)</f>
        <v>2794453.5</v>
      </c>
      <c r="G116" s="23">
        <f>VLOOKUP($B$3:$B$210,Costdrivere!$B$3:$H$211,6,FALSE)</f>
        <v>1203323.8</v>
      </c>
      <c r="H116" s="93">
        <f>VLOOKUP($B$3:$B$210,Costdrivere!$B$3:$H$211,7,FALSE)</f>
        <v>1386249.2000000002</v>
      </c>
      <c r="I116" s="27">
        <v>27.354213365152205</v>
      </c>
      <c r="J116" s="20">
        <f>VLOOKUP($B$3:$B$210,Costdrivere!$B$3:$I$211,8,FALSE)</f>
        <v>1.3401882693700217E-2</v>
      </c>
      <c r="K116" s="74">
        <f t="shared" si="20"/>
        <v>10873488.500429727</v>
      </c>
      <c r="L116" s="89">
        <f t="shared" si="32"/>
        <v>11606098.928104198</v>
      </c>
      <c r="M116" s="167">
        <f t="shared" si="21"/>
        <v>9704752.667648891</v>
      </c>
      <c r="N116" s="74">
        <f>K116+VLOOKUP($B$3:$B$210,'Potentialer og krav'!$B$2:$F$209,5,FALSE)</f>
        <v>10910568.500429727</v>
      </c>
      <c r="O116" s="160">
        <f t="shared" si="22"/>
        <v>11645677.224272635</v>
      </c>
      <c r="P116" s="163">
        <f t="shared" si="23"/>
        <v>9737847.1275273543</v>
      </c>
      <c r="Q116" s="104">
        <f>N116+(0.25*VLOOKUP($B$3:$B$210,'Potentialer og krav'!$B$2:$C$209,2,FALSE))</f>
        <v>13028994.969429728</v>
      </c>
      <c r="R116" s="53">
        <f>O116+(0.25*VLOOKUP($B$3:$B$210,'Potentialer og krav'!$B$2:$C$209,2,FALSE))</f>
        <v>13764103.693272635</v>
      </c>
      <c r="S116" s="104">
        <f>P116+(0.25*VLOOKUP($B$3:$B$210,'Potentialer og krav'!$B$2:$C$209,2,FALSE))</f>
        <v>11856273.596527355</v>
      </c>
      <c r="T116" s="181">
        <v>6364776</v>
      </c>
      <c r="U116" s="92">
        <f t="shared" si="24"/>
        <v>6460247.6399999997</v>
      </c>
      <c r="W116" s="70">
        <f t="shared" si="25"/>
        <v>0.10771720946625692</v>
      </c>
      <c r="X116" s="73">
        <f t="shared" si="26"/>
        <v>0.30242191012296016</v>
      </c>
      <c r="Y116" s="62">
        <f t="shared" si="27"/>
        <v>9.4709163481370387E-2</v>
      </c>
      <c r="Z116" s="73">
        <f t="shared" si="28"/>
        <v>0.25699696099274499</v>
      </c>
      <c r="AA116" s="62">
        <f t="shared" si="29"/>
        <v>0.11066584564396642</v>
      </c>
      <c r="AB116" s="64">
        <f t="shared" si="30"/>
        <v>0.12748891029270087</v>
      </c>
      <c r="AC116" s="62"/>
      <c r="AD116" s="145">
        <f t="shared" si="31"/>
        <v>0.2381547559366673</v>
      </c>
      <c r="AF116" s="57">
        <f>W$212-W116</f>
        <v>1.0956196126660919E-2</v>
      </c>
      <c r="AG116" s="60">
        <f>X$212-X116</f>
        <v>-1.2623912999892017E-2</v>
      </c>
      <c r="AH116" s="83">
        <f>Y$212-Y116</f>
        <v>-4.5514649545032287E-2</v>
      </c>
      <c r="AI116" s="60">
        <f>Z$212-Z116</f>
        <v>-2.5657758192464158E-2</v>
      </c>
      <c r="AJ116" s="83">
        <f>AA$212-AA116</f>
        <v>3.7979067722197002E-2</v>
      </c>
      <c r="AK116" s="76">
        <f>AB$212-AB116</f>
        <v>3.4861056888530584E-2</v>
      </c>
      <c r="AM116" s="57">
        <f>$AD$212-AD116</f>
        <v>7.2840124610727697E-2</v>
      </c>
      <c r="AN116" s="106">
        <f>IF(AM116&lt;$AD$215,(AM116-$AD$215)*0.5683,0)</f>
        <v>0</v>
      </c>
    </row>
    <row r="117" spans="1:40" x14ac:dyDescent="0.25">
      <c r="A117" s="17" t="s">
        <v>41</v>
      </c>
      <c r="B117" s="90" t="s">
        <v>329</v>
      </c>
      <c r="C117" s="88">
        <f>VLOOKUP($B$3:$B$210,Costdrivere!$B$3:$H$211,2,FALSE)</f>
        <v>149983.42892336452</v>
      </c>
      <c r="D117" s="46">
        <f>VLOOKUP($B$3:$B$210,Costdrivere!$B$3:$H$211,3,FALSE)</f>
        <v>387057.09299999999</v>
      </c>
      <c r="E117" s="23">
        <f>VLOOKUP($B$3:$B$210,Costdrivere!$B$3:$H$211,4,FALSE)</f>
        <v>35453</v>
      </c>
      <c r="F117" s="46">
        <f>VLOOKUP($B$3:$B$210,Costdrivere!$B$3:$H$211,5,FALSE)</f>
        <v>161880</v>
      </c>
      <c r="G117" s="23">
        <f>VLOOKUP($B$3:$B$210,Costdrivere!$B$3:$H$211,6,FALSE)</f>
        <v>251773.2</v>
      </c>
      <c r="H117" s="93">
        <f>VLOOKUP($B$3:$B$210,Costdrivere!$B$3:$H$211,7,FALSE)</f>
        <v>277729.2</v>
      </c>
      <c r="I117" s="27">
        <v>40.754781335462347</v>
      </c>
      <c r="J117" s="20">
        <f>VLOOKUP($B$3:$B$210,Costdrivere!$B$3:$I$211,8,FALSE)</f>
        <v>4.6350000000000002E-2</v>
      </c>
      <c r="K117" s="74">
        <f t="shared" si="20"/>
        <v>1263875.9219233645</v>
      </c>
      <c r="L117" s="89">
        <f t="shared" si="32"/>
        <v>1653890.4181025014</v>
      </c>
      <c r="M117" s="167">
        <f t="shared" si="21"/>
        <v>1692032.0902881799</v>
      </c>
      <c r="N117" s="74">
        <f>K117+VLOOKUP($B$3:$B$210,'Potentialer og krav'!$B$2:$F$209,5,FALSE)</f>
        <v>1263875.9219233645</v>
      </c>
      <c r="O117" s="160">
        <f t="shared" si="22"/>
        <v>1653890.4181025014</v>
      </c>
      <c r="P117" s="163">
        <f t="shared" si="23"/>
        <v>1692032.0902881799</v>
      </c>
      <c r="Q117" s="104">
        <f>N117+(0.25*VLOOKUP($B$3:$B$210,'Potentialer og krav'!$B$2:$C$209,2,FALSE))</f>
        <v>1586747.1719233645</v>
      </c>
      <c r="R117" s="53">
        <f>O117+(0.25*VLOOKUP($B$3:$B$210,'Potentialer og krav'!$B$2:$C$209,2,FALSE))</f>
        <v>1976761.6681025014</v>
      </c>
      <c r="S117" s="104">
        <f>P117+(0.25*VLOOKUP($B$3:$B$210,'Potentialer og krav'!$B$2:$C$209,2,FALSE))</f>
        <v>2014903.3402881799</v>
      </c>
      <c r="T117" s="84">
        <v>975859</v>
      </c>
      <c r="U117" s="92">
        <f t="shared" si="24"/>
        <v>990496.88499999989</v>
      </c>
      <c r="W117" s="70">
        <f t="shared" si="25"/>
        <v>0.11866942499792224</v>
      </c>
      <c r="X117" s="73">
        <f t="shared" si="26"/>
        <v>0.30624611663696943</v>
      </c>
      <c r="Y117" s="62">
        <f t="shared" si="27"/>
        <v>2.8051013066257072E-2</v>
      </c>
      <c r="Z117" s="73">
        <f t="shared" si="28"/>
        <v>0.12808219319001762</v>
      </c>
      <c r="AA117" s="62">
        <f t="shared" si="29"/>
        <v>0.19920721301253363</v>
      </c>
      <c r="AB117" s="64">
        <f t="shared" si="30"/>
        <v>0.2197440390963</v>
      </c>
      <c r="AC117" s="62"/>
      <c r="AD117" s="145">
        <f t="shared" si="31"/>
        <v>0.41895125210883366</v>
      </c>
      <c r="AF117" s="57">
        <f>W$212-W117</f>
        <v>3.9805949955951103E-6</v>
      </c>
      <c r="AG117" s="60">
        <f>X$212-X117</f>
        <v>-1.6448119513901294E-2</v>
      </c>
      <c r="AH117" s="83">
        <f>Y$212-Y117</f>
        <v>2.1143500870081027E-2</v>
      </c>
      <c r="AI117" s="60">
        <f>Z$212-Z117</f>
        <v>0.10325700961026321</v>
      </c>
      <c r="AJ117" s="83">
        <f>AA$212-AA117</f>
        <v>-5.0562299646370212E-2</v>
      </c>
      <c r="AK117" s="76">
        <f>AB$212-AB117</f>
        <v>-5.739407191506854E-2</v>
      </c>
      <c r="AM117" s="57">
        <f>$AD$212-AD117</f>
        <v>-0.10795637156143867</v>
      </c>
      <c r="AN117" s="106">
        <f>IF(AM117&lt;$AD$215,(AM117-$AD$215)*0.5683,0)</f>
        <v>-1.6758045281525518E-3</v>
      </c>
    </row>
    <row r="118" spans="1:40" x14ac:dyDescent="0.25">
      <c r="A118" s="17" t="s">
        <v>330</v>
      </c>
      <c r="B118" s="90" t="s">
        <v>331</v>
      </c>
      <c r="C118" s="88">
        <f>VLOOKUP($B$3:$B$210,Costdrivere!$B$3:$H$211,2,FALSE)</f>
        <v>319214.84331661178</v>
      </c>
      <c r="D118" s="46">
        <f>VLOOKUP($B$3:$B$210,Costdrivere!$B$3:$H$211,3,FALSE)</f>
        <v>815476.34499999997</v>
      </c>
      <c r="E118" s="23">
        <f>VLOOKUP($B$3:$B$210,Costdrivere!$B$3:$H$211,4,FALSE)</f>
        <v>70906</v>
      </c>
      <c r="F118" s="46">
        <f>VLOOKUP($B$3:$B$210,Costdrivere!$B$3:$H$211,5,FALSE)</f>
        <v>137598</v>
      </c>
      <c r="G118" s="23">
        <f>VLOOKUP($B$3:$B$210,Costdrivere!$B$3:$H$211,6,FALSE)</f>
        <v>100084.6</v>
      </c>
      <c r="H118" s="93">
        <f>VLOOKUP($B$3:$B$210,Costdrivere!$B$3:$H$211,7,FALSE)</f>
        <v>110402.6</v>
      </c>
      <c r="I118" s="27">
        <v>30.92316589971486</v>
      </c>
      <c r="J118" s="20">
        <f>VLOOKUP($B$3:$B$210,Costdrivere!$B$3:$I$211,8,FALSE)</f>
        <v>2.1676470588235294E-2</v>
      </c>
      <c r="K118" s="74">
        <f t="shared" si="20"/>
        <v>1553682.388316612</v>
      </c>
      <c r="L118" s="89">
        <f t="shared" si="32"/>
        <v>1758173.3817708879</v>
      </c>
      <c r="M118" s="167">
        <f t="shared" si="21"/>
        <v>1560807.7585355951</v>
      </c>
      <c r="N118" s="74">
        <f>K118+VLOOKUP($B$3:$B$210,'Potentialer og krav'!$B$2:$F$209,5,FALSE)</f>
        <v>1553682.388316612</v>
      </c>
      <c r="O118" s="160">
        <f t="shared" si="22"/>
        <v>1758173.3817708879</v>
      </c>
      <c r="P118" s="163">
        <f t="shared" si="23"/>
        <v>1560807.7585355951</v>
      </c>
      <c r="Q118" s="104">
        <f>N118+(0.25*VLOOKUP($B$3:$B$210,'Potentialer og krav'!$B$2:$C$209,2,FALSE))</f>
        <v>1791044.138316612</v>
      </c>
      <c r="R118" s="53">
        <f>O118+(0.25*VLOOKUP($B$3:$B$210,'Potentialer og krav'!$B$2:$C$209,2,FALSE))</f>
        <v>1995535.1317708879</v>
      </c>
      <c r="S118" s="104">
        <f>P118+(0.25*VLOOKUP($B$3:$B$210,'Potentialer og krav'!$B$2:$C$209,2,FALSE))</f>
        <v>1798169.5085355951</v>
      </c>
      <c r="T118" s="84">
        <v>663195</v>
      </c>
      <c r="U118" s="92">
        <f t="shared" si="24"/>
        <v>673142.92499999993</v>
      </c>
      <c r="W118" s="70">
        <f t="shared" si="25"/>
        <v>0.20545694906310649</v>
      </c>
      <c r="X118" s="73">
        <f t="shared" si="26"/>
        <v>0.52486682679305807</v>
      </c>
      <c r="Y118" s="62">
        <f t="shared" si="27"/>
        <v>4.5637384148265611E-2</v>
      </c>
      <c r="Z118" s="73">
        <f t="shared" si="28"/>
        <v>8.8562502242871571E-2</v>
      </c>
      <c r="AA118" s="62">
        <f t="shared" si="29"/>
        <v>6.4417670402018221E-2</v>
      </c>
      <c r="AB118" s="64">
        <f t="shared" si="30"/>
        <v>7.1058667350679894E-2</v>
      </c>
      <c r="AC118" s="62"/>
      <c r="AD118" s="145">
        <f t="shared" si="31"/>
        <v>0.13547633775269813</v>
      </c>
      <c r="AF118" s="57">
        <f>W$212-W118</f>
        <v>-8.6783543470188657E-2</v>
      </c>
      <c r="AG118" s="60">
        <f>X$212-X118</f>
        <v>-0.23506882966998993</v>
      </c>
      <c r="AH118" s="83">
        <f>Y$212-Y118</f>
        <v>3.5571297880724884E-3</v>
      </c>
      <c r="AI118" s="60">
        <f>Z$212-Z118</f>
        <v>0.14277670055740926</v>
      </c>
      <c r="AJ118" s="83">
        <f>AA$212-AA118</f>
        <v>8.4227242964145202E-2</v>
      </c>
      <c r="AK118" s="76">
        <f>AB$212-AB118</f>
        <v>9.1291299830551564E-2</v>
      </c>
      <c r="AM118" s="57">
        <f>$AD$212-AD118</f>
        <v>0.17551854279469686</v>
      </c>
      <c r="AN118" s="106">
        <f>IF(AM118&lt;$AD$215,(AM118-$AD$215)*0.5683,0)</f>
        <v>0</v>
      </c>
    </row>
    <row r="119" spans="1:40" x14ac:dyDescent="0.25">
      <c r="A119" s="17" t="s">
        <v>332</v>
      </c>
      <c r="B119" s="90" t="s">
        <v>333</v>
      </c>
      <c r="C119" s="88">
        <f>VLOOKUP($B$3:$B$210,Costdrivere!$B$3:$H$211,2,FALSE)</f>
        <v>413471.63408037054</v>
      </c>
      <c r="D119" s="46">
        <f>VLOOKUP($B$3:$B$210,Costdrivere!$B$3:$H$211,3,FALSE)</f>
        <v>1044362.6579999999</v>
      </c>
      <c r="E119" s="23">
        <f>VLOOKUP($B$3:$B$210,Costdrivere!$B$3:$H$211,4,FALSE)</f>
        <v>0</v>
      </c>
      <c r="F119" s="46">
        <f>VLOOKUP($B$3:$B$210,Costdrivere!$B$3:$H$211,5,FALSE)</f>
        <v>1393100</v>
      </c>
      <c r="G119" s="23">
        <f>VLOOKUP($B$3:$B$210,Costdrivere!$B$3:$H$211,6,FALSE)</f>
        <v>742376</v>
      </c>
      <c r="H119" s="93">
        <f>VLOOKUP($B$3:$B$210,Costdrivere!$B$3:$H$211,7,FALSE)</f>
        <v>581224</v>
      </c>
      <c r="I119" s="27">
        <v>25.461860598873539</v>
      </c>
      <c r="J119" s="20">
        <f>VLOOKUP($B$3:$B$210,Costdrivere!$B$3:$I$211,8,FALSE)</f>
        <v>4.6746987951807227E-2</v>
      </c>
      <c r="K119" s="74">
        <f t="shared" si="20"/>
        <v>4174534.2920803707</v>
      </c>
      <c r="L119" s="89">
        <f t="shared" si="32"/>
        <v>4313602.60172923</v>
      </c>
      <c r="M119" s="167">
        <f t="shared" si="21"/>
        <v>5611163.5529162977</v>
      </c>
      <c r="N119" s="74">
        <f>K119+VLOOKUP($B$3:$B$210,'Potentialer og krav'!$B$2:$F$209,5,FALSE)</f>
        <v>4174534.2920803707</v>
      </c>
      <c r="O119" s="160">
        <f t="shared" si="22"/>
        <v>4313602.60172923</v>
      </c>
      <c r="P119" s="163">
        <f t="shared" si="23"/>
        <v>5611163.5529162977</v>
      </c>
      <c r="Q119" s="104">
        <f>N119+(0.25*VLOOKUP($B$3:$B$210,'Potentialer og krav'!$B$2:$C$209,2,FALSE))</f>
        <v>5156227.7920803707</v>
      </c>
      <c r="R119" s="53">
        <f>O119+(0.25*VLOOKUP($B$3:$B$210,'Potentialer og krav'!$B$2:$C$209,2,FALSE))</f>
        <v>5295296.10172923</v>
      </c>
      <c r="S119" s="104">
        <f>P119+(0.25*VLOOKUP($B$3:$B$210,'Potentialer og krav'!$B$2:$C$209,2,FALSE))</f>
        <v>6592857.0529162977</v>
      </c>
      <c r="T119" s="84">
        <v>3339852</v>
      </c>
      <c r="U119" s="92">
        <f t="shared" si="24"/>
        <v>3389949.78</v>
      </c>
      <c r="W119" s="70">
        <f t="shared" si="25"/>
        <v>9.9046170219461244E-2</v>
      </c>
      <c r="X119" s="73">
        <f t="shared" si="26"/>
        <v>0.25017465061463035</v>
      </c>
      <c r="Y119" s="62">
        <f t="shared" si="27"/>
        <v>0</v>
      </c>
      <c r="Z119" s="73">
        <f t="shared" si="28"/>
        <v>0.33371387142342801</v>
      </c>
      <c r="AA119" s="62">
        <f t="shared" si="29"/>
        <v>0.17783444764326956</v>
      </c>
      <c r="AB119" s="64">
        <f t="shared" si="30"/>
        <v>0.13923086009921079</v>
      </c>
      <c r="AC119" s="62"/>
      <c r="AD119" s="145">
        <f t="shared" si="31"/>
        <v>0.31706530774248032</v>
      </c>
      <c r="AF119" s="57">
        <f>W$212-W119</f>
        <v>1.9627235373456592E-2</v>
      </c>
      <c r="AG119" s="60">
        <f>X$212-X119</f>
        <v>3.9623346508437796E-2</v>
      </c>
      <c r="AH119" s="83">
        <f>Y$212-Y119</f>
        <v>4.91945139363381E-2</v>
      </c>
      <c r="AI119" s="60">
        <f>Z$212-Z119</f>
        <v>-0.10237466862314717</v>
      </c>
      <c r="AJ119" s="83">
        <f>AA$212-AA119</f>
        <v>-2.9189534277106133E-2</v>
      </c>
      <c r="AK119" s="76">
        <f>AB$212-AB119</f>
        <v>2.3119107082020668E-2</v>
      </c>
      <c r="AM119" s="57">
        <f>$AD$212-AD119</f>
        <v>-6.0704271950853261E-3</v>
      </c>
      <c r="AN119" s="106">
        <f>IF(AM119&lt;$AD$215,(AM119-$AD$215)*0.5683,0)</f>
        <v>0</v>
      </c>
    </row>
    <row r="120" spans="1:40" x14ac:dyDescent="0.25">
      <c r="A120" s="17" t="s">
        <v>42</v>
      </c>
      <c r="B120" s="90" t="s">
        <v>334</v>
      </c>
      <c r="C120" s="88">
        <f>VLOOKUP($B$3:$B$210,Costdrivere!$B$3:$H$211,2,FALSE)</f>
        <v>324723.92302991421</v>
      </c>
      <c r="D120" s="46">
        <f>VLOOKUP($B$3:$B$210,Costdrivere!$B$3:$H$211,3,FALSE)</f>
        <v>843655.45499999996</v>
      </c>
      <c r="E120" s="23">
        <f>VLOOKUP($B$3:$B$210,Costdrivere!$B$3:$H$211,4,FALSE)</f>
        <v>0</v>
      </c>
      <c r="F120" s="46">
        <f>VLOOKUP($B$3:$B$210,Costdrivere!$B$3:$H$211,5,FALSE)</f>
        <v>767181</v>
      </c>
      <c r="G120" s="23">
        <f>VLOOKUP($B$3:$B$210,Costdrivere!$B$3:$H$211,6,FALSE)</f>
        <v>226650.2</v>
      </c>
      <c r="H120" s="93">
        <f>VLOOKUP($B$3:$B$210,Costdrivere!$B$3:$H$211,7,FALSE)</f>
        <v>250016.2</v>
      </c>
      <c r="I120" s="27">
        <v>34.131779906752456</v>
      </c>
      <c r="J120" s="20">
        <f>VLOOKUP($B$3:$B$210,Costdrivere!$B$3:$I$211,8,FALSE)</f>
        <v>2.418840579710145E-2</v>
      </c>
      <c r="K120" s="74">
        <f t="shared" si="20"/>
        <v>2412226.7780299145</v>
      </c>
      <c r="L120" s="89">
        <f t="shared" si="32"/>
        <v>2869035.0798792508</v>
      </c>
      <c r="M120" s="167">
        <f t="shared" si="21"/>
        <v>2505357.4701191592</v>
      </c>
      <c r="N120" s="74">
        <f>K120+VLOOKUP($B$3:$B$210,'Potentialer og krav'!$B$2:$F$209,5,FALSE)</f>
        <v>2412226.7780299145</v>
      </c>
      <c r="O120" s="160">
        <f t="shared" si="22"/>
        <v>2869035.0798792508</v>
      </c>
      <c r="P120" s="163">
        <f t="shared" si="23"/>
        <v>2505357.4701191592</v>
      </c>
      <c r="Q120" s="104">
        <f>N120+(0.25*VLOOKUP($B$3:$B$210,'Potentialer og krav'!$B$2:$C$209,2,FALSE))</f>
        <v>2967470.0280299145</v>
      </c>
      <c r="R120" s="53">
        <f>O120+(0.25*VLOOKUP($B$3:$B$210,'Potentialer og krav'!$B$2:$C$209,2,FALSE))</f>
        <v>3424278.3298792508</v>
      </c>
      <c r="S120" s="104">
        <f>P120+(0.25*VLOOKUP($B$3:$B$210,'Potentialer og krav'!$B$2:$C$209,2,FALSE))</f>
        <v>3060600.7201191592</v>
      </c>
      <c r="T120" s="84">
        <v>2258468</v>
      </c>
      <c r="U120" s="92">
        <f t="shared" si="24"/>
        <v>2292345.0199999996</v>
      </c>
      <c r="W120" s="70">
        <f t="shared" si="25"/>
        <v>0.13461583545437586</v>
      </c>
      <c r="X120" s="73">
        <f t="shared" si="26"/>
        <v>0.34974135213316071</v>
      </c>
      <c r="Y120" s="62">
        <f t="shared" si="27"/>
        <v>0</v>
      </c>
      <c r="Z120" s="73">
        <f t="shared" si="28"/>
        <v>0.31803850574387665</v>
      </c>
      <c r="AA120" s="62">
        <f t="shared" si="29"/>
        <v>9.3958910523788769E-2</v>
      </c>
      <c r="AB120" s="64">
        <f t="shared" si="30"/>
        <v>0.10364539614479792</v>
      </c>
      <c r="AC120" s="62"/>
      <c r="AD120" s="145">
        <f t="shared" si="31"/>
        <v>0.19760430666858669</v>
      </c>
      <c r="AF120" s="57">
        <f>W$212-W120</f>
        <v>-1.5942429861458024E-2</v>
      </c>
      <c r="AG120" s="60">
        <f>X$212-X120</f>
        <v>-5.9943355010092569E-2</v>
      </c>
      <c r="AH120" s="83">
        <f>Y$212-Y120</f>
        <v>4.91945139363381E-2</v>
      </c>
      <c r="AI120" s="60">
        <f>Z$212-Z120</f>
        <v>-8.6699302943595818E-2</v>
      </c>
      <c r="AJ120" s="83">
        <f>AA$212-AA120</f>
        <v>5.4686002842374654E-2</v>
      </c>
      <c r="AK120" s="76">
        <f>AB$212-AB120</f>
        <v>5.8704571036433534E-2</v>
      </c>
      <c r="AM120" s="57">
        <f>$AD$212-AD120</f>
        <v>0.1133905738788083</v>
      </c>
      <c r="AN120" s="106">
        <f>IF(AM120&lt;$AD$215,(AM120-$AD$215)*0.5683,0)</f>
        <v>0</v>
      </c>
    </row>
    <row r="121" spans="1:40" x14ac:dyDescent="0.25">
      <c r="A121" s="17" t="s">
        <v>53</v>
      </c>
      <c r="B121" s="90" t="s">
        <v>335</v>
      </c>
      <c r="C121" s="88">
        <f>VLOOKUP($B$3:$B$210,Costdrivere!$B$3:$H$211,2,FALSE)</f>
        <v>1126444.3324129325</v>
      </c>
      <c r="D121" s="46">
        <f>VLOOKUP($B$3:$B$210,Costdrivere!$B$3:$H$211,3,FALSE)</f>
        <v>3118848.41</v>
      </c>
      <c r="E121" s="23">
        <f>VLOOKUP($B$3:$B$210,Costdrivere!$B$3:$H$211,4,FALSE)</f>
        <v>486452</v>
      </c>
      <c r="F121" s="46">
        <f>VLOOKUP($B$3:$B$210,Costdrivere!$B$3:$H$211,5,FALSE)</f>
        <v>3391386</v>
      </c>
      <c r="G121" s="23">
        <f>VLOOKUP($B$3:$B$210,Costdrivere!$B$3:$H$211,6,FALSE)</f>
        <v>2151479.4000000004</v>
      </c>
      <c r="H121" s="93">
        <f>VLOOKUP($B$3:$B$210,Costdrivere!$B$3:$H$211,7,FALSE)</f>
        <v>2373281.4000000004</v>
      </c>
      <c r="I121" s="27">
        <v>35.393937278974406</v>
      </c>
      <c r="J121" s="20">
        <f>VLOOKUP($B$3:$B$210,Costdrivere!$B$3:$I$211,8,FALSE)</f>
        <v>1.8905727923627685E-2</v>
      </c>
      <c r="K121" s="74">
        <f t="shared" si="20"/>
        <v>12647891.542412933</v>
      </c>
      <c r="L121" s="89">
        <f t="shared" si="32"/>
        <v>15330393.876229251</v>
      </c>
      <c r="M121" s="167">
        <f t="shared" si="21"/>
        <v>12231259.611056708</v>
      </c>
      <c r="N121" s="74">
        <f>K121+VLOOKUP($B$3:$B$210,'Potentialer og krav'!$B$2:$F$209,5,FALSE)</f>
        <v>12647891.542412933</v>
      </c>
      <c r="O121" s="160">
        <f t="shared" si="22"/>
        <v>15330393.876229251</v>
      </c>
      <c r="P121" s="163">
        <f t="shared" si="23"/>
        <v>12231259.611056708</v>
      </c>
      <c r="Q121" s="104">
        <f>N121+(0.25*VLOOKUP($B$3:$B$210,'Potentialer og krav'!$B$2:$C$209,2,FALSE))</f>
        <v>16869696.792412933</v>
      </c>
      <c r="R121" s="53">
        <f>O121+(0.25*VLOOKUP($B$3:$B$210,'Potentialer og krav'!$B$2:$C$209,2,FALSE))</f>
        <v>19552199.126229249</v>
      </c>
      <c r="S121" s="104">
        <f>P121+(0.25*VLOOKUP($B$3:$B$210,'Potentialer og krav'!$B$2:$C$209,2,FALSE))</f>
        <v>16453064.861056708</v>
      </c>
      <c r="T121" s="84">
        <v>11537278</v>
      </c>
      <c r="U121" s="92">
        <f t="shared" si="24"/>
        <v>11710337.169999998</v>
      </c>
      <c r="W121" s="70">
        <f t="shared" si="25"/>
        <v>8.9061827312130179E-2</v>
      </c>
      <c r="X121" s="73">
        <f t="shared" si="26"/>
        <v>0.24659038224208191</v>
      </c>
      <c r="Y121" s="62">
        <f t="shared" si="27"/>
        <v>3.8461114120780633E-2</v>
      </c>
      <c r="Z121" s="73">
        <f t="shared" si="28"/>
        <v>0.26813844731570174</v>
      </c>
      <c r="AA121" s="62">
        <f t="shared" si="29"/>
        <v>0.17010577555834627</v>
      </c>
      <c r="AB121" s="64">
        <f t="shared" si="30"/>
        <v>0.18764245345095928</v>
      </c>
      <c r="AC121" s="62"/>
      <c r="AD121" s="145">
        <f t="shared" si="31"/>
        <v>0.35774822900930559</v>
      </c>
      <c r="AF121" s="57">
        <f>W$212-W121</f>
        <v>2.9611578280787657E-2</v>
      </c>
      <c r="AG121" s="60">
        <f>X$212-X121</f>
        <v>4.3207614880986234E-2</v>
      </c>
      <c r="AH121" s="83">
        <f>Y$212-Y121</f>
        <v>1.0733399815557466E-2</v>
      </c>
      <c r="AI121" s="60">
        <f>Z$212-Z121</f>
        <v>-3.6799244515420909E-2</v>
      </c>
      <c r="AJ121" s="83">
        <f>AA$212-AA121</f>
        <v>-2.146086219218285E-2</v>
      </c>
      <c r="AK121" s="76">
        <f>AB$212-AB121</f>
        <v>-2.5292486269727826E-2</v>
      </c>
      <c r="AM121" s="57">
        <f>$AD$212-AD121</f>
        <v>-4.6753348461910593E-2</v>
      </c>
      <c r="AN121" s="106">
        <f>IF(AM121&lt;$AD$215,(AM121-$AD$215)*0.5683,0)</f>
        <v>0</v>
      </c>
    </row>
    <row r="122" spans="1:40" x14ac:dyDescent="0.25">
      <c r="A122" s="17" t="s">
        <v>43</v>
      </c>
      <c r="B122" s="90" t="s">
        <v>336</v>
      </c>
      <c r="C122" s="88">
        <f>VLOOKUP($B$3:$B$210,Costdrivere!$B$3:$H$211,2,FALSE)</f>
        <v>663875.78186417255</v>
      </c>
      <c r="D122" s="46">
        <f>VLOOKUP($B$3:$B$210,Costdrivere!$B$3:$H$211,3,FALSE)</f>
        <v>1668646.8870000001</v>
      </c>
      <c r="E122" s="23">
        <f>VLOOKUP($B$3:$B$210,Costdrivere!$B$3:$H$211,4,FALSE)</f>
        <v>786310</v>
      </c>
      <c r="F122" s="46">
        <f>VLOOKUP($B$3:$B$210,Costdrivere!$B$3:$H$211,5,FALSE)</f>
        <v>6635178</v>
      </c>
      <c r="G122" s="23">
        <f>VLOOKUP($B$3:$B$210,Costdrivere!$B$3:$H$211,6,FALSE)</f>
        <v>1771259.8000000003</v>
      </c>
      <c r="H122" s="93">
        <f>VLOOKUP($B$3:$B$210,Costdrivere!$B$3:$H$211,7,FALSE)</f>
        <v>1710716.0000000002</v>
      </c>
      <c r="I122" s="27">
        <v>60.315088137190621</v>
      </c>
      <c r="J122" s="20">
        <f>VLOOKUP($B$3:$B$210,Costdrivere!$B$3:$I$211,8,FALSE)</f>
        <v>4.5138339920948616E-2</v>
      </c>
      <c r="K122" s="74">
        <f t="shared" si="20"/>
        <v>13235986.468864173</v>
      </c>
      <c r="L122" s="89">
        <f t="shared" si="32"/>
        <v>21980626.647736587</v>
      </c>
      <c r="M122" s="167">
        <f t="shared" si="21"/>
        <v>17502655.361123949</v>
      </c>
      <c r="N122" s="74">
        <f>K122+VLOOKUP($B$3:$B$210,'Potentialer og krav'!$B$2:$F$209,5,FALSE)</f>
        <v>13235986.468864173</v>
      </c>
      <c r="O122" s="160">
        <f t="shared" si="22"/>
        <v>21980626.647736587</v>
      </c>
      <c r="P122" s="163">
        <f t="shared" si="23"/>
        <v>17502655.361123949</v>
      </c>
      <c r="Q122" s="104">
        <f>N122+(0.25*VLOOKUP($B$3:$B$210,'Potentialer og krav'!$B$2:$C$209,2,FALSE))</f>
        <v>17766404.718864173</v>
      </c>
      <c r="R122" s="53">
        <f>O122+(0.25*VLOOKUP($B$3:$B$210,'Potentialer og krav'!$B$2:$C$209,2,FALSE))</f>
        <v>26511044.897736587</v>
      </c>
      <c r="S122" s="104">
        <f>P122+(0.25*VLOOKUP($B$3:$B$210,'Potentialer og krav'!$B$2:$C$209,2,FALSE))</f>
        <v>22033073.611123949</v>
      </c>
      <c r="T122" s="84">
        <v>14105949</v>
      </c>
      <c r="U122" s="92">
        <f t="shared" si="24"/>
        <v>14317538.234999999</v>
      </c>
      <c r="W122" s="70">
        <f t="shared" si="25"/>
        <v>5.015687976304966E-2</v>
      </c>
      <c r="X122" s="73">
        <f t="shared" si="26"/>
        <v>0.12606894778302025</v>
      </c>
      <c r="Y122" s="62">
        <f t="shared" si="27"/>
        <v>5.9406981251430374E-2</v>
      </c>
      <c r="Z122" s="73">
        <f t="shared" si="28"/>
        <v>0.50129833659231504</v>
      </c>
      <c r="AA122" s="62">
        <f t="shared" si="29"/>
        <v>0.13382151788736291</v>
      </c>
      <c r="AB122" s="64">
        <f t="shared" si="30"/>
        <v>0.12924733672282177</v>
      </c>
      <c r="AC122" s="62"/>
      <c r="AD122" s="145">
        <f t="shared" si="31"/>
        <v>0.2630688546101847</v>
      </c>
      <c r="AF122" s="57">
        <f>W$212-W122</f>
        <v>6.8516525829868169E-2</v>
      </c>
      <c r="AG122" s="60">
        <f>X$212-X122</f>
        <v>0.16372904934004789</v>
      </c>
      <c r="AH122" s="83">
        <f>Y$212-Y122</f>
        <v>-1.0212467315092275E-2</v>
      </c>
      <c r="AI122" s="60">
        <f>Z$212-Z122</f>
        <v>-0.26995913379203418</v>
      </c>
      <c r="AJ122" s="83">
        <f>AA$212-AA122</f>
        <v>1.4823395478800516E-2</v>
      </c>
      <c r="AK122" s="76">
        <f>AB$212-AB122</f>
        <v>3.3102630458409693E-2</v>
      </c>
      <c r="AM122" s="57">
        <f>$AD$212-AD122</f>
        <v>4.7926025937210293E-2</v>
      </c>
      <c r="AN122" s="106">
        <f>IF(AM122&lt;$AD$215,(AM122-$AD$215)*0.5683,0)</f>
        <v>0</v>
      </c>
    </row>
    <row r="123" spans="1:40" x14ac:dyDescent="0.25">
      <c r="A123" s="17" t="s">
        <v>337</v>
      </c>
      <c r="B123" s="90" t="s">
        <v>338</v>
      </c>
      <c r="C123" s="88">
        <f>VLOOKUP($B$3:$B$210,Costdrivere!$B$3:$H$211,2,FALSE)</f>
        <v>304679.59915852197</v>
      </c>
      <c r="D123" s="46">
        <f>VLOOKUP($B$3:$B$210,Costdrivere!$B$3:$H$211,3,FALSE)</f>
        <v>787913.40099999995</v>
      </c>
      <c r="E123" s="23">
        <f>VLOOKUP($B$3:$B$210,Costdrivere!$B$3:$H$211,4,FALSE)</f>
        <v>35453</v>
      </c>
      <c r="F123" s="46">
        <f>VLOOKUP($B$3:$B$210,Costdrivere!$B$3:$H$211,5,FALSE)</f>
        <v>489687</v>
      </c>
      <c r="G123" s="23">
        <f>VLOOKUP($B$3:$B$210,Costdrivere!$B$3:$H$211,6,FALSE)</f>
        <v>321031.2</v>
      </c>
      <c r="H123" s="93">
        <f>VLOOKUP($B$3:$B$210,Costdrivere!$B$3:$H$211,7,FALSE)</f>
        <v>362366.2</v>
      </c>
      <c r="I123" s="27">
        <v>28.017992276856081</v>
      </c>
      <c r="J123" s="20">
        <f>VLOOKUP($B$3:$B$210,Costdrivere!$B$3:$I$211,8,FALSE)</f>
        <v>1.9991735537190084E-2</v>
      </c>
      <c r="K123" s="74">
        <f t="shared" si="20"/>
        <v>2301130.4001585217</v>
      </c>
      <c r="L123" s="89">
        <f t="shared" si="32"/>
        <v>2483664.9481253936</v>
      </c>
      <c r="M123" s="167">
        <f t="shared" si="21"/>
        <v>2259176.3428436844</v>
      </c>
      <c r="N123" s="74">
        <f>K123+VLOOKUP($B$3:$B$210,'Potentialer og krav'!$B$2:$F$209,5,FALSE)</f>
        <v>2301130.4001585217</v>
      </c>
      <c r="O123" s="160">
        <f t="shared" si="22"/>
        <v>2483664.9481253936</v>
      </c>
      <c r="P123" s="163">
        <f t="shared" si="23"/>
        <v>2259176.3428436844</v>
      </c>
      <c r="Q123" s="104">
        <f>N123+(0.25*VLOOKUP($B$3:$B$210,'Potentialer og krav'!$B$2:$C$209,2,FALSE))</f>
        <v>2771513.1501585217</v>
      </c>
      <c r="R123" s="53">
        <f>O123+(0.25*VLOOKUP($B$3:$B$210,'Potentialer og krav'!$B$2:$C$209,2,FALSE))</f>
        <v>2954047.6981253936</v>
      </c>
      <c r="S123" s="104">
        <f>P123+(0.25*VLOOKUP($B$3:$B$210,'Potentialer og krav'!$B$2:$C$209,2,FALSE))</f>
        <v>2729559.0928436844</v>
      </c>
      <c r="T123" s="84">
        <v>1614946</v>
      </c>
      <c r="U123" s="92">
        <f t="shared" si="24"/>
        <v>1639170.19</v>
      </c>
      <c r="W123" s="70">
        <f t="shared" si="25"/>
        <v>0.13240431708586919</v>
      </c>
      <c r="X123" s="73">
        <f t="shared" si="26"/>
        <v>0.34240276037625755</v>
      </c>
      <c r="Y123" s="62">
        <f t="shared" si="27"/>
        <v>1.5406775729683851E-2</v>
      </c>
      <c r="Z123" s="73">
        <f t="shared" si="28"/>
        <v>0.21280280333798821</v>
      </c>
      <c r="AA123" s="62">
        <f t="shared" si="29"/>
        <v>0.13951021636056984</v>
      </c>
      <c r="AB123" s="64">
        <f t="shared" si="30"/>
        <v>0.15747312710963146</v>
      </c>
      <c r="AC123" s="62"/>
      <c r="AD123" s="145">
        <f t="shared" si="31"/>
        <v>0.29698334347020128</v>
      </c>
      <c r="AF123" s="57">
        <f>W$212-W123</f>
        <v>-1.3730911492951359E-2</v>
      </c>
      <c r="AG123" s="60">
        <f>X$212-X123</f>
        <v>-5.2604763253189413E-2</v>
      </c>
      <c r="AH123" s="83">
        <f>Y$212-Y123</f>
        <v>3.3787738206654247E-2</v>
      </c>
      <c r="AI123" s="60">
        <f>Z$212-Z123</f>
        <v>1.853639946229263E-2</v>
      </c>
      <c r="AJ123" s="83">
        <f>AA$212-AA123</f>
        <v>9.1346970055935783E-3</v>
      </c>
      <c r="AK123" s="76">
        <f>AB$212-AB123</f>
        <v>4.8768400715999971E-3</v>
      </c>
      <c r="AM123" s="57">
        <f>$AD$212-AD123</f>
        <v>1.4011537077193714E-2</v>
      </c>
      <c r="AN123" s="106">
        <f>IF(AM123&lt;$AD$215,(AM123-$AD$215)*0.5683,0)</f>
        <v>0</v>
      </c>
    </row>
    <row r="124" spans="1:40" x14ac:dyDescent="0.25">
      <c r="A124" s="17" t="s">
        <v>339</v>
      </c>
      <c r="B124" s="90" t="s">
        <v>340</v>
      </c>
      <c r="C124" s="88">
        <f>VLOOKUP($B$3:$B$210,Costdrivere!$B$3:$H$211,2,FALSE)</f>
        <v>214734.8212991578</v>
      </c>
      <c r="D124" s="46">
        <f>VLOOKUP($B$3:$B$210,Costdrivere!$B$3:$H$211,3,FALSE)</f>
        <v>473556.57900000003</v>
      </c>
      <c r="E124" s="23">
        <f>VLOOKUP($B$3:$B$210,Costdrivere!$B$3:$H$211,4,FALSE)</f>
        <v>106359</v>
      </c>
      <c r="F124" s="46">
        <f>VLOOKUP($B$3:$B$210,Costdrivere!$B$3:$H$211,5,FALSE)</f>
        <v>194256</v>
      </c>
      <c r="G124" s="23">
        <f>VLOOKUP($B$3:$B$210,Costdrivere!$B$3:$H$211,6,FALSE)</f>
        <v>291291</v>
      </c>
      <c r="H124" s="93">
        <f>VLOOKUP($B$3:$B$210,Costdrivere!$B$3:$H$211,7,FALSE)</f>
        <v>303794.40000000002</v>
      </c>
      <c r="I124" s="27">
        <v>29.558053455444213</v>
      </c>
      <c r="J124" s="20">
        <f>VLOOKUP($B$3:$B$210,Costdrivere!$B$3:$I$211,8,FALSE)</f>
        <v>4.2250000000000003E-2</v>
      </c>
      <c r="K124" s="74">
        <f t="shared" si="20"/>
        <v>1583991.8002991579</v>
      </c>
      <c r="L124" s="89">
        <f t="shared" si="32"/>
        <v>1753550.1426841163</v>
      </c>
      <c r="M124" s="167">
        <f t="shared" si="21"/>
        <v>2032632.1338650896</v>
      </c>
      <c r="N124" s="74">
        <f>K124+VLOOKUP($B$3:$B$210,'Potentialer og krav'!$B$2:$F$209,5,FALSE)</f>
        <v>1832837.8002991579</v>
      </c>
      <c r="O124" s="160">
        <f t="shared" si="22"/>
        <v>2029033.8533472386</v>
      </c>
      <c r="P124" s="163">
        <f t="shared" si="23"/>
        <v>2351959.7818290894</v>
      </c>
      <c r="Q124" s="104">
        <f>N124+(0.25*VLOOKUP($B$3:$B$210,'Potentialer og krav'!$B$2:$C$209,2,FALSE))</f>
        <v>2587116.406736658</v>
      </c>
      <c r="R124" s="53">
        <f>O124+(0.25*VLOOKUP($B$3:$B$210,'Potentialer og krav'!$B$2:$C$209,2,FALSE))</f>
        <v>2783312.4597847387</v>
      </c>
      <c r="S124" s="104">
        <f>P124+(0.25*VLOOKUP($B$3:$B$210,'Potentialer og krav'!$B$2:$C$209,2,FALSE))</f>
        <v>3106238.3882665895</v>
      </c>
      <c r="T124" s="84">
        <v>3237282</v>
      </c>
      <c r="U124" s="92">
        <f t="shared" si="24"/>
        <v>3285841.2299999995</v>
      </c>
      <c r="W124" s="70">
        <f t="shared" si="25"/>
        <v>0.13556561420242344</v>
      </c>
      <c r="X124" s="73">
        <f t="shared" si="26"/>
        <v>0.29896403435331076</v>
      </c>
      <c r="Y124" s="62">
        <f t="shared" si="27"/>
        <v>6.7146180920830967E-2</v>
      </c>
      <c r="Z124" s="73">
        <f t="shared" si="28"/>
        <v>0.12263699847645182</v>
      </c>
      <c r="AA124" s="62">
        <f t="shared" si="29"/>
        <v>0.18389678528953612</v>
      </c>
      <c r="AB124" s="64">
        <f t="shared" si="30"/>
        <v>0.19179038675744686</v>
      </c>
      <c r="AC124" s="62"/>
      <c r="AD124" s="145">
        <f t="shared" si="31"/>
        <v>0.37568717204698299</v>
      </c>
      <c r="AF124" s="57">
        <f>W$212-W124</f>
        <v>-1.6892208609505605E-2</v>
      </c>
      <c r="AG124" s="60">
        <f>X$212-X124</f>
        <v>-9.1660372302426185E-3</v>
      </c>
      <c r="AH124" s="83">
        <f>Y$212-Y124</f>
        <v>-1.7951666984492867E-2</v>
      </c>
      <c r="AI124" s="60">
        <f>Z$212-Z124</f>
        <v>0.10870220432382902</v>
      </c>
      <c r="AJ124" s="83">
        <f>AA$212-AA124</f>
        <v>-3.5251871923372702E-2</v>
      </c>
      <c r="AK124" s="76">
        <f>AB$212-AB124</f>
        <v>-2.9440419576215404E-2</v>
      </c>
      <c r="AM124" s="57">
        <f>$AD$212-AD124</f>
        <v>-6.4692291499587995E-2</v>
      </c>
      <c r="AN124" s="106">
        <f>IF(AM124&lt;$AD$215,(AM124-$AD$215)*0.5683,0)</f>
        <v>0</v>
      </c>
    </row>
    <row r="125" spans="1:40" x14ac:dyDescent="0.25">
      <c r="A125" s="17" t="s">
        <v>341</v>
      </c>
      <c r="B125" s="90" t="s">
        <v>342</v>
      </c>
      <c r="C125" s="88">
        <f>VLOOKUP($B$3:$B$210,Costdrivere!$B$3:$H$211,2,FALSE)</f>
        <v>196987.47992883646</v>
      </c>
      <c r="D125" s="46">
        <f>VLOOKUP($B$3:$B$210,Costdrivere!$B$3:$H$211,3,FALSE)</f>
        <v>400828.88699999999</v>
      </c>
      <c r="E125" s="23">
        <f>VLOOKUP($B$3:$B$210,Costdrivere!$B$3:$H$211,4,FALSE)</f>
        <v>0</v>
      </c>
      <c r="F125" s="46">
        <f>VLOOKUP($B$3:$B$210,Costdrivere!$B$3:$H$211,5,FALSE)</f>
        <v>254961</v>
      </c>
      <c r="G125" s="23">
        <f>VLOOKUP($B$3:$B$210,Costdrivere!$B$3:$H$211,6,FALSE)</f>
        <v>366252.60000000003</v>
      </c>
      <c r="H125" s="93">
        <f>VLOOKUP($B$3:$B$210,Costdrivere!$B$3:$H$211,7,FALSE)</f>
        <v>393075.20000000001</v>
      </c>
      <c r="I125" s="27">
        <v>26.872577661090578</v>
      </c>
      <c r="J125" s="20">
        <f>VLOOKUP($B$3:$B$210,Costdrivere!$B$3:$I$211,8,FALSE)</f>
        <v>4.1650793650793654E-2</v>
      </c>
      <c r="K125" s="74">
        <f t="shared" ref="K125:K185" si="47">SUM(C125:H125)</f>
        <v>1612105.1669288364</v>
      </c>
      <c r="L125" s="89">
        <f t="shared" si="32"/>
        <v>1706746.0543146105</v>
      </c>
      <c r="M125" s="167">
        <f t="shared" ref="M125:M185" si="48">IF(J125=0,K125,(0.711+13.544*J125)*K125)</f>
        <v>2055624.8792013237</v>
      </c>
      <c r="N125" s="74">
        <f>K125+VLOOKUP($B$3:$B$210,'Potentialer og krav'!$B$2:$F$209,5,FALSE)</f>
        <v>1612105.1669288364</v>
      </c>
      <c r="O125" s="160">
        <f t="shared" ref="O125:O185" si="49">IF(I125=0,N125,((0.575+0.018*I125)*N125))</f>
        <v>1706746.0543146105</v>
      </c>
      <c r="P125" s="163">
        <f t="shared" ref="P125:P185" si="50">IF(J125=0,N125,((0.711+13.544*J125)*N125))</f>
        <v>2055624.8792013237</v>
      </c>
      <c r="Q125" s="104">
        <f>N125+(0.25*VLOOKUP($B$3:$B$210,'Potentialer og krav'!$B$2:$C$209,2,FALSE))</f>
        <v>1996929.6669288364</v>
      </c>
      <c r="R125" s="53">
        <f>O125+(0.25*VLOOKUP($B$3:$B$210,'Potentialer og krav'!$B$2:$C$209,2,FALSE))</f>
        <v>2091570.5543146105</v>
      </c>
      <c r="S125" s="104">
        <f>P125+(0.25*VLOOKUP($B$3:$B$210,'Potentialer og krav'!$B$2:$C$209,2,FALSE))</f>
        <v>2440449.3792013237</v>
      </c>
      <c r="T125" s="84">
        <v>1443908</v>
      </c>
      <c r="U125" s="92">
        <f t="shared" ref="U125:U185" si="51">1.015*T125</f>
        <v>1465566.6199999999</v>
      </c>
      <c r="W125" s="70">
        <f t="shared" ref="W125:W185" si="52">C125/(SUM($C125:$H125))</f>
        <v>0.12219269807571563</v>
      </c>
      <c r="X125" s="73">
        <f t="shared" ref="X125:X185" si="53">D125/(SUM($C125:$H125))</f>
        <v>0.24863693462604844</v>
      </c>
      <c r="Y125" s="62">
        <f t="shared" ref="Y125:Y185" si="54">E125/(SUM($C125:$H125))</f>
        <v>0</v>
      </c>
      <c r="Z125" s="73">
        <f t="shared" ref="Z125:Z185" si="55">F125/(SUM($C125:$H125))</f>
        <v>0.1581540740829688</v>
      </c>
      <c r="AA125" s="62">
        <f t="shared" ref="AA125:AA185" si="56">G125/(SUM($C125:$H125))</f>
        <v>0.22718902433501575</v>
      </c>
      <c r="AB125" s="64">
        <f t="shared" ref="AB125:AB185" si="57">H125/(SUM($C125:$H125))</f>
        <v>0.24382726888025144</v>
      </c>
      <c r="AC125" s="62"/>
      <c r="AD125" s="145">
        <f t="shared" ref="AD125:AD185" si="58">SUM(AA125:AB125)</f>
        <v>0.47101629321526717</v>
      </c>
      <c r="AF125" s="57">
        <f>W$212-W125</f>
        <v>-3.5192924827977951E-3</v>
      </c>
      <c r="AG125" s="60">
        <f>X$212-X125</f>
        <v>4.1161062497019701E-2</v>
      </c>
      <c r="AH125" s="83">
        <f>Y$212-Y125</f>
        <v>4.91945139363381E-2</v>
      </c>
      <c r="AI125" s="60">
        <f>Z$212-Z125</f>
        <v>7.3185128717312031E-2</v>
      </c>
      <c r="AJ125" s="83">
        <f>AA$212-AA125</f>
        <v>-7.8544110968852332E-2</v>
      </c>
      <c r="AK125" s="76">
        <f>AB$212-AB125</f>
        <v>-8.1477301699019983E-2</v>
      </c>
      <c r="AM125" s="57">
        <f>$AD$212-AD125</f>
        <v>-0.16002141266787218</v>
      </c>
      <c r="AN125" s="106">
        <f>IF(AM125&lt;$AD$215,(AM125-$AD$215)*0.5683,0)</f>
        <v>-3.1264367388938716E-2</v>
      </c>
    </row>
    <row r="126" spans="1:40" x14ac:dyDescent="0.25">
      <c r="A126" s="17" t="s">
        <v>343</v>
      </c>
      <c r="B126" s="90" t="s">
        <v>344</v>
      </c>
      <c r="C126" s="88">
        <f>VLOOKUP($B$3:$B$210,Costdrivere!$B$3:$H$211,2,FALSE)</f>
        <v>144849.28340432103</v>
      </c>
      <c r="D126" s="46">
        <f>VLOOKUP($B$3:$B$210,Costdrivere!$B$3:$H$211,3,FALSE)</f>
        <v>349791.95399999997</v>
      </c>
      <c r="E126" s="23">
        <f>VLOOKUP($B$3:$B$210,Costdrivere!$B$3:$H$211,4,FALSE)</f>
        <v>106359</v>
      </c>
      <c r="F126" s="46">
        <f>VLOOKUP($B$3:$B$210,Costdrivere!$B$3:$H$211,5,FALSE)</f>
        <v>312833.09999999998</v>
      </c>
      <c r="G126" s="23">
        <f>VLOOKUP($B$3:$B$210,Costdrivere!$B$3:$H$211,6,FALSE)</f>
        <v>187539.80000000002</v>
      </c>
      <c r="H126" s="93">
        <f>VLOOKUP($B$3:$B$210,Costdrivere!$B$3:$H$211,7,FALSE)</f>
        <v>206873.80000000002</v>
      </c>
      <c r="I126" s="27">
        <v>23.973084560161702</v>
      </c>
      <c r="J126" s="20">
        <f>VLOOKUP($B$3:$B$210,Costdrivere!$B$3:$I$211,8,FALSE)</f>
        <v>1.7865459249676585E-2</v>
      </c>
      <c r="K126" s="74">
        <f t="shared" si="47"/>
        <v>1308246.937404321</v>
      </c>
      <c r="L126" s="89">
        <f t="shared" ref="L126:L185" si="59">IF(I126=0,K126,((0.575+0.018*I126)*K126))</f>
        <v>1316770.8492148789</v>
      </c>
      <c r="M126" s="167">
        <f t="shared" si="48"/>
        <v>1246719.7962254153</v>
      </c>
      <c r="N126" s="74">
        <f>K126+VLOOKUP($B$3:$B$210,'Potentialer og krav'!$B$2:$F$209,5,FALSE)</f>
        <v>1308246.937404321</v>
      </c>
      <c r="O126" s="160">
        <f t="shared" si="49"/>
        <v>1316770.8492148789</v>
      </c>
      <c r="P126" s="163">
        <f t="shared" si="50"/>
        <v>1246719.7962254153</v>
      </c>
      <c r="Q126" s="104">
        <f>N126+(0.25*VLOOKUP($B$3:$B$210,'Potentialer og krav'!$B$2:$C$209,2,FALSE))</f>
        <v>1523604.437404321</v>
      </c>
      <c r="R126" s="53">
        <f>O126+(0.25*VLOOKUP($B$3:$B$210,'Potentialer og krav'!$B$2:$C$209,2,FALSE))</f>
        <v>1532128.3492148789</v>
      </c>
      <c r="S126" s="104">
        <f>P126+(0.25*VLOOKUP($B$3:$B$210,'Potentialer og krav'!$B$2:$C$209,2,FALSE))</f>
        <v>1462077.2962254153</v>
      </c>
      <c r="T126" s="84">
        <v>697392</v>
      </c>
      <c r="U126" s="92">
        <f t="shared" si="51"/>
        <v>707852.87999999989</v>
      </c>
      <c r="W126" s="70">
        <f t="shared" si="52"/>
        <v>0.11072013949577056</v>
      </c>
      <c r="X126" s="73">
        <f t="shared" si="53"/>
        <v>0.26737456362330075</v>
      </c>
      <c r="Y126" s="62">
        <f t="shared" si="54"/>
        <v>8.1298871764244884E-2</v>
      </c>
      <c r="Z126" s="73">
        <f t="shared" si="55"/>
        <v>0.2391238924821707</v>
      </c>
      <c r="AA126" s="62">
        <f t="shared" si="56"/>
        <v>0.14335198855660672</v>
      </c>
      <c r="AB126" s="64">
        <f t="shared" si="57"/>
        <v>0.15813054407790639</v>
      </c>
      <c r="AC126" s="62"/>
      <c r="AD126" s="145">
        <f t="shared" si="58"/>
        <v>0.30148253263451308</v>
      </c>
      <c r="AF126" s="57">
        <f>W$212-W126</f>
        <v>7.9532660971472768E-3</v>
      </c>
      <c r="AG126" s="60">
        <f>X$212-X126</f>
        <v>2.2423433499767387E-2</v>
      </c>
      <c r="AH126" s="83">
        <f>Y$212-Y126</f>
        <v>-3.2104357827906785E-2</v>
      </c>
      <c r="AI126" s="60">
        <f>Z$212-Z126</f>
        <v>-7.7846896818898614E-3</v>
      </c>
      <c r="AJ126" s="83">
        <f>AA$212-AA126</f>
        <v>5.2929248095567039E-3</v>
      </c>
      <c r="AK126" s="76">
        <f>AB$212-AB126</f>
        <v>4.2194231033250706E-3</v>
      </c>
      <c r="AM126" s="57">
        <f>$AD$212-AD126</f>
        <v>9.5123479128819133E-3</v>
      </c>
      <c r="AN126" s="106">
        <f>IF(AM126&lt;$AD$215,(AM126-$AD$215)*0.5683,0)</f>
        <v>0</v>
      </c>
    </row>
    <row r="127" spans="1:40" x14ac:dyDescent="0.25">
      <c r="A127" s="17" t="s">
        <v>345</v>
      </c>
      <c r="B127" s="90" t="s">
        <v>346</v>
      </c>
      <c r="C127" s="88">
        <f>VLOOKUP($B$3:$B$210,Costdrivere!$B$3:$H$211,2,FALSE)</f>
        <v>784410.95791187801</v>
      </c>
      <c r="D127" s="46">
        <f>VLOOKUP($B$3:$B$210,Costdrivere!$B$3:$H$211,3,FALSE)</f>
        <v>2001466.5279999999</v>
      </c>
      <c r="E127" s="23">
        <f>VLOOKUP($B$3:$B$210,Costdrivere!$B$3:$H$211,4,FALSE)</f>
        <v>346015</v>
      </c>
      <c r="F127" s="46">
        <f>VLOOKUP($B$3:$B$210,Costdrivere!$B$3:$H$211,5,FALSE)</f>
        <v>1193865</v>
      </c>
      <c r="G127" s="23">
        <f>VLOOKUP($B$3:$B$210,Costdrivere!$B$3:$H$211,6,FALSE)</f>
        <v>696789.8</v>
      </c>
      <c r="H127" s="93">
        <f>VLOOKUP($B$3:$B$210,Costdrivere!$B$3:$H$211,7,FALSE)</f>
        <v>824948.60000000009</v>
      </c>
      <c r="I127" s="27">
        <v>30.3369292136551</v>
      </c>
      <c r="J127" s="20">
        <f>VLOOKUP($B$3:$B$210,Costdrivere!$B$3:$I$211,8,FALSE)</f>
        <v>1.8667796610169492E-2</v>
      </c>
      <c r="K127" s="74">
        <f t="shared" si="47"/>
        <v>5847495.8859118782</v>
      </c>
      <c r="L127" s="89">
        <f t="shared" si="59"/>
        <v>6555421.3722241949</v>
      </c>
      <c r="M127" s="167">
        <f t="shared" si="48"/>
        <v>5636030.7712335112</v>
      </c>
      <c r="N127" s="74">
        <f>K127+VLOOKUP($B$3:$B$210,'Potentialer og krav'!$B$2:$F$209,5,FALSE)</f>
        <v>5847495.8859118782</v>
      </c>
      <c r="O127" s="160">
        <f t="shared" si="49"/>
        <v>6555421.3722241949</v>
      </c>
      <c r="P127" s="163">
        <f t="shared" si="50"/>
        <v>5636030.7712335112</v>
      </c>
      <c r="Q127" s="104">
        <f>N127+(0.25*VLOOKUP($B$3:$B$210,'Potentialer og krav'!$B$2:$C$209,2,FALSE))</f>
        <v>7487208.1359118782</v>
      </c>
      <c r="R127" s="53">
        <f>O127+(0.25*VLOOKUP($B$3:$B$210,'Potentialer og krav'!$B$2:$C$209,2,FALSE))</f>
        <v>8195133.6222241949</v>
      </c>
      <c r="S127" s="104">
        <f>P127+(0.25*VLOOKUP($B$3:$B$210,'Potentialer og krav'!$B$2:$C$209,2,FALSE))</f>
        <v>7275743.0212335112</v>
      </c>
      <c r="T127" s="84">
        <v>6307056</v>
      </c>
      <c r="U127" s="92">
        <f t="shared" si="51"/>
        <v>6401661.8399999989</v>
      </c>
      <c r="W127" s="70">
        <f t="shared" si="52"/>
        <v>0.13414476439422998</v>
      </c>
      <c r="X127" s="73">
        <f t="shared" si="53"/>
        <v>0.3422775435929844</v>
      </c>
      <c r="Y127" s="62">
        <f t="shared" si="54"/>
        <v>5.9173192551300317E-2</v>
      </c>
      <c r="Z127" s="73">
        <f t="shared" si="55"/>
        <v>0.20416688156657414</v>
      </c>
      <c r="AA127" s="62">
        <f t="shared" si="56"/>
        <v>0.11916037455943251</v>
      </c>
      <c r="AB127" s="64">
        <f t="shared" si="57"/>
        <v>0.14107724333547861</v>
      </c>
      <c r="AC127" s="62"/>
      <c r="AD127" s="145">
        <f t="shared" si="58"/>
        <v>0.26023761789491112</v>
      </c>
      <c r="AF127" s="57">
        <f>W$212-W127</f>
        <v>-1.5471358801312146E-2</v>
      </c>
      <c r="AG127" s="60">
        <f>X$212-X127</f>
        <v>-5.2479546469916261E-2</v>
      </c>
      <c r="AH127" s="83">
        <f>Y$212-Y127</f>
        <v>-9.9786786149622178E-3</v>
      </c>
      <c r="AI127" s="60">
        <f>Z$212-Z127</f>
        <v>2.7172321233706692E-2</v>
      </c>
      <c r="AJ127" s="83">
        <f>AA$212-AA127</f>
        <v>2.9484538806730909E-2</v>
      </c>
      <c r="AK127" s="76">
        <f>AB$212-AB127</f>
        <v>2.127272384575285E-2</v>
      </c>
      <c r="AM127" s="57">
        <f>$AD$212-AD127</f>
        <v>5.075726265248387E-2</v>
      </c>
      <c r="AN127" s="106">
        <f>IF(AM127&lt;$AD$215,(AM127-$AD$215)*0.5683,0)</f>
        <v>0</v>
      </c>
    </row>
    <row r="128" spans="1:40" x14ac:dyDescent="0.25">
      <c r="A128" s="17" t="s">
        <v>347</v>
      </c>
      <c r="B128" s="90" t="s">
        <v>348</v>
      </c>
      <c r="C128" s="88">
        <f>VLOOKUP($B$3:$B$210,Costdrivere!$B$3:$H$211,2,FALSE)</f>
        <v>978204.34290499601</v>
      </c>
      <c r="D128" s="46">
        <f>VLOOKUP($B$3:$B$210,Costdrivere!$B$3:$H$211,3,FALSE)</f>
        <v>2733596.264</v>
      </c>
      <c r="E128" s="23">
        <f>VLOOKUP($B$3:$B$210,Costdrivere!$B$3:$H$211,4,FALSE)</f>
        <v>180226</v>
      </c>
      <c r="F128" s="46">
        <f>VLOOKUP($B$3:$B$210,Costdrivere!$B$3:$H$211,5,FALSE)</f>
        <v>1740210</v>
      </c>
      <c r="G128" s="23">
        <f>VLOOKUP($B$3:$B$210,Costdrivere!$B$3:$H$211,6,FALSE)</f>
        <v>1024067.8</v>
      </c>
      <c r="H128" s="93">
        <f>VLOOKUP($B$3:$B$210,Costdrivere!$B$3:$H$211,7,FALSE)</f>
        <v>1129641.8</v>
      </c>
      <c r="I128" s="27">
        <v>27.471663599184211</v>
      </c>
      <c r="J128" s="20">
        <f>VLOOKUP($B$3:$B$210,Costdrivere!$B$3:$I$211,8,FALSE)</f>
        <v>1.7537209302325583E-2</v>
      </c>
      <c r="K128" s="74">
        <f t="shared" si="47"/>
        <v>7785946.2069049962</v>
      </c>
      <c r="L128" s="89">
        <f t="shared" si="59"/>
        <v>8326991.1789242625</v>
      </c>
      <c r="M128" s="167">
        <f t="shared" si="48"/>
        <v>7385156.5502487281</v>
      </c>
      <c r="N128" s="74">
        <f>K128+VLOOKUP($B$3:$B$210,'Potentialer og krav'!$B$2:$F$209,5,FALSE)</f>
        <v>7785946.2069049962</v>
      </c>
      <c r="O128" s="160">
        <f t="shared" si="49"/>
        <v>8326991.1789242625</v>
      </c>
      <c r="P128" s="163">
        <f t="shared" si="50"/>
        <v>7385156.5502487281</v>
      </c>
      <c r="Q128" s="104">
        <f>N128+(0.25*VLOOKUP($B$3:$B$210,'Potentialer og krav'!$B$2:$C$209,2,FALSE))</f>
        <v>9310813.4569049962</v>
      </c>
      <c r="R128" s="53">
        <f>O128+(0.25*VLOOKUP($B$3:$B$210,'Potentialer og krav'!$B$2:$C$209,2,FALSE))</f>
        <v>9851858.4289242625</v>
      </c>
      <c r="S128" s="104">
        <f>P128+(0.25*VLOOKUP($B$3:$B$210,'Potentialer og krav'!$B$2:$C$209,2,FALSE))</f>
        <v>8910023.8002487272</v>
      </c>
      <c r="T128" s="84">
        <v>6209027</v>
      </c>
      <c r="U128" s="92">
        <f t="shared" si="51"/>
        <v>6302162.4049999993</v>
      </c>
      <c r="W128" s="70">
        <f t="shared" si="52"/>
        <v>0.12563718229101964</v>
      </c>
      <c r="X128" s="73">
        <f t="shared" si="53"/>
        <v>0.35109364891009648</v>
      </c>
      <c r="Y128" s="62">
        <f t="shared" si="54"/>
        <v>2.3147604056160301E-2</v>
      </c>
      <c r="Z128" s="73">
        <f t="shared" si="55"/>
        <v>0.22350655318639218</v>
      </c>
      <c r="AA128" s="62">
        <f t="shared" si="56"/>
        <v>0.13152772608315758</v>
      </c>
      <c r="AB128" s="64">
        <f t="shared" si="57"/>
        <v>0.14508728547317382</v>
      </c>
      <c r="AC128" s="62"/>
      <c r="AD128" s="145">
        <f t="shared" si="58"/>
        <v>0.27661501155633139</v>
      </c>
      <c r="AF128" s="57">
        <f>W$212-W128</f>
        <v>-6.9637766981018034E-3</v>
      </c>
      <c r="AG128" s="60">
        <f>X$212-X128</f>
        <v>-6.1295651787028338E-2</v>
      </c>
      <c r="AH128" s="83">
        <f>Y$212-Y128</f>
        <v>2.6046909880177799E-2</v>
      </c>
      <c r="AI128" s="60">
        <f>Z$212-Z128</f>
        <v>7.8326496138886592E-3</v>
      </c>
      <c r="AJ128" s="83">
        <f>AA$212-AA128</f>
        <v>1.7117187283005847E-2</v>
      </c>
      <c r="AK128" s="76">
        <f>AB$212-AB128</f>
        <v>1.7262681708057642E-2</v>
      </c>
      <c r="AM128" s="57">
        <f>$AD$212-AD128</f>
        <v>3.43798689910636E-2</v>
      </c>
      <c r="AN128" s="106">
        <f>IF(AM128&lt;$AD$215,(AM128-$AD$215)*0.5683,0)</f>
        <v>0</v>
      </c>
    </row>
    <row r="129" spans="1:40" x14ac:dyDescent="0.25">
      <c r="A129" s="17" t="s">
        <v>485</v>
      </c>
      <c r="B129" s="90" t="s">
        <v>349</v>
      </c>
      <c r="C129" s="88">
        <f>VLOOKUP($B$3:$B$210,Costdrivere!$B$3:$H$211,2,FALSE)</f>
        <v>395703.3164172087</v>
      </c>
      <c r="D129" s="46">
        <f>VLOOKUP($B$3:$B$210,Costdrivere!$B$3:$H$211,3,FALSE)</f>
        <v>921922.62400000007</v>
      </c>
      <c r="E129" s="23">
        <f>VLOOKUP($B$3:$B$210,Costdrivere!$B$3:$H$211,4,FALSE)</f>
        <v>141812</v>
      </c>
      <c r="F129" s="46">
        <f>VLOOKUP($B$3:$B$210,Costdrivere!$B$3:$H$211,5,FALSE)</f>
        <v>469452</v>
      </c>
      <c r="G129" s="23">
        <f>VLOOKUP($B$3:$B$210,Costdrivere!$B$3:$H$211,6,FALSE)</f>
        <v>510608.00000000006</v>
      </c>
      <c r="H129" s="93">
        <f>VLOOKUP($B$3:$B$210,Costdrivere!$B$3:$H$211,7,FALSE)</f>
        <v>611333.80000000005</v>
      </c>
      <c r="I129" s="27">
        <v>33.15595289211177</v>
      </c>
      <c r="J129" s="20">
        <f>VLOOKUP($B$3:$B$210,Costdrivere!$B$3:$I$211,8,FALSE)</f>
        <v>3.5181034482758618E-2</v>
      </c>
      <c r="K129" s="74">
        <f t="shared" si="47"/>
        <v>3050831.7404172085</v>
      </c>
      <c r="L129" s="89">
        <f t="shared" si="59"/>
        <v>3574986.4531464768</v>
      </c>
      <c r="M129" s="167">
        <f t="shared" si="48"/>
        <v>3622838.0746893226</v>
      </c>
      <c r="N129" s="74">
        <f>K129+VLOOKUP($B$3:$B$210,'Potentialer og krav'!$B$2:$F$209,5,FALSE)</f>
        <v>3050831.7404172085</v>
      </c>
      <c r="O129" s="160">
        <f t="shared" si="49"/>
        <v>3574986.4531464768</v>
      </c>
      <c r="P129" s="163">
        <f t="shared" si="50"/>
        <v>3622838.0746893226</v>
      </c>
      <c r="Q129" s="104">
        <f>N129+(0.25*VLOOKUP($B$3:$B$210,'Potentialer og krav'!$B$2:$C$209,2,FALSE))</f>
        <v>4007064.9904172085</v>
      </c>
      <c r="R129" s="53">
        <f>O129+(0.25*VLOOKUP($B$3:$B$210,'Potentialer og krav'!$B$2:$C$209,2,FALSE))</f>
        <v>4531219.7031464763</v>
      </c>
      <c r="S129" s="104">
        <f>P129+(0.25*VLOOKUP($B$3:$B$210,'Potentialer og krav'!$B$2:$C$209,2,FALSE))</f>
        <v>4579071.3246893231</v>
      </c>
      <c r="T129" s="84">
        <v>2695691</v>
      </c>
      <c r="U129" s="92">
        <f t="shared" si="51"/>
        <v>2736126.3649999998</v>
      </c>
      <c r="W129" s="70">
        <f t="shared" si="52"/>
        <v>0.12970342191441056</v>
      </c>
      <c r="X129" s="73">
        <f t="shared" si="53"/>
        <v>0.30218730577187614</v>
      </c>
      <c r="Y129" s="62">
        <f t="shared" si="54"/>
        <v>4.6483061691434638E-2</v>
      </c>
      <c r="Z129" s="73">
        <f t="shared" si="55"/>
        <v>0.15387672606808572</v>
      </c>
      <c r="AA129" s="62">
        <f t="shared" si="56"/>
        <v>0.16736681778791682</v>
      </c>
      <c r="AB129" s="64">
        <f t="shared" si="57"/>
        <v>0.20038266676627622</v>
      </c>
      <c r="AC129" s="62"/>
      <c r="AD129" s="145">
        <f t="shared" si="58"/>
        <v>0.36774948455419304</v>
      </c>
      <c r="AF129" s="57">
        <f>W$212-W129</f>
        <v>-1.1030016321492725E-2</v>
      </c>
      <c r="AG129" s="60">
        <f>X$212-X129</f>
        <v>-1.2389308648807995E-2</v>
      </c>
      <c r="AH129" s="83">
        <f>Y$212-Y129</f>
        <v>2.7114522449034617E-3</v>
      </c>
      <c r="AI129" s="60">
        <f>Z$212-Z129</f>
        <v>7.7462476732195112E-2</v>
      </c>
      <c r="AJ129" s="83">
        <f>AA$212-AA129</f>
        <v>-1.8721904421753394E-2</v>
      </c>
      <c r="AK129" s="76">
        <f>AB$212-AB129</f>
        <v>-3.8032699585044766E-2</v>
      </c>
      <c r="AM129" s="57">
        <f>$AD$212-AD129</f>
        <v>-5.6754604006798048E-2</v>
      </c>
      <c r="AN129" s="106">
        <f>IF(AM129&lt;$AD$215,(AM129-$AD$215)*0.5683,0)</f>
        <v>0</v>
      </c>
    </row>
    <row r="130" spans="1:40" x14ac:dyDescent="0.25">
      <c r="A130" s="17" t="s">
        <v>350</v>
      </c>
      <c r="B130" s="90" t="s">
        <v>351</v>
      </c>
      <c r="C130" s="88">
        <f>VLOOKUP($B$3:$B$210,Costdrivere!$B$3:$H$211,2,FALSE)</f>
        <v>197621.16325200599</v>
      </c>
      <c r="D130" s="46">
        <f>VLOOKUP($B$3:$B$210,Costdrivere!$B$3:$H$211,3,FALSE)</f>
        <v>495191</v>
      </c>
      <c r="E130" s="23">
        <f>VLOOKUP($B$3:$B$210,Costdrivere!$B$3:$H$211,4,FALSE)</f>
        <v>35453</v>
      </c>
      <c r="F130" s="46">
        <f>VLOOKUP($B$3:$B$210,Costdrivere!$B$3:$H$211,5,FALSE)</f>
        <v>141645</v>
      </c>
      <c r="G130" s="23">
        <f>VLOOKUP($B$3:$B$210,Costdrivere!$B$3:$H$211,6,FALSE)</f>
        <v>115430.00000000001</v>
      </c>
      <c r="H130" s="93">
        <f>VLOOKUP($B$3:$B$210,Costdrivere!$B$3:$H$211,7,FALSE)</f>
        <v>127330.00000000001</v>
      </c>
      <c r="I130" s="27">
        <v>25.983691755659439</v>
      </c>
      <c r="J130" s="20">
        <f>VLOOKUP($B$3:$B$210,Costdrivere!$B$3:$I$211,8,FALSE)</f>
        <v>2.4285714285714285E-2</v>
      </c>
      <c r="K130" s="74">
        <f t="shared" si="47"/>
        <v>1112670.1632520061</v>
      </c>
      <c r="L130" s="89">
        <f t="shared" si="59"/>
        <v>1160188.3577277723</v>
      </c>
      <c r="M130" s="167">
        <f t="shared" si="48"/>
        <v>1157094.3142842448</v>
      </c>
      <c r="N130" s="74">
        <f>K130+VLOOKUP($B$3:$B$210,'Potentialer og krav'!$B$2:$F$209,5,FALSE)</f>
        <v>1112670.1632520061</v>
      </c>
      <c r="O130" s="160">
        <f t="shared" si="49"/>
        <v>1160188.3577277723</v>
      </c>
      <c r="P130" s="163">
        <f t="shared" si="50"/>
        <v>1157094.3142842448</v>
      </c>
      <c r="Q130" s="104">
        <f>N130+(0.25*VLOOKUP($B$3:$B$210,'Potentialer og krav'!$B$2:$C$209,2,FALSE))</f>
        <v>1300108.4132520061</v>
      </c>
      <c r="R130" s="53">
        <f>O130+(0.25*VLOOKUP($B$3:$B$210,'Potentialer og krav'!$B$2:$C$209,2,FALSE))</f>
        <v>1347626.6077277723</v>
      </c>
      <c r="S130" s="104">
        <f>P130+(0.25*VLOOKUP($B$3:$B$210,'Potentialer og krav'!$B$2:$C$209,2,FALSE))</f>
        <v>1344532.5642842448</v>
      </c>
      <c r="T130" s="84">
        <v>921308</v>
      </c>
      <c r="U130" s="92">
        <f t="shared" si="51"/>
        <v>935127.61999999988</v>
      </c>
      <c r="W130" s="70">
        <f t="shared" si="52"/>
        <v>0.17760983423372992</v>
      </c>
      <c r="X130" s="73">
        <f t="shared" si="53"/>
        <v>0.44504743306201638</v>
      </c>
      <c r="Y130" s="62">
        <f t="shared" si="54"/>
        <v>3.1862991541339938E-2</v>
      </c>
      <c r="Z130" s="73">
        <f t="shared" si="55"/>
        <v>0.12730187676284366</v>
      </c>
      <c r="AA130" s="62">
        <f t="shared" si="56"/>
        <v>0.10374143552356274</v>
      </c>
      <c r="AB130" s="64">
        <f t="shared" si="57"/>
        <v>0.11443642887650735</v>
      </c>
      <c r="AC130" s="62"/>
      <c r="AD130" s="145">
        <f t="shared" si="58"/>
        <v>0.21817786440007009</v>
      </c>
      <c r="AF130" s="57">
        <f>W$212-W130</f>
        <v>-5.8936428640812083E-2</v>
      </c>
      <c r="AG130" s="60">
        <f>X$212-X130</f>
        <v>-0.15524943593894824</v>
      </c>
      <c r="AH130" s="83">
        <f>Y$212-Y130</f>
        <v>1.7331522394998161E-2</v>
      </c>
      <c r="AI130" s="60">
        <f>Z$212-Z130</f>
        <v>0.10403732603743718</v>
      </c>
      <c r="AJ130" s="83">
        <f>AA$212-AA130</f>
        <v>4.4903477842600681E-2</v>
      </c>
      <c r="AK130" s="76">
        <f>AB$212-AB130</f>
        <v>4.7913538304724113E-2</v>
      </c>
      <c r="AM130" s="57">
        <f>$AD$212-AD130</f>
        <v>9.2817016147324904E-2</v>
      </c>
      <c r="AN130" s="106">
        <f>IF(AM130&lt;$AD$215,(AM130-$AD$215)*0.5683,0)</f>
        <v>0</v>
      </c>
    </row>
    <row r="131" spans="1:40" x14ac:dyDescent="0.25">
      <c r="A131" s="17" t="s">
        <v>44</v>
      </c>
      <c r="B131" s="90" t="s">
        <v>352</v>
      </c>
      <c r="C131" s="88">
        <f>VLOOKUP($B$3:$B$210,Costdrivere!$B$3:$H$211,2,FALSE)</f>
        <v>751694.52552140749</v>
      </c>
      <c r="D131" s="46">
        <f>VLOOKUP($B$3:$B$210,Costdrivere!$B$3:$H$211,3,FALSE)</f>
        <v>2028347.5</v>
      </c>
      <c r="E131" s="23">
        <f>VLOOKUP($B$3:$B$210,Costdrivere!$B$3:$H$211,4,FALSE)</f>
        <v>162828</v>
      </c>
      <c r="F131" s="46">
        <f>VLOOKUP($B$3:$B$210,Costdrivere!$B$3:$H$211,5,FALSE)</f>
        <v>740601</v>
      </c>
      <c r="G131" s="23">
        <f>VLOOKUP($B$3:$B$210,Costdrivere!$B$3:$H$211,6,FALSE)</f>
        <v>1017142.0000000001</v>
      </c>
      <c r="H131" s="93">
        <f>VLOOKUP($B$3:$B$210,Costdrivere!$B$3:$H$211,7,FALSE)</f>
        <v>1127694.4000000001</v>
      </c>
      <c r="I131" s="27">
        <v>37.406752077724512</v>
      </c>
      <c r="J131" s="20">
        <f>VLOOKUP($B$3:$B$210,Costdrivere!$B$3:$I$211,8,FALSE)</f>
        <v>4.1136612021857921E-2</v>
      </c>
      <c r="K131" s="74">
        <f t="shared" si="47"/>
        <v>5828307.4255214082</v>
      </c>
      <c r="L131" s="89">
        <f t="shared" si="59"/>
        <v>7275601.6858611312</v>
      </c>
      <c r="M131" s="167">
        <f t="shared" si="48"/>
        <v>7391192.9673383981</v>
      </c>
      <c r="N131" s="74">
        <f>K131+VLOOKUP($B$3:$B$210,'Potentialer og krav'!$B$2:$F$209,5,FALSE)</f>
        <v>5828307.4255214082</v>
      </c>
      <c r="O131" s="160">
        <f t="shared" si="49"/>
        <v>7275601.6858611312</v>
      </c>
      <c r="P131" s="163">
        <f t="shared" si="50"/>
        <v>7391192.9673383981</v>
      </c>
      <c r="Q131" s="104">
        <f>N131+(0.25*VLOOKUP($B$3:$B$210,'Potentialer og krav'!$B$2:$C$209,2,FALSE))</f>
        <v>7517394.4255214082</v>
      </c>
      <c r="R131" s="53">
        <f>O131+(0.25*VLOOKUP($B$3:$B$210,'Potentialer og krav'!$B$2:$C$209,2,FALSE))</f>
        <v>8964688.6858611312</v>
      </c>
      <c r="S131" s="104">
        <f>P131+(0.25*VLOOKUP($B$3:$B$210,'Potentialer og krav'!$B$2:$C$209,2,FALSE))</f>
        <v>9080279.9673383981</v>
      </c>
      <c r="T131" s="84">
        <v>5961864</v>
      </c>
      <c r="U131" s="92">
        <f t="shared" si="51"/>
        <v>6051291.959999999</v>
      </c>
      <c r="W131" s="70">
        <f t="shared" si="52"/>
        <v>0.12897303979365157</v>
      </c>
      <c r="X131" s="73">
        <f t="shared" si="53"/>
        <v>0.34801655985374541</v>
      </c>
      <c r="Y131" s="62">
        <f t="shared" si="54"/>
        <v>2.7937441886987144E-2</v>
      </c>
      <c r="Z131" s="73">
        <f t="shared" si="55"/>
        <v>0.12706965263311326</v>
      </c>
      <c r="AA131" s="62">
        <f t="shared" si="56"/>
        <v>0.17451756157303339</v>
      </c>
      <c r="AB131" s="64">
        <f t="shared" si="57"/>
        <v>0.19348574425946913</v>
      </c>
      <c r="AC131" s="62"/>
      <c r="AD131" s="145">
        <f t="shared" si="58"/>
        <v>0.36800330583250251</v>
      </c>
      <c r="AF131" s="57">
        <f>W$212-W131</f>
        <v>-1.0299634200733737E-2</v>
      </c>
      <c r="AG131" s="60">
        <f>X$212-X131</f>
        <v>-5.821856273067727E-2</v>
      </c>
      <c r="AH131" s="83">
        <f>Y$212-Y131</f>
        <v>2.1257072049350956E-2</v>
      </c>
      <c r="AI131" s="60">
        <f>Z$212-Z131</f>
        <v>0.10426955016716757</v>
      </c>
      <c r="AJ131" s="83">
        <f>AA$212-AA131</f>
        <v>-2.5872648206869964E-2</v>
      </c>
      <c r="AK131" s="76">
        <f>AB$212-AB131</f>
        <v>-3.113577707823767E-2</v>
      </c>
      <c r="AM131" s="57">
        <f>$AD$212-AD131</f>
        <v>-5.7008425285107522E-2</v>
      </c>
      <c r="AN131" s="106">
        <f>IF(AM131&lt;$AD$215,(AM131-$AD$215)*0.5683,0)</f>
        <v>0</v>
      </c>
    </row>
    <row r="132" spans="1:40" x14ac:dyDescent="0.25">
      <c r="A132" s="17" t="s">
        <v>60</v>
      </c>
      <c r="B132" s="90" t="s">
        <v>353</v>
      </c>
      <c r="C132" s="88">
        <f>VLOOKUP($B$3:$B$210,Costdrivere!$B$3:$H$211,2,FALSE)</f>
        <v>1408233.4360552926</v>
      </c>
      <c r="D132" s="46">
        <f>VLOOKUP($B$3:$B$210,Costdrivere!$B$3:$H$211,3,FALSE)</f>
        <v>3642955.6609999998</v>
      </c>
      <c r="E132" s="23">
        <f>VLOOKUP($B$3:$B$210,Costdrivere!$B$3:$H$211,4,FALSE)</f>
        <v>872015</v>
      </c>
      <c r="F132" s="46">
        <f>VLOOKUP($B$3:$B$210,Costdrivere!$B$3:$H$211,5,FALSE)</f>
        <v>4800240</v>
      </c>
      <c r="G132" s="23">
        <f>VLOOKUP($B$3:$B$210,Costdrivere!$B$3:$H$211,6,FALSE)</f>
        <v>1830099.0000000002</v>
      </c>
      <c r="H132" s="93">
        <f>VLOOKUP($B$3:$B$210,Costdrivere!$B$3:$H$211,7,FALSE)</f>
        <v>2113977.6</v>
      </c>
      <c r="I132" s="27">
        <v>33.345962402604577</v>
      </c>
      <c r="J132" s="20">
        <f>VLOOKUP($B$3:$B$210,Costdrivere!$B$3:$I$211,8,FALSE)</f>
        <v>2.6982791586998088E-2</v>
      </c>
      <c r="K132" s="74">
        <f t="shared" si="47"/>
        <v>14667520.697055293</v>
      </c>
      <c r="L132" s="89">
        <f t="shared" si="59"/>
        <v>17237671.087468535</v>
      </c>
      <c r="M132" s="167">
        <f t="shared" si="48"/>
        <v>15788924.954284666</v>
      </c>
      <c r="N132" s="74">
        <f>K132+VLOOKUP($B$3:$B$210,'Potentialer og krav'!$B$2:$F$209,5,FALSE)</f>
        <v>14943319.697055293</v>
      </c>
      <c r="O132" s="160">
        <f t="shared" si="49"/>
        <v>17561797.607992701</v>
      </c>
      <c r="P132" s="163">
        <f t="shared" si="50"/>
        <v>16085810.147318073</v>
      </c>
      <c r="Q132" s="104">
        <f>N132+(0.25*VLOOKUP($B$3:$B$210,'Potentialer og krav'!$B$2:$C$209,2,FALSE))</f>
        <v>18776003.697055295</v>
      </c>
      <c r="R132" s="53">
        <f>O132+(0.25*VLOOKUP($B$3:$B$210,'Potentialer og krav'!$B$2:$C$209,2,FALSE))</f>
        <v>21394481.607992701</v>
      </c>
      <c r="S132" s="104">
        <f>P132+(0.25*VLOOKUP($B$3:$B$210,'Potentialer og krav'!$B$2:$C$209,2,FALSE))</f>
        <v>19918494.147318073</v>
      </c>
      <c r="T132" s="84">
        <v>14736357</v>
      </c>
      <c r="U132" s="92">
        <f t="shared" si="51"/>
        <v>14957402.354999999</v>
      </c>
      <c r="W132" s="70">
        <f t="shared" si="52"/>
        <v>9.6010325476344124E-2</v>
      </c>
      <c r="X132" s="73">
        <f t="shared" si="53"/>
        <v>0.24836887816571299</v>
      </c>
      <c r="Y132" s="62">
        <f t="shared" si="54"/>
        <v>5.9452106324627108E-2</v>
      </c>
      <c r="Z132" s="73">
        <f t="shared" si="55"/>
        <v>0.32727003418946693</v>
      </c>
      <c r="AA132" s="62">
        <f t="shared" si="56"/>
        <v>0.12477221186859602</v>
      </c>
      <c r="AB132" s="64">
        <f t="shared" si="57"/>
        <v>0.14412644397525276</v>
      </c>
      <c r="AC132" s="62"/>
      <c r="AD132" s="145">
        <f t="shared" si="58"/>
        <v>0.26889865584384876</v>
      </c>
      <c r="AF132" s="57">
        <f>W$212-W132</f>
        <v>2.2663080116573711E-2</v>
      </c>
      <c r="AG132" s="60">
        <f>X$212-X132</f>
        <v>4.1429118957355154E-2</v>
      </c>
      <c r="AH132" s="83">
        <f>Y$212-Y132</f>
        <v>-1.0257592388289008E-2</v>
      </c>
      <c r="AI132" s="60">
        <f>Z$212-Z132</f>
        <v>-9.5930831389186094E-2</v>
      </c>
      <c r="AJ132" s="83">
        <f>AA$212-AA132</f>
        <v>2.38727014975674E-2</v>
      </c>
      <c r="AK132" s="76">
        <f>AB$212-AB132</f>
        <v>1.8223523205978698E-2</v>
      </c>
      <c r="AM132" s="57">
        <f>$AD$212-AD132</f>
        <v>4.2096224703546237E-2</v>
      </c>
      <c r="AN132" s="106">
        <f>IF(AM132&lt;$AD$215,(AM132-$AD$215)*0.5683,0)</f>
        <v>0</v>
      </c>
    </row>
    <row r="133" spans="1:40" x14ac:dyDescent="0.25">
      <c r="A133" s="17" t="s">
        <v>354</v>
      </c>
      <c r="B133" s="90" t="s">
        <v>355</v>
      </c>
      <c r="C133" s="88">
        <f>VLOOKUP($B$3:$B$210,Costdrivere!$B$3:$H$211,2,FALSE)</f>
        <v>148366.00656647296</v>
      </c>
      <c r="D133" s="46">
        <f>VLOOKUP($B$3:$B$210,Costdrivere!$B$3:$H$211,3,FALSE)</f>
        <v>400427.28</v>
      </c>
      <c r="E133" s="23">
        <f>VLOOKUP($B$3:$B$210,Costdrivere!$B$3:$H$211,4,FALSE)</f>
        <v>0</v>
      </c>
      <c r="F133" s="46">
        <f>VLOOKUP($B$3:$B$210,Costdrivere!$B$3:$H$211,5,FALSE)</f>
        <v>384465</v>
      </c>
      <c r="G133" s="23">
        <f>VLOOKUP($B$3:$B$210,Costdrivere!$B$3:$H$211,6,FALSE)</f>
        <v>102936.40000000001</v>
      </c>
      <c r="H133" s="93">
        <f>VLOOKUP($B$3:$B$210,Costdrivere!$B$3:$H$211,7,FALSE)</f>
        <v>106208.20000000001</v>
      </c>
      <c r="I133" s="27">
        <v>28.724486581706813</v>
      </c>
      <c r="J133" s="20">
        <f>VLOOKUP($B$3:$B$210,Costdrivere!$B$3:$I$211,8,FALSE)</f>
        <v>7.4631578947368417E-3</v>
      </c>
      <c r="K133" s="74">
        <f t="shared" si="47"/>
        <v>1142402.8865664729</v>
      </c>
      <c r="L133" s="89">
        <f t="shared" si="59"/>
        <v>1247550.5147251938</v>
      </c>
      <c r="M133" s="167">
        <f t="shared" si="48"/>
        <v>927723.69055108144</v>
      </c>
      <c r="N133" s="74">
        <f>K133+VLOOKUP($B$3:$B$210,'Potentialer og krav'!$B$2:$F$209,5,FALSE)</f>
        <v>1142402.8865664729</v>
      </c>
      <c r="O133" s="160">
        <f t="shared" si="49"/>
        <v>1247550.5147251938</v>
      </c>
      <c r="P133" s="163">
        <f t="shared" si="50"/>
        <v>927723.69055108144</v>
      </c>
      <c r="Q133" s="104">
        <f>N133+(0.25*VLOOKUP($B$3:$B$210,'Potentialer og krav'!$B$2:$C$209,2,FALSE))</f>
        <v>1356343.3865664729</v>
      </c>
      <c r="R133" s="53">
        <f>O133+(0.25*VLOOKUP($B$3:$B$210,'Potentialer og krav'!$B$2:$C$209,2,FALSE))</f>
        <v>1461491.0147251938</v>
      </c>
      <c r="S133" s="104">
        <f>P133+(0.25*VLOOKUP($B$3:$B$210,'Potentialer og krav'!$B$2:$C$209,2,FALSE))</f>
        <v>1141664.1905510814</v>
      </c>
      <c r="T133" s="84">
        <v>648324</v>
      </c>
      <c r="U133" s="92">
        <f t="shared" si="51"/>
        <v>658048.86</v>
      </c>
      <c r="W133" s="70">
        <f t="shared" si="52"/>
        <v>0.12987187647292417</v>
      </c>
      <c r="X133" s="73">
        <f t="shared" si="53"/>
        <v>0.35051318996881786</v>
      </c>
      <c r="Y133" s="62">
        <f t="shared" si="54"/>
        <v>0</v>
      </c>
      <c r="Z133" s="73">
        <f t="shared" si="55"/>
        <v>0.33654064124043087</v>
      </c>
      <c r="AA133" s="62">
        <f t="shared" si="56"/>
        <v>9.0105164483064756E-2</v>
      </c>
      <c r="AB133" s="64">
        <f t="shared" si="57"/>
        <v>9.2969127834762411E-2</v>
      </c>
      <c r="AC133" s="62"/>
      <c r="AD133" s="145">
        <f t="shared" si="58"/>
        <v>0.18307429231782718</v>
      </c>
      <c r="AF133" s="57">
        <f>W$212-W133</f>
        <v>-1.1198470880006334E-2</v>
      </c>
      <c r="AG133" s="60">
        <f>X$212-X133</f>
        <v>-6.0715192845749721E-2</v>
      </c>
      <c r="AH133" s="83">
        <f>Y$212-Y133</f>
        <v>4.91945139363381E-2</v>
      </c>
      <c r="AI133" s="60">
        <f>Z$212-Z133</f>
        <v>-0.10520143844015004</v>
      </c>
      <c r="AJ133" s="83">
        <f>AA$212-AA133</f>
        <v>5.8539748883098666E-2</v>
      </c>
      <c r="AK133" s="76">
        <f>AB$212-AB133</f>
        <v>6.9380839346469048E-2</v>
      </c>
      <c r="AM133" s="57">
        <f>$AD$212-AD133</f>
        <v>0.12792058822956781</v>
      </c>
      <c r="AN133" s="106">
        <f>IF(AM133&lt;$AD$215,(AM133-$AD$215)*0.5683,0)</f>
        <v>0</v>
      </c>
    </row>
    <row r="134" spans="1:40" x14ac:dyDescent="0.25">
      <c r="A134" s="17" t="s">
        <v>356</v>
      </c>
      <c r="B134" s="90" t="s">
        <v>357</v>
      </c>
      <c r="C134" s="88">
        <f>VLOOKUP($B$3:$B$210,Costdrivere!$B$3:$H$211,2,FALSE)</f>
        <v>225871.37104567111</v>
      </c>
      <c r="D134" s="46">
        <f>VLOOKUP($B$3:$B$210,Costdrivere!$B$3:$H$211,3,FALSE)</f>
        <v>554355.84</v>
      </c>
      <c r="E134" s="23">
        <f>VLOOKUP($B$3:$B$210,Costdrivere!$B$3:$H$211,4,FALSE)</f>
        <v>0</v>
      </c>
      <c r="F134" s="46">
        <f>VLOOKUP($B$3:$B$210,Costdrivere!$B$3:$H$211,5,FALSE)</f>
        <v>372324</v>
      </c>
      <c r="G134" s="23">
        <f>VLOOKUP($B$3:$B$210,Costdrivere!$B$3:$H$211,6,FALSE)</f>
        <v>368425.4</v>
      </c>
      <c r="H134" s="93">
        <f>VLOOKUP($B$3:$B$210,Costdrivere!$B$3:$H$211,7,FALSE)</f>
        <v>405658.4</v>
      </c>
      <c r="I134" s="27">
        <v>29.983998328527772</v>
      </c>
      <c r="J134" s="20">
        <f>VLOOKUP($B$3:$B$210,Costdrivere!$B$3:$I$211,8,FALSE)</f>
        <v>2.9434782608695653E-2</v>
      </c>
      <c r="K134" s="74">
        <f t="shared" si="47"/>
        <v>1926635.0110456711</v>
      </c>
      <c r="L134" s="89">
        <f t="shared" si="59"/>
        <v>2147643.1084670378</v>
      </c>
      <c r="M134" s="167">
        <f t="shared" si="48"/>
        <v>2137918.8531648172</v>
      </c>
      <c r="N134" s="74">
        <f>K134+VLOOKUP($B$3:$B$210,'Potentialer og krav'!$B$2:$F$209,5,FALSE)</f>
        <v>1926635.0110456711</v>
      </c>
      <c r="O134" s="160">
        <f t="shared" si="49"/>
        <v>2147643.1084670378</v>
      </c>
      <c r="P134" s="163">
        <f t="shared" si="50"/>
        <v>2137918.8531648172</v>
      </c>
      <c r="Q134" s="104">
        <f>N134+(0.25*VLOOKUP($B$3:$B$210,'Potentialer og krav'!$B$2:$C$209,2,FALSE))</f>
        <v>2563883.7610456711</v>
      </c>
      <c r="R134" s="53">
        <f>O134+(0.25*VLOOKUP($B$3:$B$210,'Potentialer og krav'!$B$2:$C$209,2,FALSE))</f>
        <v>2784891.8584670378</v>
      </c>
      <c r="S134" s="104">
        <f>P134+(0.25*VLOOKUP($B$3:$B$210,'Potentialer og krav'!$B$2:$C$209,2,FALSE))</f>
        <v>2775167.6031648172</v>
      </c>
      <c r="T134" s="84">
        <v>2284753</v>
      </c>
      <c r="U134" s="92">
        <f t="shared" si="51"/>
        <v>2319024.2949999999</v>
      </c>
      <c r="W134" s="70">
        <f t="shared" si="52"/>
        <v>0.11723620184971133</v>
      </c>
      <c r="X134" s="73">
        <f t="shared" si="53"/>
        <v>0.2877326721573103</v>
      </c>
      <c r="Y134" s="62">
        <f t="shared" si="54"/>
        <v>0</v>
      </c>
      <c r="Z134" s="73">
        <f t="shared" si="55"/>
        <v>0.19325092602668062</v>
      </c>
      <c r="AA134" s="62">
        <f t="shared" si="56"/>
        <v>0.19122739796991392</v>
      </c>
      <c r="AB134" s="64">
        <f t="shared" si="57"/>
        <v>0.21055280199638388</v>
      </c>
      <c r="AC134" s="62"/>
      <c r="AD134" s="145">
        <f t="shared" si="58"/>
        <v>0.40178019996629777</v>
      </c>
      <c r="AF134" s="57">
        <f>W$212-W134</f>
        <v>1.4372037432065082E-3</v>
      </c>
      <c r="AG134" s="60">
        <f>X$212-X134</f>
        <v>2.0653249657578421E-3</v>
      </c>
      <c r="AH134" s="83">
        <f>Y$212-Y134</f>
        <v>4.91945139363381E-2</v>
      </c>
      <c r="AI134" s="60">
        <f>Z$212-Z134</f>
        <v>3.8088276773600216E-2</v>
      </c>
      <c r="AJ134" s="83">
        <f>AA$212-AA134</f>
        <v>-4.2582484603750498E-2</v>
      </c>
      <c r="AK134" s="76">
        <f>AB$212-AB134</f>
        <v>-4.8202834815152418E-2</v>
      </c>
      <c r="AM134" s="57">
        <f>$AD$212-AD134</f>
        <v>-9.0785319418902777E-2</v>
      </c>
      <c r="AN134" s="106">
        <f>IF(AM134&lt;$AD$215,(AM134-$AD$215)*0.5683,0)</f>
        <v>0</v>
      </c>
    </row>
    <row r="135" spans="1:40" x14ac:dyDescent="0.25">
      <c r="A135" s="17" t="s">
        <v>358</v>
      </c>
      <c r="B135" s="90" t="s">
        <v>359</v>
      </c>
      <c r="C135" s="88">
        <f>VLOOKUP($B$3:$B$210,Costdrivere!$B$3:$H$211,2,FALSE)</f>
        <v>179779.52211284617</v>
      </c>
      <c r="D135" s="46">
        <f>VLOOKUP($B$3:$B$210,Costdrivere!$B$3:$H$211,3,FALSE)</f>
        <v>417386.33199999999</v>
      </c>
      <c r="E135" s="23">
        <f>VLOOKUP($B$3:$B$210,Costdrivere!$B$3:$H$211,4,FALSE)</f>
        <v>35453</v>
      </c>
      <c r="F135" s="46">
        <f>VLOOKUP($B$3:$B$210,Costdrivere!$B$3:$H$211,5,FALSE)</f>
        <v>129504</v>
      </c>
      <c r="G135" s="23">
        <f>VLOOKUP($B$3:$B$210,Costdrivere!$B$3:$H$211,6,FALSE)</f>
        <v>183737.40000000002</v>
      </c>
      <c r="H135" s="93">
        <f>VLOOKUP($B$3:$B$210,Costdrivere!$B$3:$H$211,7,FALSE)</f>
        <v>207622.80000000002</v>
      </c>
      <c r="I135" s="27">
        <v>36.415785548870296</v>
      </c>
      <c r="J135" s="20">
        <f>VLOOKUP($B$3:$B$210,Costdrivere!$B$3:$I$211,8,FALSE)</f>
        <v>4.3312499999999997E-2</v>
      </c>
      <c r="K135" s="74">
        <f t="shared" si="47"/>
        <v>1153483.0541128463</v>
      </c>
      <c r="L135" s="89">
        <f t="shared" si="59"/>
        <v>1419342.603705815</v>
      </c>
      <c r="M135" s="167">
        <f t="shared" si="48"/>
        <v>1496787.8713516551</v>
      </c>
      <c r="N135" s="74">
        <f>K135+VLOOKUP($B$3:$B$210,'Potentialer og krav'!$B$2:$F$209,5,FALSE)</f>
        <v>1153483.0541128463</v>
      </c>
      <c r="O135" s="160">
        <f t="shared" si="49"/>
        <v>1419342.603705815</v>
      </c>
      <c r="P135" s="163">
        <f t="shared" si="50"/>
        <v>1496787.8713516551</v>
      </c>
      <c r="Q135" s="104">
        <f>N135+(0.25*VLOOKUP($B$3:$B$210,'Potentialer og krav'!$B$2:$C$209,2,FALSE))</f>
        <v>1621317.8041128463</v>
      </c>
      <c r="R135" s="53">
        <f>O135+(0.25*VLOOKUP($B$3:$B$210,'Potentialer og krav'!$B$2:$C$209,2,FALSE))</f>
        <v>1887177.353705815</v>
      </c>
      <c r="S135" s="104">
        <f>P135+(0.25*VLOOKUP($B$3:$B$210,'Potentialer og krav'!$B$2:$C$209,2,FALSE))</f>
        <v>1964622.6213516551</v>
      </c>
      <c r="T135" s="84">
        <v>2295507</v>
      </c>
      <c r="U135" s="92">
        <f t="shared" si="51"/>
        <v>2329939.605</v>
      </c>
      <c r="W135" s="70">
        <f t="shared" si="52"/>
        <v>0.15585796555209575</v>
      </c>
      <c r="X135" s="73">
        <f t="shared" si="53"/>
        <v>0.36184868994110658</v>
      </c>
      <c r="Y135" s="62">
        <f t="shared" si="54"/>
        <v>3.0735605411444218E-2</v>
      </c>
      <c r="Z135" s="73">
        <f t="shared" si="55"/>
        <v>0.11227213051656199</v>
      </c>
      <c r="AA135" s="62">
        <f t="shared" si="56"/>
        <v>0.15928920615250308</v>
      </c>
      <c r="AB135" s="64">
        <f t="shared" si="57"/>
        <v>0.17999640242628834</v>
      </c>
      <c r="AC135" s="62"/>
      <c r="AD135" s="145">
        <f t="shared" si="58"/>
        <v>0.33928560857879142</v>
      </c>
      <c r="AF135" s="57">
        <f>W$212-W135</f>
        <v>-3.718455995917791E-2</v>
      </c>
      <c r="AG135" s="60">
        <f>X$212-X135</f>
        <v>-7.2050692818038442E-2</v>
      </c>
      <c r="AH135" s="83">
        <f>Y$212-Y135</f>
        <v>1.8458908524893881E-2</v>
      </c>
      <c r="AI135" s="60">
        <f>Z$212-Z135</f>
        <v>0.11906707228371885</v>
      </c>
      <c r="AJ135" s="83">
        <f>AA$212-AA135</f>
        <v>-1.064429278633966E-2</v>
      </c>
      <c r="AK135" s="76">
        <f>AB$212-AB135</f>
        <v>-1.764643524505688E-2</v>
      </c>
      <c r="AM135" s="57">
        <f>$AD$212-AD135</f>
        <v>-2.8290728031396428E-2</v>
      </c>
      <c r="AN135" s="106">
        <f>IF(AM135&lt;$AD$215,(AM135-$AD$215)*0.5683,0)</f>
        <v>0</v>
      </c>
    </row>
    <row r="136" spans="1:40" x14ac:dyDescent="0.25">
      <c r="A136" s="17" t="s">
        <v>360</v>
      </c>
      <c r="B136" s="90" t="s">
        <v>361</v>
      </c>
      <c r="C136" s="88">
        <f>VLOOKUP($B$3:$B$210,Costdrivere!$B$3:$H$211,2,FALSE)</f>
        <v>282574.39340870403</v>
      </c>
      <c r="D136" s="46">
        <f>VLOOKUP($B$3:$B$210,Costdrivere!$B$3:$H$211,3,FALSE)</f>
        <v>715268.72</v>
      </c>
      <c r="E136" s="23">
        <f>VLOOKUP($B$3:$B$210,Costdrivere!$B$3:$H$211,4,FALSE)</f>
        <v>178851</v>
      </c>
      <c r="F136" s="46">
        <f>VLOOKUP($B$3:$B$210,Costdrivere!$B$3:$H$211,5,FALSE)</f>
        <v>319713</v>
      </c>
      <c r="G136" s="23">
        <f>VLOOKUP($B$3:$B$210,Costdrivere!$B$3:$H$211,6,FALSE)</f>
        <v>497707.00000000006</v>
      </c>
      <c r="H136" s="93">
        <f>VLOOKUP($B$3:$B$210,Costdrivere!$B$3:$H$211,7,FALSE)</f>
        <v>605341.80000000005</v>
      </c>
      <c r="I136" s="27">
        <v>30.963003042825335</v>
      </c>
      <c r="J136" s="20">
        <f>VLOOKUP($B$3:$B$210,Costdrivere!$B$3:$I$211,8,FALSE)</f>
        <v>5.1151898734177213E-2</v>
      </c>
      <c r="K136" s="74">
        <f t="shared" si="47"/>
        <v>2599455.9134087041</v>
      </c>
      <c r="L136" s="89">
        <f t="shared" si="59"/>
        <v>2943452.454628157</v>
      </c>
      <c r="M136" s="167">
        <f t="shared" si="48"/>
        <v>3649119.6333116828</v>
      </c>
      <c r="N136" s="74">
        <f>K136+VLOOKUP($B$3:$B$210,'Potentialer og krav'!$B$2:$F$209,5,FALSE)</f>
        <v>2599455.9134087041</v>
      </c>
      <c r="O136" s="160">
        <f t="shared" si="49"/>
        <v>2943452.454628157</v>
      </c>
      <c r="P136" s="163">
        <f t="shared" si="50"/>
        <v>3649119.6333116828</v>
      </c>
      <c r="Q136" s="104">
        <f>N136+(0.25*VLOOKUP($B$3:$B$210,'Potentialer og krav'!$B$2:$C$209,2,FALSE))</f>
        <v>3315833.4134087041</v>
      </c>
      <c r="R136" s="53">
        <f>O136+(0.25*VLOOKUP($B$3:$B$210,'Potentialer og krav'!$B$2:$C$209,2,FALSE))</f>
        <v>3659829.954628157</v>
      </c>
      <c r="S136" s="104">
        <f>P136+(0.25*VLOOKUP($B$3:$B$210,'Potentialer og krav'!$B$2:$C$209,2,FALSE))</f>
        <v>4365497.1333116833</v>
      </c>
      <c r="T136" s="84">
        <v>2727542</v>
      </c>
      <c r="U136" s="92">
        <f t="shared" si="51"/>
        <v>2768455.13</v>
      </c>
      <c r="W136" s="70">
        <f t="shared" si="52"/>
        <v>0.10870520709780385</v>
      </c>
      <c r="X136" s="73">
        <f t="shared" si="53"/>
        <v>0.27516093514433093</v>
      </c>
      <c r="Y136" s="62">
        <f t="shared" si="54"/>
        <v>6.8803244201002853E-2</v>
      </c>
      <c r="Z136" s="73">
        <f t="shared" si="55"/>
        <v>0.1229922763263008</v>
      </c>
      <c r="AA136" s="62">
        <f t="shared" si="56"/>
        <v>0.19146583615159285</v>
      </c>
      <c r="AB136" s="64">
        <f t="shared" si="57"/>
        <v>0.2328725010789687</v>
      </c>
      <c r="AC136" s="62"/>
      <c r="AD136" s="145">
        <f t="shared" si="58"/>
        <v>0.42433833723056158</v>
      </c>
      <c r="AF136" s="57">
        <f>W$212-W136</f>
        <v>9.968198495113989E-3</v>
      </c>
      <c r="AG136" s="60">
        <f>X$212-X136</f>
        <v>1.4637061978737209E-2</v>
      </c>
      <c r="AH136" s="83">
        <f>Y$212-Y136</f>
        <v>-1.9608730264664753E-2</v>
      </c>
      <c r="AI136" s="60">
        <f>Z$212-Z136</f>
        <v>0.10834692647398003</v>
      </c>
      <c r="AJ136" s="83">
        <f>AA$212-AA136</f>
        <v>-4.2820922785429427E-2</v>
      </c>
      <c r="AK136" s="76">
        <f>AB$212-AB136</f>
        <v>-7.0522533897737244E-2</v>
      </c>
      <c r="AM136" s="57">
        <f>$AD$212-AD136</f>
        <v>-0.11334345668316659</v>
      </c>
      <c r="AN136" s="106">
        <f>IF(AM136&lt;$AD$215,(AM136-$AD$215)*0.5683,0)</f>
        <v>-4.7372850028305283E-3</v>
      </c>
    </row>
    <row r="137" spans="1:40" x14ac:dyDescent="0.25">
      <c r="A137" s="17" t="s">
        <v>63</v>
      </c>
      <c r="B137" s="90" t="s">
        <v>362</v>
      </c>
      <c r="C137" s="88">
        <f>VLOOKUP($B$3:$B$210,Costdrivere!$B$3:$H$211,2,FALSE)</f>
        <v>147585.92755935271</v>
      </c>
      <c r="D137" s="46">
        <f>VLOOKUP($B$3:$B$210,Costdrivere!$B$3:$H$211,3,FALSE)</f>
        <v>362033.011</v>
      </c>
      <c r="E137" s="23">
        <f>VLOOKUP($B$3:$B$210,Costdrivere!$B$3:$H$211,4,FALSE)</f>
        <v>0</v>
      </c>
      <c r="F137" s="46">
        <f>VLOOKUP($B$3:$B$210,Costdrivere!$B$3:$H$211,5,FALSE)</f>
        <v>416841</v>
      </c>
      <c r="G137" s="23">
        <f>VLOOKUP($B$3:$B$210,Costdrivere!$B$3:$H$211,6,FALSE)</f>
        <v>233304.40000000002</v>
      </c>
      <c r="H137" s="93">
        <f>VLOOKUP($B$3:$B$210,Costdrivere!$B$3:$H$211,7,FALSE)</f>
        <v>257506.2</v>
      </c>
      <c r="I137" s="27">
        <v>29.646784476654261</v>
      </c>
      <c r="J137" s="20">
        <f>VLOOKUP($B$3:$B$210,Costdrivere!$B$3:$I$211,8,FALSE)</f>
        <v>1.6689320388349516E-2</v>
      </c>
      <c r="K137" s="74">
        <f t="shared" si="47"/>
        <v>1417270.5385593527</v>
      </c>
      <c r="L137" s="89">
        <f t="shared" si="59"/>
        <v>1571245.8153036828</v>
      </c>
      <c r="M137" s="167">
        <f t="shared" si="48"/>
        <v>1328039.405610186</v>
      </c>
      <c r="N137" s="74">
        <f>K137+VLOOKUP($B$3:$B$210,'Potentialer og krav'!$B$2:$F$209,5,FALSE)</f>
        <v>1417270.5385593527</v>
      </c>
      <c r="O137" s="160">
        <f t="shared" si="49"/>
        <v>1571245.8153036828</v>
      </c>
      <c r="P137" s="163">
        <f t="shared" si="50"/>
        <v>1328039.405610186</v>
      </c>
      <c r="Q137" s="104">
        <f>N137+(0.25*VLOOKUP($B$3:$B$210,'Potentialer og krav'!$B$2:$C$209,2,FALSE))</f>
        <v>1738316.7885593527</v>
      </c>
      <c r="R137" s="53">
        <f>O137+(0.25*VLOOKUP($B$3:$B$210,'Potentialer og krav'!$B$2:$C$209,2,FALSE))</f>
        <v>1892292.0653036828</v>
      </c>
      <c r="S137" s="104">
        <f>P137+(0.25*VLOOKUP($B$3:$B$210,'Potentialer og krav'!$B$2:$C$209,2,FALSE))</f>
        <v>1649085.655610186</v>
      </c>
      <c r="T137" s="84">
        <v>830110</v>
      </c>
      <c r="U137" s="92">
        <f t="shared" si="51"/>
        <v>842561.64999999991</v>
      </c>
      <c r="W137" s="70">
        <f t="shared" si="52"/>
        <v>0.1041339134230314</v>
      </c>
      <c r="X137" s="73">
        <f t="shared" si="53"/>
        <v>0.2554438275193418</v>
      </c>
      <c r="Y137" s="62">
        <f t="shared" si="54"/>
        <v>0</v>
      </c>
      <c r="Z137" s="73">
        <f t="shared" si="55"/>
        <v>0.29411533554046532</v>
      </c>
      <c r="AA137" s="62">
        <f t="shared" si="56"/>
        <v>0.16461528949663526</v>
      </c>
      <c r="AB137" s="64">
        <f t="shared" si="57"/>
        <v>0.18169163402052621</v>
      </c>
      <c r="AC137" s="62"/>
      <c r="AD137" s="145">
        <f t="shared" si="58"/>
        <v>0.34630692351716147</v>
      </c>
      <c r="AF137" s="57">
        <f>W$212-W137</f>
        <v>1.4539492169886439E-2</v>
      </c>
      <c r="AG137" s="60">
        <f>X$212-X137</f>
        <v>3.4354169603726337E-2</v>
      </c>
      <c r="AH137" s="83">
        <f>Y$212-Y137</f>
        <v>4.91945139363381E-2</v>
      </c>
      <c r="AI137" s="60">
        <f>Z$212-Z137</f>
        <v>-6.2776132740184482E-2</v>
      </c>
      <c r="AJ137" s="83">
        <f>AA$212-AA137</f>
        <v>-1.5970376130471836E-2</v>
      </c>
      <c r="AK137" s="76">
        <f>AB$212-AB137</f>
        <v>-1.9341666839294752E-2</v>
      </c>
      <c r="AM137" s="57">
        <f>$AD$212-AD137</f>
        <v>-3.5312042969766477E-2</v>
      </c>
      <c r="AN137" s="106">
        <f>IF(AM137&lt;$AD$215,(AM137-$AD$215)*0.5683,0)</f>
        <v>0</v>
      </c>
    </row>
    <row r="138" spans="1:40" x14ac:dyDescent="0.25">
      <c r="A138" s="17" t="s">
        <v>363</v>
      </c>
      <c r="B138" s="90" t="s">
        <v>364</v>
      </c>
      <c r="C138" s="88">
        <f>VLOOKUP($B$3:$B$210,Costdrivere!$B$3:$H$211,2,FALSE)</f>
        <v>555938.45997474063</v>
      </c>
      <c r="D138" s="46">
        <f>VLOOKUP($B$3:$B$210,Costdrivere!$B$3:$H$211,3,FALSE)</f>
        <v>1492134.6839999999</v>
      </c>
      <c r="E138" s="23">
        <f>VLOOKUP($B$3:$B$210,Costdrivere!$B$3:$H$211,4,FALSE)</f>
        <v>183844</v>
      </c>
      <c r="F138" s="46">
        <f>VLOOKUP($B$3:$B$210,Costdrivere!$B$3:$H$211,5,FALSE)</f>
        <v>1264579</v>
      </c>
      <c r="G138" s="23">
        <f>VLOOKUP($B$3:$B$210,Costdrivere!$B$3:$H$211,6,FALSE)</f>
        <v>796608.20000000007</v>
      </c>
      <c r="H138" s="93">
        <f>VLOOKUP($B$3:$B$210,Costdrivere!$B$3:$H$211,7,FALSE)</f>
        <v>780008.60000000009</v>
      </c>
      <c r="I138" s="27">
        <v>29.95626980399333</v>
      </c>
      <c r="J138" s="20">
        <f>VLOOKUP($B$3:$B$210,Costdrivere!$B$3:$I$211,8,FALSE)</f>
        <v>2.4561320754716981E-2</v>
      </c>
      <c r="K138" s="74">
        <f t="shared" si="47"/>
        <v>5073112.9439747408</v>
      </c>
      <c r="L138" s="89">
        <f t="shared" si="59"/>
        <v>5652527.6645105639</v>
      </c>
      <c r="M138" s="167">
        <f t="shared" si="48"/>
        <v>5294597.5890179304</v>
      </c>
      <c r="N138" s="74">
        <f>K138+VLOOKUP($B$3:$B$210,'Potentialer og krav'!$B$2:$F$209,5,FALSE)</f>
        <v>5261727.9439747408</v>
      </c>
      <c r="O138" s="160">
        <f t="shared" si="49"/>
        <v>5862684.9224340077</v>
      </c>
      <c r="P138" s="163">
        <f t="shared" si="50"/>
        <v>5491447.242333591</v>
      </c>
      <c r="Q138" s="104">
        <f>N138+(0.25*VLOOKUP($B$3:$B$210,'Potentialer og krav'!$B$2:$C$209,2,FALSE))</f>
        <v>6457865.9439747408</v>
      </c>
      <c r="R138" s="53">
        <f>O138+(0.25*VLOOKUP($B$3:$B$210,'Potentialer og krav'!$B$2:$C$209,2,FALSE))</f>
        <v>7058822.9224340077</v>
      </c>
      <c r="S138" s="104">
        <f>P138+(0.25*VLOOKUP($B$3:$B$210,'Potentialer og krav'!$B$2:$C$209,2,FALSE))</f>
        <v>6687585.242333591</v>
      </c>
      <c r="T138" s="84">
        <v>5222532</v>
      </c>
      <c r="U138" s="92">
        <f t="shared" si="51"/>
        <v>5300869.9799999995</v>
      </c>
      <c r="W138" s="70">
        <f t="shared" si="52"/>
        <v>0.10958527162992109</v>
      </c>
      <c r="X138" s="73">
        <f t="shared" si="53"/>
        <v>0.29412605248069346</v>
      </c>
      <c r="Y138" s="62">
        <f t="shared" si="54"/>
        <v>3.6238893561072544E-2</v>
      </c>
      <c r="Z138" s="73">
        <f t="shared" si="55"/>
        <v>0.24927081536828807</v>
      </c>
      <c r="AA138" s="62">
        <f t="shared" si="56"/>
        <v>0.15702552038509601</v>
      </c>
      <c r="AB138" s="64">
        <f t="shared" si="57"/>
        <v>0.15375344657492881</v>
      </c>
      <c r="AC138" s="62"/>
      <c r="AD138" s="145">
        <f t="shared" si="58"/>
        <v>0.31077896696002483</v>
      </c>
      <c r="AF138" s="57">
        <f>W$212-W138</f>
        <v>9.08813396299675E-3</v>
      </c>
      <c r="AG138" s="60">
        <f>X$212-X138</f>
        <v>-4.3280553576253156E-3</v>
      </c>
      <c r="AH138" s="83">
        <f>Y$212-Y138</f>
        <v>1.2955620375265556E-2</v>
      </c>
      <c r="AI138" s="60">
        <f>Z$212-Z138</f>
        <v>-1.7931612568007238E-2</v>
      </c>
      <c r="AJ138" s="83">
        <f>AA$212-AA138</f>
        <v>-8.3806070189325899E-3</v>
      </c>
      <c r="AK138" s="76">
        <f>AB$212-AB138</f>
        <v>8.5965206063026434E-3</v>
      </c>
      <c r="AM138" s="57">
        <f>$AD$212-AD138</f>
        <v>2.1591358737016453E-4</v>
      </c>
      <c r="AN138" s="106">
        <f>IF(AM138&lt;$AD$215,(AM138-$AD$215)*0.5683,0)</f>
        <v>0</v>
      </c>
    </row>
    <row r="139" spans="1:40" x14ac:dyDescent="0.25">
      <c r="A139" s="17" t="s">
        <v>46</v>
      </c>
      <c r="B139" s="90" t="s">
        <v>365</v>
      </c>
      <c r="C139" s="88">
        <f>VLOOKUP($B$3:$B$210,Costdrivere!$B$3:$H$211,2,FALSE)</f>
        <v>250493.55418456616</v>
      </c>
      <c r="D139" s="46">
        <f>VLOOKUP($B$3:$B$210,Costdrivere!$B$3:$H$211,3,FALSE)</f>
        <v>638610.89500000002</v>
      </c>
      <c r="E139" s="23">
        <f>VLOOKUP($B$3:$B$210,Costdrivere!$B$3:$H$211,4,FALSE)</f>
        <v>91922</v>
      </c>
      <c r="F139" s="46">
        <f>VLOOKUP($B$3:$B$210,Costdrivere!$B$3:$H$211,5,FALSE)</f>
        <v>724413</v>
      </c>
      <c r="G139" s="23">
        <f>VLOOKUP($B$3:$B$210,Costdrivere!$B$3:$H$211,6,FALSE)</f>
        <v>765912.00000000012</v>
      </c>
      <c r="H139" s="93">
        <f>VLOOKUP($B$3:$B$210,Costdrivere!$B$3:$H$211,7,FALSE)</f>
        <v>849965.20000000007</v>
      </c>
      <c r="I139" s="27">
        <v>41.214973253438458</v>
      </c>
      <c r="J139" s="20">
        <f>VLOOKUP($B$3:$B$210,Costdrivere!$B$3:$I$211,8,FALSE)</f>
        <v>3.1698324022346368E-2</v>
      </c>
      <c r="K139" s="74">
        <f t="shared" si="47"/>
        <v>3321316.6491845665</v>
      </c>
      <c r="L139" s="89">
        <f t="shared" si="59"/>
        <v>4373740.6568032773</v>
      </c>
      <c r="M139" s="167">
        <f t="shared" si="48"/>
        <v>3787370.7780185924</v>
      </c>
      <c r="N139" s="74">
        <f>K139+VLOOKUP($B$3:$B$210,'Potentialer og krav'!$B$2:$F$209,5,FALSE)</f>
        <v>3321316.6491845665</v>
      </c>
      <c r="O139" s="160">
        <f t="shared" si="49"/>
        <v>4373740.6568032773</v>
      </c>
      <c r="P139" s="163">
        <f t="shared" si="50"/>
        <v>3787370.7780185924</v>
      </c>
      <c r="Q139" s="104">
        <f>N139+(0.25*VLOOKUP($B$3:$B$210,'Potentialer og krav'!$B$2:$C$209,2,FALSE))</f>
        <v>4445659.899184566</v>
      </c>
      <c r="R139" s="53">
        <f>O139+(0.25*VLOOKUP($B$3:$B$210,'Potentialer og krav'!$B$2:$C$209,2,FALSE))</f>
        <v>5498083.9068032773</v>
      </c>
      <c r="S139" s="104">
        <f>P139+(0.25*VLOOKUP($B$3:$B$210,'Potentialer og krav'!$B$2:$C$209,2,FALSE))</f>
        <v>4911714.0280185919</v>
      </c>
      <c r="T139" s="84">
        <v>4696486</v>
      </c>
      <c r="U139" s="92">
        <f t="shared" si="51"/>
        <v>4766933.2899999991</v>
      </c>
      <c r="W139" s="70">
        <f t="shared" si="52"/>
        <v>7.5419955590824539E-2</v>
      </c>
      <c r="X139" s="73">
        <f t="shared" si="53"/>
        <v>0.19227642602423611</v>
      </c>
      <c r="Y139" s="62">
        <f t="shared" si="54"/>
        <v>2.7676373471517159E-2</v>
      </c>
      <c r="Z139" s="73">
        <f t="shared" si="55"/>
        <v>0.2181101883729919</v>
      </c>
      <c r="AA139" s="62">
        <f t="shared" si="56"/>
        <v>0.23060493198925888</v>
      </c>
      <c r="AB139" s="64">
        <f t="shared" si="57"/>
        <v>0.2559121245511714</v>
      </c>
      <c r="AC139" s="62"/>
      <c r="AD139" s="145">
        <f t="shared" si="58"/>
        <v>0.48651705654043031</v>
      </c>
      <c r="AF139" s="57">
        <f>W$212-W139</f>
        <v>4.3253450002093297E-2</v>
      </c>
      <c r="AG139" s="60">
        <f>X$212-X139</f>
        <v>9.7521571098832027E-2</v>
      </c>
      <c r="AH139" s="83">
        <f>Y$212-Y139</f>
        <v>2.151814046482094E-2</v>
      </c>
      <c r="AI139" s="60">
        <f>Z$212-Z139</f>
        <v>1.3229014427288938E-2</v>
      </c>
      <c r="AJ139" s="83">
        <f>AA$212-AA139</f>
        <v>-8.196001862309546E-2</v>
      </c>
      <c r="AK139" s="76">
        <f>AB$212-AB139</f>
        <v>-9.3562157369939947E-2</v>
      </c>
      <c r="AM139" s="57">
        <f>$AD$212-AD139</f>
        <v>-0.17552217599303532</v>
      </c>
      <c r="AN139" s="106">
        <f>IF(AM139&lt;$AD$215,(AM139-$AD$215)*0.5683,0)</f>
        <v>-4.0073451186628931E-2</v>
      </c>
    </row>
    <row r="140" spans="1:40" x14ac:dyDescent="0.25">
      <c r="A140" s="17" t="s">
        <v>366</v>
      </c>
      <c r="B140" s="90" t="s">
        <v>367</v>
      </c>
      <c r="C140" s="88">
        <f>VLOOKUP($B$3:$B$210,Costdrivere!$B$3:$H$211,2,FALSE)</f>
        <v>198558.81512360903</v>
      </c>
      <c r="D140" s="46">
        <f>VLOOKUP($B$3:$B$210,Costdrivere!$B$3:$H$211,3,FALSE)</f>
        <v>497712.11900000001</v>
      </c>
      <c r="E140" s="23">
        <f>VLOOKUP($B$3:$B$210,Costdrivere!$B$3:$H$211,4,FALSE)</f>
        <v>0</v>
      </c>
      <c r="F140" s="46">
        <f>VLOOKUP($B$3:$B$210,Costdrivere!$B$3:$H$211,5,FALSE)</f>
        <v>287337</v>
      </c>
      <c r="G140" s="23">
        <f>VLOOKUP($B$3:$B$210,Costdrivere!$B$3:$H$211,6,FALSE)</f>
        <v>287081.2</v>
      </c>
      <c r="H140" s="93">
        <f>VLOOKUP($B$3:$B$210,Costdrivere!$B$3:$H$211,7,FALSE)</f>
        <v>329260.40000000002</v>
      </c>
      <c r="I140" s="27">
        <v>27.396900946061773</v>
      </c>
      <c r="J140" s="20">
        <f>VLOOKUP($B$3:$B$210,Costdrivere!$B$3:$I$211,8,FALSE)</f>
        <v>3.0957746478873241E-2</v>
      </c>
      <c r="K140" s="74">
        <f t="shared" si="47"/>
        <v>1599949.5341236088</v>
      </c>
      <c r="L140" s="89">
        <f t="shared" si="59"/>
        <v>1708976.8424125544</v>
      </c>
      <c r="M140" s="167">
        <f t="shared" si="48"/>
        <v>1808409.7081336323</v>
      </c>
      <c r="N140" s="74">
        <f>K140+VLOOKUP($B$3:$B$210,'Potentialer og krav'!$B$2:$F$209,5,FALSE)</f>
        <v>1599949.5341236088</v>
      </c>
      <c r="O140" s="160">
        <f t="shared" si="49"/>
        <v>1708976.8424125544</v>
      </c>
      <c r="P140" s="163">
        <f t="shared" si="50"/>
        <v>1808409.7081336323</v>
      </c>
      <c r="Q140" s="104">
        <f>N140+(0.25*VLOOKUP($B$3:$B$210,'Potentialer og krav'!$B$2:$C$209,2,FALSE))</f>
        <v>2051215.0341236088</v>
      </c>
      <c r="R140" s="53">
        <f>O140+(0.25*VLOOKUP($B$3:$B$210,'Potentialer og krav'!$B$2:$C$209,2,FALSE))</f>
        <v>2160242.3424125547</v>
      </c>
      <c r="S140" s="104">
        <f>P140+(0.25*VLOOKUP($B$3:$B$210,'Potentialer og krav'!$B$2:$C$209,2,FALSE))</f>
        <v>2259675.2081336323</v>
      </c>
      <c r="T140" s="84">
        <v>1583828</v>
      </c>
      <c r="U140" s="92">
        <f t="shared" si="51"/>
        <v>1607585.42</v>
      </c>
      <c r="W140" s="70">
        <f t="shared" si="52"/>
        <v>0.12410317381189899</v>
      </c>
      <c r="X140" s="73">
        <f t="shared" si="53"/>
        <v>0.31107988619942795</v>
      </c>
      <c r="Y140" s="62">
        <f t="shared" si="54"/>
        <v>0</v>
      </c>
      <c r="Z140" s="73">
        <f t="shared" si="55"/>
        <v>0.17959128951988615</v>
      </c>
      <c r="AA140" s="62">
        <f t="shared" si="56"/>
        <v>0.17943140947708211</v>
      </c>
      <c r="AB140" s="64">
        <f t="shared" si="57"/>
        <v>0.20579424099170496</v>
      </c>
      <c r="AC140" s="62"/>
      <c r="AD140" s="145">
        <f t="shared" si="58"/>
        <v>0.3852256504687871</v>
      </c>
      <c r="AF140" s="57">
        <f>W$212-W140</f>
        <v>-5.4297682189811541E-3</v>
      </c>
      <c r="AG140" s="60">
        <f>X$212-X140</f>
        <v>-2.1281889076359806E-2</v>
      </c>
      <c r="AH140" s="83">
        <f>Y$212-Y140</f>
        <v>4.91945139363381E-2</v>
      </c>
      <c r="AI140" s="60">
        <f>Z$212-Z140</f>
        <v>5.1747913280394686E-2</v>
      </c>
      <c r="AJ140" s="83">
        <f>AA$212-AA140</f>
        <v>-3.0786496110918687E-2</v>
      </c>
      <c r="AK140" s="76">
        <f>AB$212-AB140</f>
        <v>-4.3444273810473499E-2</v>
      </c>
      <c r="AM140" s="57">
        <f>$AD$212-AD140</f>
        <v>-7.4230769921392104E-2</v>
      </c>
      <c r="AN140" s="106">
        <f>IF(AM140&lt;$AD$215,(AM140-$AD$215)*0.5683,0)</f>
        <v>0</v>
      </c>
    </row>
    <row r="141" spans="1:40" x14ac:dyDescent="0.25">
      <c r="A141" s="17" t="s">
        <v>47</v>
      </c>
      <c r="B141" s="90" t="s">
        <v>368</v>
      </c>
      <c r="C141" s="88">
        <f>VLOOKUP($B$3:$B$210,Costdrivere!$B$3:$H$211,2,FALSE)</f>
        <v>202772.18709855888</v>
      </c>
      <c r="D141" s="46">
        <f>VLOOKUP($B$3:$B$210,Costdrivere!$B$3:$H$211,3,FALSE)</f>
        <v>491921.44900000002</v>
      </c>
      <c r="E141" s="23">
        <f>VLOOKUP($B$3:$B$210,Costdrivere!$B$3:$H$211,4,FALSE)</f>
        <v>70906</v>
      </c>
      <c r="F141" s="46">
        <f>VLOOKUP($B$3:$B$210,Costdrivere!$B$3:$H$211,5,FALSE)</f>
        <v>331854</v>
      </c>
      <c r="G141" s="23">
        <f>VLOOKUP($B$3:$B$210,Costdrivere!$B$3:$H$211,6,FALSE)</f>
        <v>115565.8</v>
      </c>
      <c r="H141" s="93">
        <f>VLOOKUP($B$3:$B$210,Costdrivere!$B$3:$H$211,7,FALSE)</f>
        <v>127479.8</v>
      </c>
      <c r="I141" s="27">
        <v>24.62325643998237</v>
      </c>
      <c r="J141" s="20">
        <f>VLOOKUP($B$3:$B$210,Costdrivere!$B$3:$I$211,8,FALSE)</f>
        <v>1.0378048780487805E-2</v>
      </c>
      <c r="K141" s="74">
        <f t="shared" si="47"/>
        <v>1340499.2360985591</v>
      </c>
      <c r="L141" s="89">
        <f t="shared" si="59"/>
        <v>1364921.2768216669</v>
      </c>
      <c r="M141" s="167">
        <f t="shared" si="48"/>
        <v>1141515.9218333287</v>
      </c>
      <c r="N141" s="74">
        <f>K141+VLOOKUP($B$3:$B$210,'Potentialer og krav'!$B$2:$F$209,5,FALSE)</f>
        <v>1340499.2360985591</v>
      </c>
      <c r="O141" s="160">
        <f t="shared" si="49"/>
        <v>1364921.2768216669</v>
      </c>
      <c r="P141" s="163">
        <f t="shared" si="50"/>
        <v>1141515.9218333287</v>
      </c>
      <c r="Q141" s="104">
        <f>N141+(0.25*VLOOKUP($B$3:$B$210,'Potentialer og krav'!$B$2:$C$209,2,FALSE))</f>
        <v>1615627.9860985591</v>
      </c>
      <c r="R141" s="53">
        <f>O141+(0.25*VLOOKUP($B$3:$B$210,'Potentialer og krav'!$B$2:$C$209,2,FALSE))</f>
        <v>1640050.0268216669</v>
      </c>
      <c r="S141" s="104">
        <f>P141+(0.25*VLOOKUP($B$3:$B$210,'Potentialer og krav'!$B$2:$C$209,2,FALSE))</f>
        <v>1416644.6718333287</v>
      </c>
      <c r="T141" s="84">
        <v>1190657</v>
      </c>
      <c r="U141" s="92">
        <f t="shared" si="51"/>
        <v>1208516.855</v>
      </c>
      <c r="W141" s="70">
        <f t="shared" si="52"/>
        <v>0.15126617131742268</v>
      </c>
      <c r="X141" s="73">
        <f t="shared" si="53"/>
        <v>0.36696883948379355</v>
      </c>
      <c r="Y141" s="62">
        <f t="shared" si="54"/>
        <v>5.2895218505582715E-2</v>
      </c>
      <c r="Z141" s="73">
        <f t="shared" si="55"/>
        <v>0.24756000679705029</v>
      </c>
      <c r="AA141" s="62">
        <f t="shared" si="56"/>
        <v>8.6211015185914758E-2</v>
      </c>
      <c r="AB141" s="64">
        <f t="shared" si="57"/>
        <v>9.5098748710235853E-2</v>
      </c>
      <c r="AC141" s="62"/>
      <c r="AD141" s="145">
        <f t="shared" si="58"/>
        <v>0.18130976389615061</v>
      </c>
      <c r="AF141" s="57">
        <f>W$212-W141</f>
        <v>-3.2592765724504841E-2</v>
      </c>
      <c r="AG141" s="60">
        <f>X$212-X141</f>
        <v>-7.7170842360725411E-2</v>
      </c>
      <c r="AH141" s="83">
        <f>Y$212-Y141</f>
        <v>-3.7007045692446158E-3</v>
      </c>
      <c r="AI141" s="60">
        <f>Z$212-Z141</f>
        <v>-1.6220803996769451E-2</v>
      </c>
      <c r="AJ141" s="83">
        <f>AA$212-AA141</f>
        <v>6.2433898180248665E-2</v>
      </c>
      <c r="AK141" s="76">
        <f>AB$212-AB141</f>
        <v>6.7251218470995605E-2</v>
      </c>
      <c r="AM141" s="57">
        <f>$AD$212-AD141</f>
        <v>0.12968511665124438</v>
      </c>
      <c r="AN141" s="106">
        <f>IF(AM141&lt;$AD$215,(AM141-$AD$215)*0.5683,0)</f>
        <v>0</v>
      </c>
    </row>
    <row r="142" spans="1:40" x14ac:dyDescent="0.25">
      <c r="A142" s="17" t="s">
        <v>369</v>
      </c>
      <c r="B142" s="90" t="s">
        <v>370</v>
      </c>
      <c r="C142" s="88">
        <f>VLOOKUP($B$3:$B$210,Costdrivere!$B$3:$H$211,2,FALSE)</f>
        <v>215827.20502940941</v>
      </c>
      <c r="D142" s="46">
        <f>VLOOKUP($B$3:$B$210,Costdrivere!$B$3:$H$211,3,FALSE)</f>
        <v>537390.72400000005</v>
      </c>
      <c r="E142" s="23">
        <f>VLOOKUP($B$3:$B$210,Costdrivere!$B$3:$H$211,4,FALSE)</f>
        <v>0</v>
      </c>
      <c r="F142" s="46">
        <f>VLOOKUP($B$3:$B$210,Costdrivere!$B$3:$H$211,5,FALSE)</f>
        <v>485640</v>
      </c>
      <c r="G142" s="23">
        <f>VLOOKUP($B$3:$B$210,Costdrivere!$B$3:$H$211,6,FALSE)</f>
        <v>432794.60000000003</v>
      </c>
      <c r="H142" s="93">
        <f>VLOOKUP($B$3:$B$210,Costdrivere!$B$3:$H$211,7,FALSE)</f>
        <v>477412.60000000003</v>
      </c>
      <c r="I142" s="27">
        <v>33.452036606297611</v>
      </c>
      <c r="J142" s="20">
        <f>VLOOKUP($B$3:$B$210,Costdrivere!$B$3:$I$211,8,FALSE)</f>
        <v>2.6558333333333333E-2</v>
      </c>
      <c r="K142" s="74">
        <f t="shared" si="47"/>
        <v>2149065.1290294095</v>
      </c>
      <c r="L142" s="89">
        <f t="shared" si="59"/>
        <v>2529743.3457728815</v>
      </c>
      <c r="M142" s="167">
        <f t="shared" si="48"/>
        <v>2301017.0713135712</v>
      </c>
      <c r="N142" s="74">
        <f>K142+VLOOKUP($B$3:$B$210,'Potentialer og krav'!$B$2:$F$209,5,FALSE)</f>
        <v>2149065.1290294095</v>
      </c>
      <c r="O142" s="160">
        <f t="shared" si="49"/>
        <v>2529743.3457728815</v>
      </c>
      <c r="P142" s="163">
        <f t="shared" si="50"/>
        <v>2301017.0713135712</v>
      </c>
      <c r="Q142" s="104">
        <f>N142+(0.25*VLOOKUP($B$3:$B$210,'Potentialer og krav'!$B$2:$C$209,2,FALSE))</f>
        <v>2535644.6290294095</v>
      </c>
      <c r="R142" s="53">
        <f>O142+(0.25*VLOOKUP($B$3:$B$210,'Potentialer og krav'!$B$2:$C$209,2,FALSE))</f>
        <v>2916322.8457728815</v>
      </c>
      <c r="S142" s="104">
        <f>P142+(0.25*VLOOKUP($B$3:$B$210,'Potentialer og krav'!$B$2:$C$209,2,FALSE))</f>
        <v>2687596.5713135712</v>
      </c>
      <c r="T142" s="84">
        <v>2618916</v>
      </c>
      <c r="U142" s="92">
        <f t="shared" si="51"/>
        <v>2658199.7399999998</v>
      </c>
      <c r="W142" s="70">
        <f t="shared" si="52"/>
        <v>0.10042841518110913</v>
      </c>
      <c r="X142" s="73">
        <f t="shared" si="53"/>
        <v>0.25005790505879355</v>
      </c>
      <c r="Y142" s="62">
        <f t="shared" si="54"/>
        <v>0</v>
      </c>
      <c r="Z142" s="73">
        <f t="shared" si="55"/>
        <v>0.22597733006785675</v>
      </c>
      <c r="AA142" s="62">
        <f t="shared" si="56"/>
        <v>0.20138738196150655</v>
      </c>
      <c r="AB142" s="64">
        <f t="shared" si="57"/>
        <v>0.22214896773073403</v>
      </c>
      <c r="AC142" s="62"/>
      <c r="AD142" s="145">
        <f t="shared" si="58"/>
        <v>0.42353634969224058</v>
      </c>
      <c r="AF142" s="57">
        <f>W$212-W142</f>
        <v>1.8244990411808701E-2</v>
      </c>
      <c r="AG142" s="60">
        <f>X$212-X142</f>
        <v>3.974009206427459E-2</v>
      </c>
      <c r="AH142" s="83">
        <f>Y$212-Y142</f>
        <v>4.91945139363381E-2</v>
      </c>
      <c r="AI142" s="60">
        <f>Z$212-Z142</f>
        <v>5.3618727324240834E-3</v>
      </c>
      <c r="AJ142" s="83">
        <f>AA$212-AA142</f>
        <v>-5.2742468595343123E-2</v>
      </c>
      <c r="AK142" s="76">
        <f>AB$212-AB142</f>
        <v>-5.9799000549502573E-2</v>
      </c>
      <c r="AM142" s="57">
        <f>$AD$212-AD142</f>
        <v>-0.11254146914484559</v>
      </c>
      <c r="AN142" s="106">
        <f>IF(AM142&lt;$AD$215,(AM142-$AD$215)*0.5683,0)</f>
        <v>-4.2815154848027028E-3</v>
      </c>
    </row>
    <row r="143" spans="1:40" x14ac:dyDescent="0.25">
      <c r="A143" s="17" t="s">
        <v>371</v>
      </c>
      <c r="B143" s="90" t="s">
        <v>372</v>
      </c>
      <c r="C143" s="88">
        <f>VLOOKUP($B$3:$B$210,Costdrivere!$B$3:$H$211,2,FALSE)</f>
        <v>353997.15821613459</v>
      </c>
      <c r="D143" s="46">
        <f>VLOOKUP($B$3:$B$210,Costdrivere!$B$3:$H$211,3,FALSE)</f>
        <v>915280.72</v>
      </c>
      <c r="E143" s="23">
        <f>VLOOKUP($B$3:$B$210,Costdrivere!$B$3:$H$211,4,FALSE)</f>
        <v>0</v>
      </c>
      <c r="F143" s="46">
        <f>VLOOKUP($B$3:$B$210,Costdrivere!$B$3:$H$211,5,FALSE)</f>
        <v>821541</v>
      </c>
      <c r="G143" s="23">
        <f>VLOOKUP($B$3:$B$210,Costdrivere!$B$3:$H$211,6,FALSE)</f>
        <v>370734.00000000006</v>
      </c>
      <c r="H143" s="93">
        <f>VLOOKUP($B$3:$B$210,Costdrivere!$B$3:$H$211,7,FALSE)</f>
        <v>408954.00000000006</v>
      </c>
      <c r="I143" s="27">
        <v>22.669615254018396</v>
      </c>
      <c r="J143" s="20">
        <f>VLOOKUP($B$3:$B$210,Costdrivere!$B$3:$I$211,8,FALSE)</f>
        <v>1.3448275862068966E-2</v>
      </c>
      <c r="K143" s="74">
        <f t="shared" si="47"/>
        <v>2870506.8782161348</v>
      </c>
      <c r="L143" s="89">
        <f t="shared" si="59"/>
        <v>2821860.6122113951</v>
      </c>
      <c r="M143" s="167">
        <f t="shared" si="48"/>
        <v>2563774.4115095385</v>
      </c>
      <c r="N143" s="74">
        <f>K143+VLOOKUP($B$3:$B$210,'Potentialer og krav'!$B$2:$F$209,5,FALSE)</f>
        <v>2870506.8782161348</v>
      </c>
      <c r="O143" s="160">
        <f t="shared" si="49"/>
        <v>2821860.6122113951</v>
      </c>
      <c r="P143" s="163">
        <f t="shared" si="50"/>
        <v>2563774.4115095385</v>
      </c>
      <c r="Q143" s="104">
        <f>N143+(0.25*VLOOKUP($B$3:$B$210,'Potentialer og krav'!$B$2:$C$209,2,FALSE))</f>
        <v>3494221.6282161348</v>
      </c>
      <c r="R143" s="53">
        <f>O143+(0.25*VLOOKUP($B$3:$B$210,'Potentialer og krav'!$B$2:$C$209,2,FALSE))</f>
        <v>3445575.3622113951</v>
      </c>
      <c r="S143" s="104">
        <f>P143+(0.25*VLOOKUP($B$3:$B$210,'Potentialer og krav'!$B$2:$C$209,2,FALSE))</f>
        <v>3187489.1615095385</v>
      </c>
      <c r="T143" s="84">
        <v>2501754</v>
      </c>
      <c r="U143" s="92">
        <f t="shared" si="51"/>
        <v>2539280.3099999996</v>
      </c>
      <c r="W143" s="70">
        <f t="shared" si="52"/>
        <v>0.1233221773138982</v>
      </c>
      <c r="X143" s="73">
        <f t="shared" si="53"/>
        <v>0.31885682871758092</v>
      </c>
      <c r="Y143" s="62">
        <f t="shared" si="54"/>
        <v>0</v>
      </c>
      <c r="Z143" s="73">
        <f t="shared" si="55"/>
        <v>0.28620067286184081</v>
      </c>
      <c r="AA143" s="62">
        <f t="shared" si="56"/>
        <v>0.12915279974190177</v>
      </c>
      <c r="AB143" s="64">
        <f t="shared" si="57"/>
        <v>0.14246752136477822</v>
      </c>
      <c r="AC143" s="62"/>
      <c r="AD143" s="145">
        <f t="shared" si="58"/>
        <v>0.27162032110668</v>
      </c>
      <c r="AF143" s="57">
        <f>W$212-W143</f>
        <v>-4.6487717209803686E-3</v>
      </c>
      <c r="AG143" s="60">
        <f>X$212-X143</f>
        <v>-2.905883159451278E-2</v>
      </c>
      <c r="AH143" s="83">
        <f>Y$212-Y143</f>
        <v>4.91945139363381E-2</v>
      </c>
      <c r="AI143" s="60">
        <f>Z$212-Z143</f>
        <v>-5.4861470061559975E-2</v>
      </c>
      <c r="AJ143" s="83">
        <f>AA$212-AA143</f>
        <v>1.9492113624261648E-2</v>
      </c>
      <c r="AK143" s="76">
        <f>AB$212-AB143</f>
        <v>1.9882445816453237E-2</v>
      </c>
      <c r="AM143" s="57">
        <f>$AD$212-AD143</f>
        <v>3.9374559440714996E-2</v>
      </c>
      <c r="AN143" s="106">
        <f>IF(AM143&lt;$AD$215,(AM143-$AD$215)*0.5683,0)</f>
        <v>0</v>
      </c>
    </row>
    <row r="144" spans="1:40" x14ac:dyDescent="0.25">
      <c r="A144" s="17" t="s">
        <v>49</v>
      </c>
      <c r="B144" s="90" t="s">
        <v>373</v>
      </c>
      <c r="C144" s="88">
        <f>VLOOKUP($B$3:$B$210,Costdrivere!$B$3:$H$211,2,FALSE)</f>
        <v>176300.72599012416</v>
      </c>
      <c r="D144" s="46">
        <f>VLOOKUP($B$3:$B$210,Costdrivere!$B$3:$H$211,3,FALSE)</f>
        <v>203165.02799999999</v>
      </c>
      <c r="E144" s="23">
        <f>VLOOKUP($B$3:$B$210,Costdrivere!$B$3:$H$211,4,FALSE)</f>
        <v>0</v>
      </c>
      <c r="F144" s="46">
        <f>VLOOKUP($B$3:$B$210,Costdrivere!$B$3:$H$211,5,FALSE)</f>
        <v>343995</v>
      </c>
      <c r="G144" s="23">
        <f>VLOOKUP($B$3:$B$210,Costdrivere!$B$3:$H$211,6,FALSE)</f>
        <v>214292.40000000002</v>
      </c>
      <c r="H144" s="93">
        <f>VLOOKUP($B$3:$B$210,Costdrivere!$B$3:$H$211,7,FALSE)</f>
        <v>236384.40000000002</v>
      </c>
      <c r="I144" s="27">
        <v>38.45254630855198</v>
      </c>
      <c r="J144" s="20">
        <f>VLOOKUP($B$3:$B$210,Costdrivere!$B$3:$I$211,8,FALSE)</f>
        <v>1.8564705882352942E-2</v>
      </c>
      <c r="K144" s="74">
        <f t="shared" si="47"/>
        <v>1174137.5539901243</v>
      </c>
      <c r="L144" s="89">
        <f t="shared" si="59"/>
        <v>1487803.5095577948</v>
      </c>
      <c r="M144" s="167">
        <f t="shared" si="48"/>
        <v>1130037.3894905108</v>
      </c>
      <c r="N144" s="74">
        <f>K144+VLOOKUP($B$3:$B$210,'Potentialer og krav'!$B$2:$F$209,5,FALSE)</f>
        <v>1174137.5539901243</v>
      </c>
      <c r="O144" s="160">
        <f t="shared" si="49"/>
        <v>1487803.5095577948</v>
      </c>
      <c r="P144" s="163">
        <f t="shared" si="50"/>
        <v>1130037.3894905108</v>
      </c>
      <c r="Q144" s="104">
        <f>N144+(0.25*VLOOKUP($B$3:$B$210,'Potentialer og krav'!$B$2:$C$209,2,FALSE))</f>
        <v>1456992.5539901243</v>
      </c>
      <c r="R144" s="53">
        <f>O144+(0.25*VLOOKUP($B$3:$B$210,'Potentialer og krav'!$B$2:$C$209,2,FALSE))</f>
        <v>1770658.5095577948</v>
      </c>
      <c r="S144" s="104">
        <f>P144+(0.25*VLOOKUP($B$3:$B$210,'Potentialer og krav'!$B$2:$C$209,2,FALSE))</f>
        <v>1412892.3894905108</v>
      </c>
      <c r="T144" s="84">
        <v>839713</v>
      </c>
      <c r="U144" s="92">
        <f t="shared" si="51"/>
        <v>852308.69499999995</v>
      </c>
      <c r="W144" s="70">
        <f t="shared" si="52"/>
        <v>0.15015338312874288</v>
      </c>
      <c r="X144" s="73">
        <f t="shared" si="53"/>
        <v>0.1730334127458705</v>
      </c>
      <c r="Y144" s="62">
        <f t="shared" si="54"/>
        <v>0</v>
      </c>
      <c r="Z144" s="73">
        <f t="shared" si="55"/>
        <v>0.29297674606436563</v>
      </c>
      <c r="AA144" s="62">
        <f t="shared" si="56"/>
        <v>0.18251047270548545</v>
      </c>
      <c r="AB144" s="64">
        <f t="shared" si="57"/>
        <v>0.2013259853555355</v>
      </c>
      <c r="AC144" s="62"/>
      <c r="AD144" s="145">
        <f t="shared" si="58"/>
        <v>0.38383645806102096</v>
      </c>
      <c r="AF144" s="57">
        <f>W$212-W144</f>
        <v>-3.1479977535825043E-2</v>
      </c>
      <c r="AG144" s="60">
        <f>X$212-X144</f>
        <v>0.11676458437719764</v>
      </c>
      <c r="AH144" s="83">
        <f>Y$212-Y144</f>
        <v>4.91945139363381E-2</v>
      </c>
      <c r="AI144" s="60">
        <f>Z$212-Z144</f>
        <v>-6.1637543264084799E-2</v>
      </c>
      <c r="AJ144" s="83">
        <f>AA$212-AA144</f>
        <v>-3.3865559339322032E-2</v>
      </c>
      <c r="AK144" s="76">
        <f>AB$212-AB144</f>
        <v>-3.8976018174304045E-2</v>
      </c>
      <c r="AM144" s="57">
        <f>$AD$212-AD144</f>
        <v>-7.2841577513625966E-2</v>
      </c>
      <c r="AN144" s="106">
        <f>IF(AM144&lt;$AD$215,(AM144-$AD$215)*0.5683,0)</f>
        <v>0</v>
      </c>
    </row>
    <row r="145" spans="1:40" x14ac:dyDescent="0.25">
      <c r="A145" s="17" t="s">
        <v>486</v>
      </c>
      <c r="B145" s="90" t="s">
        <v>374</v>
      </c>
      <c r="C145" s="88">
        <f>VLOOKUP($B$3:$B$210,Costdrivere!$B$3:$H$211,2,FALSE)</f>
        <v>187352.05749308065</v>
      </c>
      <c r="D145" s="46">
        <f>VLOOKUP($B$3:$B$210,Costdrivere!$B$3:$H$211,3,FALSE)</f>
        <v>448623.66800000001</v>
      </c>
      <c r="E145" s="23">
        <f>VLOOKUP($B$3:$B$210,Costdrivere!$B$3:$H$211,4,FALSE)</f>
        <v>35453</v>
      </c>
      <c r="F145" s="46">
        <f>VLOOKUP($B$3:$B$210,Costdrivere!$B$3:$H$211,5,FALSE)</f>
        <v>424935</v>
      </c>
      <c r="G145" s="23">
        <f>VLOOKUP($B$3:$B$210,Costdrivere!$B$3:$H$211,6,FALSE)</f>
        <v>232489.60000000001</v>
      </c>
      <c r="H145" s="93">
        <f>VLOOKUP($B$3:$B$210,Costdrivere!$B$3:$H$211,7,FALSE)</f>
        <v>282073.40000000002</v>
      </c>
      <c r="I145" s="27">
        <v>29.304201804270896</v>
      </c>
      <c r="J145" s="20">
        <f>VLOOKUP($B$3:$B$210,Costdrivere!$B$3:$I$211,8,FALSE)</f>
        <v>1.7933333333333332E-2</v>
      </c>
      <c r="K145" s="74">
        <f t="shared" si="47"/>
        <v>1610926.7254930809</v>
      </c>
      <c r="L145" s="89">
        <f t="shared" si="59"/>
        <v>1776007.4605618874</v>
      </c>
      <c r="M145" s="167">
        <f t="shared" si="48"/>
        <v>1536645.3906489844</v>
      </c>
      <c r="N145" s="74">
        <f>K145+VLOOKUP($B$3:$B$210,'Potentialer og krav'!$B$2:$F$209,5,FALSE)</f>
        <v>1610926.7254930809</v>
      </c>
      <c r="O145" s="160">
        <f t="shared" si="49"/>
        <v>1776007.4605618874</v>
      </c>
      <c r="P145" s="163">
        <f t="shared" si="50"/>
        <v>1536645.3906489844</v>
      </c>
      <c r="Q145" s="104">
        <f>N145+(0.25*VLOOKUP($B$3:$B$210,'Potentialer og krav'!$B$2:$C$209,2,FALSE))</f>
        <v>2030522.7254930809</v>
      </c>
      <c r="R145" s="53">
        <f>O145+(0.25*VLOOKUP($B$3:$B$210,'Potentialer og krav'!$B$2:$C$209,2,FALSE))</f>
        <v>2195603.4605618874</v>
      </c>
      <c r="S145" s="104">
        <f>P145+(0.25*VLOOKUP($B$3:$B$210,'Potentialer og krav'!$B$2:$C$209,2,FALSE))</f>
        <v>1956241.3906489844</v>
      </c>
      <c r="T145" s="84">
        <v>1250341</v>
      </c>
      <c r="U145" s="92">
        <f t="shared" si="51"/>
        <v>1269096.115</v>
      </c>
      <c r="W145" s="70">
        <f t="shared" si="52"/>
        <v>0.11630079415048189</v>
      </c>
      <c r="X145" s="73">
        <f t="shared" si="53"/>
        <v>0.27848794169249563</v>
      </c>
      <c r="Y145" s="62">
        <f t="shared" si="54"/>
        <v>2.2007829058238736E-2</v>
      </c>
      <c r="Z145" s="73">
        <f t="shared" si="55"/>
        <v>0.26378294758871396</v>
      </c>
      <c r="AA145" s="62">
        <f t="shared" si="56"/>
        <v>0.14432040658388007</v>
      </c>
      <c r="AB145" s="64">
        <f t="shared" si="57"/>
        <v>0.17510008092618956</v>
      </c>
      <c r="AC145" s="62"/>
      <c r="AD145" s="145">
        <f t="shared" si="58"/>
        <v>0.31942048751006963</v>
      </c>
      <c r="AF145" s="57">
        <f>W$212-W145</f>
        <v>2.3726114424359457E-3</v>
      </c>
      <c r="AG145" s="60">
        <f>X$212-X145</f>
        <v>1.1310055430572508E-2</v>
      </c>
      <c r="AH145" s="83">
        <f>Y$212-Y145</f>
        <v>2.7186684878099363E-2</v>
      </c>
      <c r="AI145" s="60">
        <f>Z$212-Z145</f>
        <v>-3.2443744788433121E-2</v>
      </c>
      <c r="AJ145" s="83">
        <f>AA$212-AA145</f>
        <v>4.3245067822833549E-3</v>
      </c>
      <c r="AK145" s="76">
        <f>AB$212-AB145</f>
        <v>-1.2750113744958103E-2</v>
      </c>
      <c r="AM145" s="57">
        <f>$AD$212-AD145</f>
        <v>-8.4256069626746366E-3</v>
      </c>
      <c r="AN145" s="106">
        <f>IF(AM145&lt;$AD$215,(AM145-$AD$215)*0.5683,0)</f>
        <v>0</v>
      </c>
    </row>
    <row r="146" spans="1:40" x14ac:dyDescent="0.25">
      <c r="A146" s="17" t="s">
        <v>487</v>
      </c>
      <c r="B146" s="90" t="s">
        <v>375</v>
      </c>
      <c r="C146" s="88">
        <f>VLOOKUP($B$3:$B$210,Costdrivere!$B$3:$H$211,2,FALSE)</f>
        <v>3100.73455539512</v>
      </c>
      <c r="D146" s="46">
        <f>VLOOKUP($B$3:$B$210,Costdrivere!$B$3:$H$211,3,FALSE)</f>
        <v>5656.7910000000002</v>
      </c>
      <c r="E146" s="23">
        <f>VLOOKUP($B$3:$B$210,Costdrivere!$B$3:$H$211,4,FALSE)</f>
        <v>0</v>
      </c>
      <c r="F146" s="46">
        <f>VLOOKUP($B$3:$B$210,Costdrivere!$B$3:$H$211,5,FALSE)</f>
        <v>12141</v>
      </c>
      <c r="G146" s="23">
        <f>VLOOKUP($B$3:$B$210,Costdrivere!$B$3:$H$211,6,FALSE)</f>
        <v>4074.0000000000005</v>
      </c>
      <c r="H146" s="93">
        <f>VLOOKUP($B$3:$B$210,Costdrivere!$B$3:$H$211,7,FALSE)</f>
        <v>4643.8</v>
      </c>
      <c r="I146" s="27">
        <v>19</v>
      </c>
      <c r="J146" s="20">
        <f>VLOOKUP($B$3:$B$210,Costdrivere!$B$3:$I$211,8,FALSE)</f>
        <v>1.0333333333333333E-2</v>
      </c>
      <c r="K146" s="74">
        <f t="shared" si="47"/>
        <v>29616.32555539512</v>
      </c>
      <c r="L146" s="89">
        <f t="shared" si="59"/>
        <v>27158.170534297322</v>
      </c>
      <c r="M146" s="167">
        <f t="shared" si="48"/>
        <v>25202.150440882735</v>
      </c>
      <c r="N146" s="74">
        <f>K146+VLOOKUP($B$3:$B$210,'Potentialer og krav'!$B$2:$F$209,5,FALSE)</f>
        <v>29616.32555539512</v>
      </c>
      <c r="O146" s="160">
        <f t="shared" si="49"/>
        <v>27158.170534297322</v>
      </c>
      <c r="P146" s="163">
        <f t="shared" si="50"/>
        <v>25202.150440882735</v>
      </c>
      <c r="Q146" s="104">
        <f>N146+(0.25*VLOOKUP($B$3:$B$210,'Potentialer og krav'!$B$2:$C$209,2,FALSE))</f>
        <v>34549.325555395117</v>
      </c>
      <c r="R146" s="53">
        <f>O146+(0.25*VLOOKUP($B$3:$B$210,'Potentialer og krav'!$B$2:$C$209,2,FALSE))</f>
        <v>32091.170534297322</v>
      </c>
      <c r="S146" s="104">
        <f>P146+(0.25*VLOOKUP($B$3:$B$210,'Potentialer og krav'!$B$2:$C$209,2,FALSE))</f>
        <v>30135.150440882735</v>
      </c>
      <c r="T146" s="84">
        <v>44401</v>
      </c>
      <c r="U146" s="92">
        <f t="shared" si="51"/>
        <v>45067.014999999992</v>
      </c>
      <c r="W146" s="70">
        <f t="shared" si="52"/>
        <v>0.10469680141769877</v>
      </c>
      <c r="X146" s="73">
        <f t="shared" si="53"/>
        <v>0.19100245874254035</v>
      </c>
      <c r="Y146" s="62">
        <f t="shared" si="54"/>
        <v>0</v>
      </c>
      <c r="Z146" s="73">
        <f t="shared" si="55"/>
        <v>0.4099428194524391</v>
      </c>
      <c r="AA146" s="62">
        <f t="shared" si="56"/>
        <v>0.13755926583059361</v>
      </c>
      <c r="AB146" s="64">
        <f t="shared" si="57"/>
        <v>0.15679865455672817</v>
      </c>
      <c r="AC146" s="62"/>
      <c r="AD146" s="145">
        <f t="shared" si="58"/>
        <v>0.29435792038732178</v>
      </c>
      <c r="AF146" s="57">
        <f>W$212-W146</f>
        <v>1.3976604175219065E-2</v>
      </c>
      <c r="AG146" s="60">
        <f>X$212-X146</f>
        <v>9.8795538380527792E-2</v>
      </c>
      <c r="AH146" s="83">
        <f>Y$212-Y146</f>
        <v>4.91945139363381E-2</v>
      </c>
      <c r="AI146" s="60">
        <f>Z$212-Z146</f>
        <v>-0.17860361665215826</v>
      </c>
      <c r="AJ146" s="83">
        <f>AA$212-AA146</f>
        <v>1.1085647535569815E-2</v>
      </c>
      <c r="AK146" s="76">
        <f>AB$212-AB146</f>
        <v>5.5513126245032851E-3</v>
      </c>
      <c r="AM146" s="57">
        <f>$AD$212-AD146</f>
        <v>1.6636960160073211E-2</v>
      </c>
      <c r="AN146" s="106">
        <f>IF(AM146&lt;$AD$215,(AM146-$AD$215)*0.5683,0)</f>
        <v>0</v>
      </c>
    </row>
    <row r="147" spans="1:40" x14ac:dyDescent="0.25">
      <c r="A147" s="17" t="s">
        <v>376</v>
      </c>
      <c r="B147" s="90" t="s">
        <v>377</v>
      </c>
      <c r="C147" s="88">
        <f>VLOOKUP($B$3:$B$210,Costdrivere!$B$3:$H$211,2,FALSE)</f>
        <v>1837703.0730245372</v>
      </c>
      <c r="D147" s="46">
        <f>VLOOKUP($B$3:$B$210,Costdrivere!$B$3:$H$211,3,FALSE)</f>
        <v>5640442.4749999996</v>
      </c>
      <c r="E147" s="23">
        <f>VLOOKUP($B$3:$B$210,Costdrivere!$B$3:$H$211,4,FALSE)</f>
        <v>905405</v>
      </c>
      <c r="F147" s="46">
        <f>VLOOKUP($B$3:$B$210,Costdrivere!$B$3:$H$211,5,FALSE)</f>
        <v>4734990</v>
      </c>
      <c r="G147" s="23">
        <f>VLOOKUP($B$3:$B$210,Costdrivere!$B$3:$H$211,6,FALSE)</f>
        <v>2605323</v>
      </c>
      <c r="H147" s="93">
        <f>VLOOKUP($B$3:$B$210,Costdrivere!$B$3:$H$211,7,FALSE)</f>
        <v>3285863.0000000005</v>
      </c>
      <c r="I147" s="27">
        <v>30.31307524764766</v>
      </c>
      <c r="J147" s="20">
        <f>VLOOKUP($B$3:$B$210,Costdrivere!$B$3:$I$211,8,FALSE)</f>
        <v>1.8747863247863247E-2</v>
      </c>
      <c r="K147" s="74">
        <f t="shared" si="47"/>
        <v>19009726.548024539</v>
      </c>
      <c r="L147" s="89">
        <f t="shared" si="59"/>
        <v>21302971.64828863</v>
      </c>
      <c r="M147" s="167">
        <f t="shared" si="48"/>
        <v>18342885.487780452</v>
      </c>
      <c r="N147" s="74">
        <f>K147+VLOOKUP($B$3:$B$210,'Potentialer og krav'!$B$2:$F$209,5,FALSE)</f>
        <v>19415380.548024539</v>
      </c>
      <c r="O147" s="160">
        <f t="shared" si="49"/>
        <v>21757561.862365797</v>
      </c>
      <c r="P147" s="163">
        <f t="shared" si="50"/>
        <v>18734309.575384352</v>
      </c>
      <c r="Q147" s="104">
        <f>N147+(0.25*VLOOKUP($B$3:$B$210,'Potentialer og krav'!$B$2:$C$209,2,FALSE))</f>
        <v>23174420.298024539</v>
      </c>
      <c r="R147" s="53">
        <f>O147+(0.25*VLOOKUP($B$3:$B$210,'Potentialer og krav'!$B$2:$C$209,2,FALSE))</f>
        <v>25516601.612365797</v>
      </c>
      <c r="S147" s="104">
        <f>P147+(0.25*VLOOKUP($B$3:$B$210,'Potentialer og krav'!$B$2:$C$209,2,FALSE))</f>
        <v>22493349.325384352</v>
      </c>
      <c r="T147" s="84">
        <v>11035131</v>
      </c>
      <c r="U147" s="92">
        <f t="shared" si="51"/>
        <v>11200657.965</v>
      </c>
      <c r="W147" s="70">
        <f t="shared" si="52"/>
        <v>9.6671725833715819E-2</v>
      </c>
      <c r="X147" s="73">
        <f t="shared" si="53"/>
        <v>0.29671349878444969</v>
      </c>
      <c r="Y147" s="62">
        <f t="shared" si="54"/>
        <v>4.7628512578161641E-2</v>
      </c>
      <c r="Z147" s="73">
        <f t="shared" si="55"/>
        <v>0.24908248880055842</v>
      </c>
      <c r="AA147" s="62">
        <f t="shared" si="56"/>
        <v>0.13705210295467091</v>
      </c>
      <c r="AB147" s="64">
        <f t="shared" si="57"/>
        <v>0.17285167104844348</v>
      </c>
      <c r="AC147" s="62"/>
      <c r="AD147" s="145">
        <f t="shared" si="58"/>
        <v>0.30990377400311442</v>
      </c>
      <c r="AF147" s="57">
        <f>W$212-W147</f>
        <v>2.2001679759202017E-2</v>
      </c>
      <c r="AG147" s="60">
        <f>X$212-X147</f>
        <v>-6.9155016613815512E-3</v>
      </c>
      <c r="AH147" s="83">
        <f>Y$212-Y147</f>
        <v>1.5660013581764581E-3</v>
      </c>
      <c r="AI147" s="60">
        <f>Z$212-Z147</f>
        <v>-1.7743286000277581E-2</v>
      </c>
      <c r="AJ147" s="83">
        <f>AA$212-AA147</f>
        <v>1.1592810411492516E-2</v>
      </c>
      <c r="AK147" s="76">
        <f>AB$212-AB147</f>
        <v>-1.0501703867212026E-2</v>
      </c>
      <c r="AM147" s="57">
        <f>$AD$212-AD147</f>
        <v>1.0911065442805734E-3</v>
      </c>
      <c r="AN147" s="106">
        <f>IF(AM147&lt;$AD$215,(AM147-$AD$215)*0.5683,0)</f>
        <v>0</v>
      </c>
    </row>
    <row r="148" spans="1:40" x14ac:dyDescent="0.25">
      <c r="A148" s="17" t="s">
        <v>50</v>
      </c>
      <c r="B148" s="90" t="s">
        <v>378</v>
      </c>
      <c r="C148" s="88">
        <f>VLOOKUP($B$3:$B$210,Costdrivere!$B$3:$H$211,2,FALSE)</f>
        <v>1194796.9464883357</v>
      </c>
      <c r="D148" s="46">
        <f>VLOOKUP($B$3:$B$210,Costdrivere!$B$3:$H$211,3,FALSE)</f>
        <v>3452682.9550000001</v>
      </c>
      <c r="E148" s="23">
        <f>VLOOKUP($B$3:$B$210,Costdrivere!$B$3:$H$211,4,FALSE)</f>
        <v>127375</v>
      </c>
      <c r="F148" s="46">
        <f>VLOOKUP($B$3:$B$210,Costdrivere!$B$3:$H$211,5,FALSE)</f>
        <v>1497390</v>
      </c>
      <c r="G148" s="23">
        <f>VLOOKUP($B$3:$B$210,Costdrivere!$B$3:$H$211,6,FALSE)</f>
        <v>851466.00000000012</v>
      </c>
      <c r="H148" s="93">
        <f>VLOOKUP($B$3:$B$210,Costdrivere!$B$3:$H$211,7,FALSE)</f>
        <v>957971.00000000012</v>
      </c>
      <c r="I148" s="27">
        <v>36.427653868936737</v>
      </c>
      <c r="J148" s="20">
        <f>VLOOKUP($B$3:$B$210,Costdrivere!$B$3:$I$211,8,FALSE)</f>
        <v>1.7283783783783785E-2</v>
      </c>
      <c r="K148" s="74">
        <f t="shared" si="47"/>
        <v>8081681.9014883358</v>
      </c>
      <c r="L148" s="89">
        <f t="shared" si="59"/>
        <v>9946107.8911086097</v>
      </c>
      <c r="M148" s="167">
        <f t="shared" si="48"/>
        <v>7637929.4168600515</v>
      </c>
      <c r="N148" s="74">
        <f>K148+VLOOKUP($B$3:$B$210,'Potentialer og krav'!$B$2:$F$209,5,FALSE)</f>
        <v>8187156.9014883358</v>
      </c>
      <c r="O148" s="160">
        <f t="shared" si="49"/>
        <v>10075915.73836148</v>
      </c>
      <c r="P148" s="163">
        <f t="shared" si="50"/>
        <v>7737612.9499492403</v>
      </c>
      <c r="Q148" s="104">
        <f>N148+(0.25*VLOOKUP($B$3:$B$210,'Potentialer og krav'!$B$2:$C$209,2,FALSE))</f>
        <v>10340665.651488336</v>
      </c>
      <c r="R148" s="53">
        <f>O148+(0.25*VLOOKUP($B$3:$B$210,'Potentialer og krav'!$B$2:$C$209,2,FALSE))</f>
        <v>12229424.48836148</v>
      </c>
      <c r="S148" s="104">
        <f>P148+(0.25*VLOOKUP($B$3:$B$210,'Potentialer og krav'!$B$2:$C$209,2,FALSE))</f>
        <v>9891121.6999492403</v>
      </c>
      <c r="T148" s="84">
        <v>6846933</v>
      </c>
      <c r="U148" s="92">
        <f t="shared" si="51"/>
        <v>6949636.9949999992</v>
      </c>
      <c r="W148" s="70">
        <f t="shared" si="52"/>
        <v>0.14784013538918178</v>
      </c>
      <c r="X148" s="73">
        <f t="shared" si="53"/>
        <v>0.42722331775569494</v>
      </c>
      <c r="Y148" s="62">
        <f t="shared" si="54"/>
        <v>1.5760951934589557E-2</v>
      </c>
      <c r="Z148" s="73">
        <f t="shared" si="55"/>
        <v>0.18528197697613391</v>
      </c>
      <c r="AA148" s="62">
        <f t="shared" si="56"/>
        <v>0.10535752463149939</v>
      </c>
      <c r="AB148" s="64">
        <f t="shared" si="57"/>
        <v>0.11853609331290045</v>
      </c>
      <c r="AC148" s="62"/>
      <c r="AD148" s="145">
        <f t="shared" si="58"/>
        <v>0.22389361794439983</v>
      </c>
      <c r="AF148" s="57">
        <f>W$212-W148</f>
        <v>-2.9166729796263946E-2</v>
      </c>
      <c r="AG148" s="60">
        <f>X$212-X148</f>
        <v>-0.1374253206326268</v>
      </c>
      <c r="AH148" s="83">
        <f>Y$212-Y148</f>
        <v>3.3433562001748546E-2</v>
      </c>
      <c r="AI148" s="60">
        <f>Z$212-Z148</f>
        <v>4.6057225824146925E-2</v>
      </c>
      <c r="AJ148" s="83">
        <f>AA$212-AA148</f>
        <v>4.3287388734664034E-2</v>
      </c>
      <c r="AK148" s="76">
        <f>AB$212-AB148</f>
        <v>4.3813873868331007E-2</v>
      </c>
      <c r="AM148" s="57">
        <f>$AD$212-AD148</f>
        <v>8.7101262602995166E-2</v>
      </c>
      <c r="AN148" s="106">
        <f>IF(AM148&lt;$AD$215,(AM148-$AD$215)*0.5683,0)</f>
        <v>0</v>
      </c>
    </row>
    <row r="149" spans="1:40" x14ac:dyDescent="0.25">
      <c r="A149" s="17" t="s">
        <v>51</v>
      </c>
      <c r="B149" s="90" t="s">
        <v>379</v>
      </c>
      <c r="C149" s="88">
        <f>VLOOKUP($B$3:$B$210,Costdrivere!$B$3:$H$211,2,FALSE)</f>
        <v>1826952.0471313007</v>
      </c>
      <c r="D149" s="46">
        <f>VLOOKUP($B$3:$B$210,Costdrivere!$B$3:$H$211,3,FALSE)</f>
        <v>5312139.6469999999</v>
      </c>
      <c r="E149" s="23">
        <f>VLOOKUP($B$3:$B$210,Costdrivere!$B$3:$H$211,4,FALSE)</f>
        <v>2180308</v>
      </c>
      <c r="F149" s="46">
        <f>VLOOKUP($B$3:$B$210,Costdrivere!$B$3:$H$211,5,FALSE)</f>
        <v>6624786</v>
      </c>
      <c r="G149" s="23">
        <f>VLOOKUP($B$3:$B$210,Costdrivere!$B$3:$H$211,6,FALSE)</f>
        <v>2063642.6</v>
      </c>
      <c r="H149" s="93">
        <f>VLOOKUP($B$3:$B$210,Costdrivere!$B$3:$H$211,7,FALSE)</f>
        <v>1845236.4000000001</v>
      </c>
      <c r="I149" s="27">
        <v>37.981562598501156</v>
      </c>
      <c r="J149" s="20">
        <f>VLOOKUP($B$3:$B$210,Costdrivere!$B$3:$I$211,8,FALSE)</f>
        <v>3.3202156334231805E-2</v>
      </c>
      <c r="K149" s="74">
        <f t="shared" si="47"/>
        <v>19853064.6941313</v>
      </c>
      <c r="L149" s="89">
        <f t="shared" si="59"/>
        <v>24988419.749265835</v>
      </c>
      <c r="M149" s="167">
        <f t="shared" si="48"/>
        <v>23043253.766855866</v>
      </c>
      <c r="N149" s="74">
        <f>K149+VLOOKUP($B$3:$B$210,'Potentialer og krav'!$B$2:$F$209,5,FALSE)</f>
        <v>19853064.6941313</v>
      </c>
      <c r="O149" s="160">
        <f t="shared" si="49"/>
        <v>24988419.749265835</v>
      </c>
      <c r="P149" s="163">
        <f t="shared" si="50"/>
        <v>23043253.766855866</v>
      </c>
      <c r="Q149" s="104">
        <f>N149+(0.25*VLOOKUP($B$3:$B$210,'Potentialer og krav'!$B$2:$C$209,2,FALSE))</f>
        <v>24903317.9441313</v>
      </c>
      <c r="R149" s="53">
        <f>O149+(0.25*VLOOKUP($B$3:$B$210,'Potentialer og krav'!$B$2:$C$209,2,FALSE))</f>
        <v>30038672.999265835</v>
      </c>
      <c r="S149" s="104">
        <f>P149+(0.25*VLOOKUP($B$3:$B$210,'Potentialer og krav'!$B$2:$C$209,2,FALSE))</f>
        <v>28093507.016855866</v>
      </c>
      <c r="T149" s="84">
        <v>16942666</v>
      </c>
      <c r="U149" s="92">
        <f t="shared" si="51"/>
        <v>17196805.989999998</v>
      </c>
      <c r="W149" s="70">
        <f t="shared" si="52"/>
        <v>9.2023678725600494E-2</v>
      </c>
      <c r="X149" s="73">
        <f t="shared" si="53"/>
        <v>0.26757277673961866</v>
      </c>
      <c r="Y149" s="62">
        <f t="shared" si="54"/>
        <v>0.10982223820811472</v>
      </c>
      <c r="Z149" s="73">
        <f t="shared" si="55"/>
        <v>0.33369084834334578</v>
      </c>
      <c r="AA149" s="62">
        <f t="shared" si="56"/>
        <v>0.10394579536176229</v>
      </c>
      <c r="AB149" s="64">
        <f t="shared" si="57"/>
        <v>9.2944662621558094E-2</v>
      </c>
      <c r="AC149" s="62"/>
      <c r="AD149" s="145">
        <f t="shared" si="58"/>
        <v>0.19689045798332039</v>
      </c>
      <c r="AF149" s="57">
        <f>W$212-W149</f>
        <v>2.6649726867317342E-2</v>
      </c>
      <c r="AG149" s="60">
        <f>X$212-X149</f>
        <v>2.2225220383449484E-2</v>
      </c>
      <c r="AH149" s="83">
        <f>Y$212-Y149</f>
        <v>-6.0627724271776623E-2</v>
      </c>
      <c r="AI149" s="60">
        <f>Z$212-Z149</f>
        <v>-0.10235164554306495</v>
      </c>
      <c r="AJ149" s="83">
        <f>AA$212-AA149</f>
        <v>4.4699118004401128E-2</v>
      </c>
      <c r="AK149" s="76">
        <f>AB$212-AB149</f>
        <v>6.9405304559673364E-2</v>
      </c>
      <c r="AM149" s="57">
        <f>$AD$212-AD149</f>
        <v>0.1141044225640746</v>
      </c>
      <c r="AN149" s="106">
        <f>IF(AM149&lt;$AD$215,(AM149-$AD$215)*0.5683,0)</f>
        <v>0</v>
      </c>
    </row>
    <row r="150" spans="1:40" x14ac:dyDescent="0.25">
      <c r="A150" s="17" t="s">
        <v>488</v>
      </c>
      <c r="B150" s="90" t="s">
        <v>380</v>
      </c>
      <c r="C150" s="88">
        <f>VLOOKUP($B$3:$B$210,Costdrivere!$B$3:$H$211,2,FALSE)</f>
        <v>1210553.5900227821</v>
      </c>
      <c r="D150" s="46">
        <f>VLOOKUP($B$3:$B$210,Costdrivere!$B$3:$H$211,3,FALSE)</f>
        <v>3161613.8790000002</v>
      </c>
      <c r="E150" s="23">
        <f>VLOOKUP($B$3:$B$210,Costdrivere!$B$3:$H$211,4,FALSE)</f>
        <v>35453</v>
      </c>
      <c r="F150" s="46">
        <f>VLOOKUP($B$3:$B$210,Costdrivere!$B$3:$H$211,5,FALSE)</f>
        <v>825588</v>
      </c>
      <c r="G150" s="23">
        <f>VLOOKUP($B$3:$B$210,Costdrivere!$B$3:$H$211,6,FALSE)</f>
        <v>1078523.6000000001</v>
      </c>
      <c r="H150" s="93">
        <f>VLOOKUP($B$3:$B$210,Costdrivere!$B$3:$H$211,7,FALSE)</f>
        <v>1341159.4000000001</v>
      </c>
      <c r="I150" s="27">
        <v>45.68892160681068</v>
      </c>
      <c r="J150" s="20">
        <f>VLOOKUP($B$3:$B$210,Costdrivere!$B$3:$I$211,8,FALSE)</f>
        <v>4.3887254901960784E-2</v>
      </c>
      <c r="K150" s="74">
        <f t="shared" si="47"/>
        <v>7652891.4690227825</v>
      </c>
      <c r="L150" s="89">
        <f t="shared" si="59"/>
        <v>10694155.045773119</v>
      </c>
      <c r="M150" s="167">
        <f t="shared" si="48"/>
        <v>9990153.2496288642</v>
      </c>
      <c r="N150" s="74">
        <f>K150+VLOOKUP($B$3:$B$210,'Potentialer og krav'!$B$2:$F$209,5,FALSE)</f>
        <v>7652891.4690227825</v>
      </c>
      <c r="O150" s="160">
        <f t="shared" si="49"/>
        <v>10694155.045773119</v>
      </c>
      <c r="P150" s="163">
        <f t="shared" si="50"/>
        <v>9990153.2496288642</v>
      </c>
      <c r="Q150" s="104">
        <f>N150+(0.25*VLOOKUP($B$3:$B$210,'Potentialer og krav'!$B$2:$C$209,2,FALSE))</f>
        <v>9949464.9690227825</v>
      </c>
      <c r="R150" s="53">
        <f>O150+(0.25*VLOOKUP($B$3:$B$210,'Potentialer og krav'!$B$2:$C$209,2,FALSE))</f>
        <v>12990728.545773119</v>
      </c>
      <c r="S150" s="104">
        <f>P150+(0.25*VLOOKUP($B$3:$B$210,'Potentialer og krav'!$B$2:$C$209,2,FALSE))</f>
        <v>12286726.749628864</v>
      </c>
      <c r="T150" s="84">
        <v>8157709</v>
      </c>
      <c r="U150" s="92">
        <f t="shared" si="51"/>
        <v>8280074.6349999988</v>
      </c>
      <c r="W150" s="70">
        <f t="shared" si="52"/>
        <v>0.15818251113619422</v>
      </c>
      <c r="X150" s="73">
        <f t="shared" si="53"/>
        <v>0.41312671057697814</v>
      </c>
      <c r="Y150" s="62">
        <f t="shared" si="54"/>
        <v>4.6326280914221673E-3</v>
      </c>
      <c r="Z150" s="73">
        <f t="shared" si="55"/>
        <v>0.10787922491019221</v>
      </c>
      <c r="AA150" s="62">
        <f t="shared" si="56"/>
        <v>0.14093020976001369</v>
      </c>
      <c r="AB150" s="64">
        <f t="shared" si="57"/>
        <v>0.17524871552519955</v>
      </c>
      <c r="AC150" s="62"/>
      <c r="AD150" s="145">
        <f t="shared" si="58"/>
        <v>0.31617892528521324</v>
      </c>
      <c r="AF150" s="57">
        <f>W$212-W150</f>
        <v>-3.9509105543276385E-2</v>
      </c>
      <c r="AG150" s="60">
        <f>X$212-X150</f>
        <v>-0.12332871345391</v>
      </c>
      <c r="AH150" s="83">
        <f>Y$212-Y150</f>
        <v>4.4561885844915931E-2</v>
      </c>
      <c r="AI150" s="60">
        <f>Z$212-Z150</f>
        <v>0.12345997789008863</v>
      </c>
      <c r="AJ150" s="83">
        <f>AA$212-AA150</f>
        <v>7.7147036061497309E-3</v>
      </c>
      <c r="AK150" s="76">
        <f>AB$212-AB150</f>
        <v>-1.2898748343968092E-2</v>
      </c>
      <c r="AM150" s="57">
        <f>$AD$212-AD150</f>
        <v>-5.1840447378182497E-3</v>
      </c>
      <c r="AN150" s="106">
        <f>IF(AM150&lt;$AD$215,(AM150-$AD$215)*0.5683,0)</f>
        <v>0</v>
      </c>
    </row>
    <row r="151" spans="1:40" x14ac:dyDescent="0.25">
      <c r="A151" s="17" t="s">
        <v>68</v>
      </c>
      <c r="B151" s="90" t="s">
        <v>381</v>
      </c>
      <c r="C151" s="88">
        <f>VLOOKUP($B$3:$B$210,Costdrivere!$B$3:$H$211,2,FALSE)</f>
        <v>186005.46160059934</v>
      </c>
      <c r="D151" s="46">
        <f>VLOOKUP($B$3:$B$210,Costdrivere!$B$3:$H$211,3,FALSE)</f>
        <v>464032.679</v>
      </c>
      <c r="E151" s="23">
        <f>VLOOKUP($B$3:$B$210,Costdrivere!$B$3:$H$211,4,FALSE)</f>
        <v>494406</v>
      </c>
      <c r="F151" s="46">
        <f>VLOOKUP($B$3:$B$210,Costdrivere!$B$3:$H$211,5,FALSE)</f>
        <v>263055</v>
      </c>
      <c r="G151" s="23">
        <f>VLOOKUP($B$3:$B$210,Costdrivere!$B$3:$H$211,6,FALSE)</f>
        <v>269291.40000000002</v>
      </c>
      <c r="H151" s="93">
        <f>VLOOKUP($B$3:$B$210,Costdrivere!$B$3:$H$211,7,FALSE)</f>
        <v>309486.80000000005</v>
      </c>
      <c r="I151" s="27">
        <v>22.825580547983908</v>
      </c>
      <c r="J151" s="20">
        <f>VLOOKUP($B$3:$B$210,Costdrivere!$B$3:$I$211,8,FALSE)</f>
        <v>3.1784615384615383E-2</v>
      </c>
      <c r="K151" s="74">
        <f t="shared" si="47"/>
        <v>1986277.3406005993</v>
      </c>
      <c r="L151" s="89">
        <f t="shared" si="59"/>
        <v>1958192.2725586009</v>
      </c>
      <c r="M151" s="167">
        <f t="shared" si="48"/>
        <v>2267317.3716602768</v>
      </c>
      <c r="N151" s="74">
        <f>K151+VLOOKUP($B$3:$B$210,'Potentialer og krav'!$B$2:$F$209,5,FALSE)</f>
        <v>1986277.3406005993</v>
      </c>
      <c r="O151" s="160">
        <f t="shared" si="49"/>
        <v>1958192.2725586009</v>
      </c>
      <c r="P151" s="163">
        <f t="shared" si="50"/>
        <v>2267317.3716602768</v>
      </c>
      <c r="Q151" s="104">
        <f>N151+(0.25*VLOOKUP($B$3:$B$210,'Potentialer og krav'!$B$2:$C$209,2,FALSE))</f>
        <v>2451363.8406005995</v>
      </c>
      <c r="R151" s="53">
        <f>O151+(0.25*VLOOKUP($B$3:$B$210,'Potentialer og krav'!$B$2:$C$209,2,FALSE))</f>
        <v>2423278.7725586006</v>
      </c>
      <c r="S151" s="104">
        <f>P151+(0.25*VLOOKUP($B$3:$B$210,'Potentialer og krav'!$B$2:$C$209,2,FALSE))</f>
        <v>2732403.8716602768</v>
      </c>
      <c r="T151" s="84">
        <v>1913967</v>
      </c>
      <c r="U151" s="92">
        <f t="shared" si="51"/>
        <v>1942676.5049999999</v>
      </c>
      <c r="W151" s="70">
        <f t="shared" si="52"/>
        <v>9.3645261816437009E-2</v>
      </c>
      <c r="X151" s="73">
        <f t="shared" si="53"/>
        <v>0.23361927839326227</v>
      </c>
      <c r="Y151" s="62">
        <f t="shared" si="54"/>
        <v>0.24891085947267783</v>
      </c>
      <c r="Z151" s="73">
        <f t="shared" si="55"/>
        <v>0.13243618835245782</v>
      </c>
      <c r="AA151" s="62">
        <f t="shared" si="56"/>
        <v>0.13557593116305361</v>
      </c>
      <c r="AB151" s="64">
        <f t="shared" si="57"/>
        <v>0.15581248080211155</v>
      </c>
      <c r="AC151" s="62"/>
      <c r="AD151" s="145">
        <f t="shared" si="58"/>
        <v>0.29138841196516518</v>
      </c>
      <c r="AF151" s="57">
        <f>W$212-W151</f>
        <v>2.5028143776480827E-2</v>
      </c>
      <c r="AG151" s="60">
        <f>X$212-X151</f>
        <v>5.6178718729805871E-2</v>
      </c>
      <c r="AH151" s="83">
        <f>Y$212-Y151</f>
        <v>-0.19971634553633971</v>
      </c>
      <c r="AI151" s="60">
        <f>Z$212-Z151</f>
        <v>9.8903014447823012E-2</v>
      </c>
      <c r="AJ151" s="83">
        <f>AA$212-AA151</f>
        <v>1.3068982203109814E-2</v>
      </c>
      <c r="AK151" s="76">
        <f>AB$212-AB151</f>
        <v>6.5374863791199112E-3</v>
      </c>
      <c r="AM151" s="57">
        <f>$AD$212-AD151</f>
        <v>1.9606468582229808E-2</v>
      </c>
      <c r="AN151" s="106">
        <f>IF(AM151&lt;$AD$215,(AM151-$AD$215)*0.5683,0)</f>
        <v>0</v>
      </c>
    </row>
    <row r="152" spans="1:40" x14ac:dyDescent="0.25">
      <c r="A152" s="17" t="s">
        <v>382</v>
      </c>
      <c r="B152" s="90" t="s">
        <v>383</v>
      </c>
      <c r="C152" s="88">
        <f>VLOOKUP($B$3:$B$210,Costdrivere!$B$3:$H$211,2,FALSE)</f>
        <v>167522.66579738955</v>
      </c>
      <c r="D152" s="46">
        <f>VLOOKUP($B$3:$B$210,Costdrivere!$B$3:$H$211,3,FALSE)</f>
        <v>383514.94500000001</v>
      </c>
      <c r="E152" s="23">
        <f>VLOOKUP($B$3:$B$210,Costdrivere!$B$3:$H$211,4,FALSE)</f>
        <v>112938</v>
      </c>
      <c r="F152" s="46">
        <f>VLOOKUP($B$3:$B$210,Costdrivere!$B$3:$H$211,5,FALSE)</f>
        <v>323760</v>
      </c>
      <c r="G152" s="23">
        <f>VLOOKUP($B$3:$B$210,Costdrivere!$B$3:$H$211,6,FALSE)</f>
        <v>189712.6</v>
      </c>
      <c r="H152" s="93">
        <f>VLOOKUP($B$3:$B$210,Costdrivere!$B$3:$H$211,7,FALSE)</f>
        <v>240878.40000000002</v>
      </c>
      <c r="I152" s="27">
        <v>25.894919058347313</v>
      </c>
      <c r="J152" s="20">
        <f>VLOOKUP($B$3:$B$210,Costdrivere!$B$3:$I$211,8,FALSE)</f>
        <v>2.01E-2</v>
      </c>
      <c r="K152" s="74">
        <f t="shared" si="47"/>
        <v>1418326.6107973894</v>
      </c>
      <c r="L152" s="89">
        <f t="shared" si="59"/>
        <v>1476631.9513366714</v>
      </c>
      <c r="M152" s="167">
        <f t="shared" si="48"/>
        <v>1394547.5141714045</v>
      </c>
      <c r="N152" s="74">
        <f>K152+VLOOKUP($B$3:$B$210,'Potentialer og krav'!$B$2:$F$209,5,FALSE)</f>
        <v>1418326.6107973894</v>
      </c>
      <c r="O152" s="160">
        <f t="shared" si="49"/>
        <v>1476631.9513366714</v>
      </c>
      <c r="P152" s="163">
        <f t="shared" si="50"/>
        <v>1394547.5141714045</v>
      </c>
      <c r="Q152" s="104">
        <f>N152+(0.25*VLOOKUP($B$3:$B$210,'Potentialer og krav'!$B$2:$C$209,2,FALSE))</f>
        <v>1803361.8607973894</v>
      </c>
      <c r="R152" s="53">
        <f>O152+(0.25*VLOOKUP($B$3:$B$210,'Potentialer og krav'!$B$2:$C$209,2,FALSE))</f>
        <v>1861667.2013366714</v>
      </c>
      <c r="S152" s="104">
        <f>P152+(0.25*VLOOKUP($B$3:$B$210,'Potentialer og krav'!$B$2:$C$209,2,FALSE))</f>
        <v>1779582.7641714045</v>
      </c>
      <c r="T152" s="84">
        <v>1358135</v>
      </c>
      <c r="U152" s="92">
        <f t="shared" si="51"/>
        <v>1378507.0249999999</v>
      </c>
      <c r="W152" s="70">
        <f t="shared" si="52"/>
        <v>0.11811289763731329</v>
      </c>
      <c r="X152" s="73">
        <f t="shared" si="53"/>
        <v>0.27039959772339478</v>
      </c>
      <c r="Y152" s="62">
        <f t="shared" si="54"/>
        <v>7.9627639459225658E-2</v>
      </c>
      <c r="Z152" s="73">
        <f t="shared" si="55"/>
        <v>0.22826900203048486</v>
      </c>
      <c r="AA152" s="62">
        <f t="shared" si="56"/>
        <v>0.13375804878492886</v>
      </c>
      <c r="AB152" s="64">
        <f t="shared" si="57"/>
        <v>0.16983281436465267</v>
      </c>
      <c r="AC152" s="62"/>
      <c r="AD152" s="145">
        <f t="shared" si="58"/>
        <v>0.3035908631495815</v>
      </c>
      <c r="AF152" s="57">
        <f>W$212-W152</f>
        <v>5.605079556045417E-4</v>
      </c>
      <c r="AG152" s="60">
        <f>X$212-X152</f>
        <v>1.9398399399673361E-2</v>
      </c>
      <c r="AH152" s="83">
        <f>Y$212-Y152</f>
        <v>-3.0433125522887558E-2</v>
      </c>
      <c r="AI152" s="60">
        <f>Z$212-Z152</f>
        <v>3.0702007697959721E-3</v>
      </c>
      <c r="AJ152" s="83">
        <f>AA$212-AA152</f>
        <v>1.488686458123456E-2</v>
      </c>
      <c r="AK152" s="76">
        <f>AB$212-AB152</f>
        <v>-7.4828471834212096E-3</v>
      </c>
      <c r="AM152" s="57">
        <f>$AD$212-AD152</f>
        <v>7.4040173978134893E-3</v>
      </c>
      <c r="AN152" s="106">
        <f>IF(AM152&lt;$AD$215,(AM152-$AD$215)*0.5683,0)</f>
        <v>0</v>
      </c>
    </row>
    <row r="153" spans="1:40" x14ac:dyDescent="0.25">
      <c r="A153" s="17" t="s">
        <v>69</v>
      </c>
      <c r="B153" s="90" t="s">
        <v>384</v>
      </c>
      <c r="C153" s="88">
        <f>VLOOKUP($B$3:$B$210,Costdrivere!$B$3:$H$211,2,FALSE)</f>
        <v>219178.77030065961</v>
      </c>
      <c r="D153" s="46">
        <f>VLOOKUP($B$3:$B$210,Costdrivere!$B$3:$H$211,3,FALSE)</f>
        <v>553367.071</v>
      </c>
      <c r="E153" s="23">
        <f>VLOOKUP($B$3:$B$210,Costdrivere!$B$3:$H$211,4,FALSE)</f>
        <v>70906</v>
      </c>
      <c r="F153" s="46">
        <f>VLOOKUP($B$3:$B$210,Costdrivere!$B$3:$H$211,5,FALSE)</f>
        <v>445934.88299999997</v>
      </c>
      <c r="G153" s="23">
        <f>VLOOKUP($B$3:$B$210,Costdrivere!$B$3:$H$211,6,FALSE)</f>
        <v>394906.4</v>
      </c>
      <c r="H153" s="93">
        <f>VLOOKUP($B$3:$B$210,Costdrivere!$B$3:$H$211,7,FALSE)</f>
        <v>435618.4</v>
      </c>
      <c r="I153" s="27">
        <v>17.59</v>
      </c>
      <c r="J153" s="20">
        <f>VLOOKUP($B$3:$B$210,Costdrivere!$B$3:$I$211,8,FALSE)</f>
        <v>2.6391019067239018E-2</v>
      </c>
      <c r="K153" s="74">
        <f t="shared" si="47"/>
        <v>2119911.5243006595</v>
      </c>
      <c r="L153" s="89">
        <f t="shared" si="59"/>
        <v>1890155.5132969539</v>
      </c>
      <c r="M153" s="167">
        <f t="shared" si="48"/>
        <v>2264998.1889901096</v>
      </c>
      <c r="N153" s="74">
        <f>K153+VLOOKUP($B$3:$B$210,'Potentialer og krav'!$B$2:$F$209,5,FALSE)</f>
        <v>2119911.5243006595</v>
      </c>
      <c r="O153" s="160">
        <f t="shared" si="49"/>
        <v>1890155.5132969539</v>
      </c>
      <c r="P153" s="163">
        <f t="shared" si="50"/>
        <v>2264998.1889901096</v>
      </c>
      <c r="Q153" s="104">
        <f>N153+(0.25*VLOOKUP($B$3:$B$210,'Potentialer og krav'!$B$2:$C$209,2,FALSE))</f>
        <v>2415662.2743006595</v>
      </c>
      <c r="R153" s="53">
        <f>O153+(0.25*VLOOKUP($B$3:$B$210,'Potentialer og krav'!$B$2:$C$209,2,FALSE))</f>
        <v>2185906.2632969539</v>
      </c>
      <c r="S153" s="104">
        <f>P153+(0.25*VLOOKUP($B$3:$B$210,'Potentialer og krav'!$B$2:$C$209,2,FALSE))</f>
        <v>2560748.9389901096</v>
      </c>
      <c r="T153" s="84">
        <v>0</v>
      </c>
      <c r="U153" s="92">
        <f t="shared" si="51"/>
        <v>0</v>
      </c>
      <c r="W153" s="70">
        <f t="shared" si="52"/>
        <v>0.10339052728767291</v>
      </c>
      <c r="X153" s="73">
        <f t="shared" si="53"/>
        <v>0.26103309721029561</v>
      </c>
      <c r="Y153" s="62">
        <f t="shared" si="54"/>
        <v>3.3447622312158178E-2</v>
      </c>
      <c r="Z153" s="73">
        <f t="shared" si="55"/>
        <v>0.21035542185993353</v>
      </c>
      <c r="AA153" s="62">
        <f t="shared" si="56"/>
        <v>0.18628437813237333</v>
      </c>
      <c r="AB153" s="64">
        <f t="shared" si="57"/>
        <v>0.20548895319756647</v>
      </c>
      <c r="AC153" s="62"/>
      <c r="AD153" s="145">
        <f t="shared" si="58"/>
        <v>0.3917733313299398</v>
      </c>
      <c r="AF153" s="57">
        <f>W$212-W153</f>
        <v>1.5282878305244926E-2</v>
      </c>
      <c r="AG153" s="60">
        <f>X$212-X153</f>
        <v>2.8764899912772535E-2</v>
      </c>
      <c r="AH153" s="83">
        <f>Y$212-Y153</f>
        <v>1.5746891624179922E-2</v>
      </c>
      <c r="AI153" s="60">
        <f>Z$212-Z153</f>
        <v>2.0983780940347307E-2</v>
      </c>
      <c r="AJ153" s="83">
        <f>AA$212-AA153</f>
        <v>-3.7639464766209912E-2</v>
      </c>
      <c r="AK153" s="76">
        <f>AB$212-AB153</f>
        <v>-4.3138986016335007E-2</v>
      </c>
      <c r="AM153" s="57">
        <f>$AD$212-AD153</f>
        <v>-8.0778450782544808E-2</v>
      </c>
      <c r="AN153" s="106">
        <f>IF(AM153&lt;$AD$215,(AM153-$AD$215)*0.5683,0)</f>
        <v>0</v>
      </c>
    </row>
    <row r="154" spans="1:40" x14ac:dyDescent="0.25">
      <c r="A154" s="17" t="s">
        <v>52</v>
      </c>
      <c r="B154" s="90" t="s">
        <v>385</v>
      </c>
      <c r="C154" s="88">
        <f>VLOOKUP($B$3:$B$210,Costdrivere!$B$3:$H$211,2,FALSE)</f>
        <v>624814.35866344732</v>
      </c>
      <c r="D154" s="46">
        <f>VLOOKUP($B$3:$B$210,Costdrivere!$B$3:$H$211,3,FALSE)</f>
        <v>1762575.44</v>
      </c>
      <c r="E154" s="23">
        <f>VLOOKUP($B$3:$B$210,Costdrivere!$B$3:$H$211,4,FALSE)</f>
        <v>148391</v>
      </c>
      <c r="F154" s="46">
        <f>VLOOKUP($B$3:$B$210,Costdrivere!$B$3:$H$211,5,FALSE)</f>
        <v>744648</v>
      </c>
      <c r="G154" s="23">
        <f>VLOOKUP($B$3:$B$210,Costdrivere!$B$3:$H$211,6,FALSE)</f>
        <v>880934.60000000009</v>
      </c>
      <c r="H154" s="93">
        <f>VLOOKUP($B$3:$B$210,Costdrivere!$B$3:$H$211,7,FALSE)</f>
        <v>1028377.0000000001</v>
      </c>
      <c r="I154" s="27">
        <v>31.507347101854684</v>
      </c>
      <c r="J154" s="20">
        <f>VLOOKUP($B$3:$B$210,Costdrivere!$B$3:$I$211,8,FALSE)</f>
        <v>3.7309782608695649E-2</v>
      </c>
      <c r="K154" s="74">
        <f t="shared" si="47"/>
        <v>5189740.3986634472</v>
      </c>
      <c r="L154" s="89">
        <f t="shared" si="59"/>
        <v>5927369.8671972062</v>
      </c>
      <c r="M154" s="167">
        <f t="shared" si="48"/>
        <v>6312404.2211777102</v>
      </c>
      <c r="N154" s="74">
        <f>K154+VLOOKUP($B$3:$B$210,'Potentialer og krav'!$B$2:$F$209,5,FALSE)</f>
        <v>5189740.3986634472</v>
      </c>
      <c r="O154" s="160">
        <f t="shared" si="49"/>
        <v>5927369.8671972062</v>
      </c>
      <c r="P154" s="163">
        <f t="shared" si="50"/>
        <v>6312404.2211777102</v>
      </c>
      <c r="Q154" s="104">
        <f>N154+(0.25*VLOOKUP($B$3:$B$210,'Potentialer og krav'!$B$2:$C$209,2,FALSE))</f>
        <v>6974511.8986634472</v>
      </c>
      <c r="R154" s="53">
        <f>O154+(0.25*VLOOKUP($B$3:$B$210,'Potentialer og krav'!$B$2:$C$209,2,FALSE))</f>
        <v>7712141.3671972062</v>
      </c>
      <c r="S154" s="104">
        <f>P154+(0.25*VLOOKUP($B$3:$B$210,'Potentialer og krav'!$B$2:$C$209,2,FALSE))</f>
        <v>8097175.7211777102</v>
      </c>
      <c r="T154" s="84">
        <v>6436913</v>
      </c>
      <c r="U154" s="92">
        <f t="shared" si="51"/>
        <v>6533466.6949999994</v>
      </c>
      <c r="W154" s="70">
        <f t="shared" si="52"/>
        <v>0.12039414511453414</v>
      </c>
      <c r="X154" s="73">
        <f t="shared" si="53"/>
        <v>0.33962689934431578</v>
      </c>
      <c r="Y154" s="62">
        <f t="shared" si="54"/>
        <v>2.8593145051767185E-2</v>
      </c>
      <c r="Z154" s="73">
        <f t="shared" si="55"/>
        <v>0.14348463368067019</v>
      </c>
      <c r="AA154" s="62">
        <f t="shared" si="56"/>
        <v>0.16974540773308697</v>
      </c>
      <c r="AB154" s="64">
        <f t="shared" si="57"/>
        <v>0.19815576907562577</v>
      </c>
      <c r="AC154" s="62"/>
      <c r="AD154" s="145">
        <f t="shared" si="58"/>
        <v>0.3679011768087127</v>
      </c>
      <c r="AF154" s="57">
        <f>W$212-W154</f>
        <v>-1.7207395216163046E-3</v>
      </c>
      <c r="AG154" s="60">
        <f>X$212-X154</f>
        <v>-4.982890222124764E-2</v>
      </c>
      <c r="AH154" s="83">
        <f>Y$212-Y154</f>
        <v>2.0601368884570915E-2</v>
      </c>
      <c r="AI154" s="60">
        <f>Z$212-Z154</f>
        <v>8.7854569119610648E-2</v>
      </c>
      <c r="AJ154" s="83">
        <f>AA$212-AA154</f>
        <v>-2.1100494366923545E-2</v>
      </c>
      <c r="AK154" s="76">
        <f>AB$212-AB154</f>
        <v>-3.5805801894394307E-2</v>
      </c>
      <c r="AM154" s="57">
        <f>$AD$212-AD154</f>
        <v>-5.6906296261317713E-2</v>
      </c>
      <c r="AN154" s="106">
        <f>IF(AM154&lt;$AD$215,(AM154-$AD$215)*0.5683,0)</f>
        <v>0</v>
      </c>
    </row>
    <row r="155" spans="1:40" x14ac:dyDescent="0.25">
      <c r="A155" s="17" t="s">
        <v>386</v>
      </c>
      <c r="B155" s="90" t="s">
        <v>387</v>
      </c>
      <c r="C155" s="88">
        <f>VLOOKUP($B$3:$B$210,Costdrivere!$B$3:$H$211,2,FALSE)</f>
        <v>126829.52410373049</v>
      </c>
      <c r="D155" s="46">
        <f>VLOOKUP($B$3:$B$210,Costdrivere!$B$3:$H$211,3,FALSE)</f>
        <v>301945.53499999997</v>
      </c>
      <c r="E155" s="23">
        <f>VLOOKUP($B$3:$B$210,Costdrivere!$B$3:$H$211,4,FALSE)</f>
        <v>106359</v>
      </c>
      <c r="F155" s="46">
        <f>VLOOKUP($B$3:$B$210,Costdrivere!$B$3:$H$211,5,FALSE)</f>
        <v>331854</v>
      </c>
      <c r="G155" s="23">
        <f>VLOOKUP($B$3:$B$210,Costdrivere!$B$3:$H$211,6,FALSE)</f>
        <v>119504.00000000001</v>
      </c>
      <c r="H155" s="93">
        <f>VLOOKUP($B$3:$B$210,Costdrivere!$B$3:$H$211,7,FALSE)</f>
        <v>134820</v>
      </c>
      <c r="I155" s="27">
        <v>25.862307402700019</v>
      </c>
      <c r="J155" s="20">
        <f>VLOOKUP($B$3:$B$210,Costdrivere!$B$3:$I$211,8,FALSE)</f>
        <v>1.097560975609756E-2</v>
      </c>
      <c r="K155" s="74">
        <f t="shared" si="47"/>
        <v>1121312.0591037306</v>
      </c>
      <c r="L155" s="89">
        <f t="shared" si="59"/>
        <v>1166749.3429887588</v>
      </c>
      <c r="M155" s="167">
        <f t="shared" si="48"/>
        <v>963940.01396971371</v>
      </c>
      <c r="N155" s="74">
        <f>K155+VLOOKUP($B$3:$B$210,'Potentialer og krav'!$B$2:$F$209,5,FALSE)</f>
        <v>1121312.0591037306</v>
      </c>
      <c r="O155" s="160">
        <f t="shared" si="49"/>
        <v>1166749.3429887588</v>
      </c>
      <c r="P155" s="163">
        <f t="shared" si="50"/>
        <v>963940.01396971371</v>
      </c>
      <c r="Q155" s="104">
        <f>N155+(0.25*VLOOKUP($B$3:$B$210,'Potentialer og krav'!$B$2:$C$209,2,FALSE))</f>
        <v>1308568.3091037306</v>
      </c>
      <c r="R155" s="53">
        <f>O155+(0.25*VLOOKUP($B$3:$B$210,'Potentialer og krav'!$B$2:$C$209,2,FALSE))</f>
        <v>1354005.5929887588</v>
      </c>
      <c r="S155" s="104">
        <f>P155+(0.25*VLOOKUP($B$3:$B$210,'Potentialer og krav'!$B$2:$C$209,2,FALSE))</f>
        <v>1151196.2639697138</v>
      </c>
      <c r="T155" s="84">
        <v>521006</v>
      </c>
      <c r="U155" s="92">
        <f t="shared" si="51"/>
        <v>528821.09</v>
      </c>
      <c r="W155" s="70">
        <f t="shared" si="52"/>
        <v>0.1131081424426184</v>
      </c>
      <c r="X155" s="73">
        <f t="shared" si="53"/>
        <v>0.26927877262048383</v>
      </c>
      <c r="Y155" s="62">
        <f t="shared" si="54"/>
        <v>9.4852275186457183E-2</v>
      </c>
      <c r="Z155" s="73">
        <f t="shared" si="55"/>
        <v>0.29595151261037206</v>
      </c>
      <c r="AA155" s="62">
        <f t="shared" si="56"/>
        <v>0.10657514920112432</v>
      </c>
      <c r="AB155" s="64">
        <f t="shared" si="57"/>
        <v>0.12023414793894412</v>
      </c>
      <c r="AC155" s="62"/>
      <c r="AD155" s="145">
        <f t="shared" si="58"/>
        <v>0.22680929714006842</v>
      </c>
      <c r="AF155" s="57">
        <f>W$212-W155</f>
        <v>5.5652631502994404E-3</v>
      </c>
      <c r="AG155" s="60">
        <f>X$212-X155</f>
        <v>2.051922450258431E-2</v>
      </c>
      <c r="AH155" s="83">
        <f>Y$212-Y155</f>
        <v>-4.5657761250119083E-2</v>
      </c>
      <c r="AI155" s="60">
        <f>Z$212-Z155</f>
        <v>-6.4612309810091223E-2</v>
      </c>
      <c r="AJ155" s="83">
        <f>AA$212-AA155</f>
        <v>4.2069764165039103E-2</v>
      </c>
      <c r="AK155" s="76">
        <f>AB$212-AB155</f>
        <v>4.2115819242287342E-2</v>
      </c>
      <c r="AM155" s="57">
        <f>$AD$212-AD155</f>
        <v>8.418558340732657E-2</v>
      </c>
      <c r="AN155" s="106">
        <f>IF(AM155&lt;$AD$215,(AM155-$AD$215)*0.5683,0)</f>
        <v>0</v>
      </c>
    </row>
    <row r="156" spans="1:40" x14ac:dyDescent="0.25">
      <c r="A156" s="17" t="s">
        <v>70</v>
      </c>
      <c r="B156" s="90" t="s">
        <v>388</v>
      </c>
      <c r="C156" s="88">
        <f>VLOOKUP($B$3:$B$210,Costdrivere!$B$3:$H$211,2,FALSE)</f>
        <v>1432891.3023343717</v>
      </c>
      <c r="D156" s="46">
        <f>VLOOKUP($B$3:$B$210,Costdrivere!$B$3:$H$211,3,FALSE)</f>
        <v>4521431.9759999998</v>
      </c>
      <c r="E156" s="23">
        <f>VLOOKUP($B$3:$B$210,Costdrivere!$B$3:$H$211,4,FALSE)</f>
        <v>828131</v>
      </c>
      <c r="F156" s="46">
        <f>VLOOKUP($B$3:$B$210,Costdrivere!$B$3:$H$211,5,FALSE)</f>
        <v>4719300</v>
      </c>
      <c r="G156" s="23">
        <f>VLOOKUP($B$3:$B$210,Costdrivere!$B$3:$H$211,6,FALSE)</f>
        <v>2290638.4000000004</v>
      </c>
      <c r="H156" s="93">
        <f>VLOOKUP($B$3:$B$210,Costdrivere!$B$3:$H$211,7,FALSE)</f>
        <v>2183035.4000000004</v>
      </c>
      <c r="I156" s="27">
        <v>25.39749604737629</v>
      </c>
      <c r="J156" s="20">
        <f>VLOOKUP($B$3:$B$210,Costdrivere!$B$3:$I$211,8,FALSE)</f>
        <v>2.8972166998011927E-2</v>
      </c>
      <c r="K156" s="74">
        <f t="shared" si="47"/>
        <v>15975428.078334372</v>
      </c>
      <c r="L156" s="89">
        <f t="shared" si="59"/>
        <v>16489116.83158581</v>
      </c>
      <c r="M156" s="167">
        <f t="shared" si="48"/>
        <v>17627271.842610486</v>
      </c>
      <c r="N156" s="74">
        <f>K156+VLOOKUP($B$3:$B$210,'Potentialer og krav'!$B$2:$F$209,5,FALSE)</f>
        <v>15975428.078334372</v>
      </c>
      <c r="O156" s="160">
        <f t="shared" si="49"/>
        <v>16489116.83158581</v>
      </c>
      <c r="P156" s="163">
        <f t="shared" si="50"/>
        <v>17627271.842610486</v>
      </c>
      <c r="Q156" s="104">
        <f>N156+(0.25*VLOOKUP($B$3:$B$210,'Potentialer og krav'!$B$2:$C$209,2,FALSE))</f>
        <v>19710902.328334372</v>
      </c>
      <c r="R156" s="53">
        <f>O156+(0.25*VLOOKUP($B$3:$B$210,'Potentialer og krav'!$B$2:$C$209,2,FALSE))</f>
        <v>20224591.08158581</v>
      </c>
      <c r="S156" s="104">
        <f>P156+(0.25*VLOOKUP($B$3:$B$210,'Potentialer og krav'!$B$2:$C$209,2,FALSE))</f>
        <v>21362746.092610486</v>
      </c>
      <c r="T156" s="84">
        <v>10698000</v>
      </c>
      <c r="U156" s="92">
        <f t="shared" si="51"/>
        <v>10858469.999999998</v>
      </c>
      <c r="W156" s="70">
        <f t="shared" si="52"/>
        <v>8.9693452676716481E-2</v>
      </c>
      <c r="X156" s="73">
        <f t="shared" si="53"/>
        <v>0.28302415145493948</v>
      </c>
      <c r="Y156" s="62">
        <f t="shared" si="54"/>
        <v>5.1837797143170043E-2</v>
      </c>
      <c r="Z156" s="73">
        <f t="shared" si="55"/>
        <v>0.2954099243450159</v>
      </c>
      <c r="AA156" s="62">
        <f t="shared" si="56"/>
        <v>0.14338510296988716</v>
      </c>
      <c r="AB156" s="64">
        <f t="shared" si="57"/>
        <v>0.13664957141027095</v>
      </c>
      <c r="AC156" s="62"/>
      <c r="AD156" s="145">
        <f t="shared" si="58"/>
        <v>0.28003467438015811</v>
      </c>
      <c r="AF156" s="57">
        <f>W$212-W156</f>
        <v>2.8979952916201354E-2</v>
      </c>
      <c r="AG156" s="60">
        <f>X$212-X156</f>
        <v>6.7738456681286641E-3</v>
      </c>
      <c r="AH156" s="83">
        <f>Y$212-Y156</f>
        <v>-2.6432832068319437E-3</v>
      </c>
      <c r="AI156" s="60">
        <f>Z$212-Z156</f>
        <v>-6.407072154473506E-2</v>
      </c>
      <c r="AJ156" s="83">
        <f>AA$212-AA156</f>
        <v>5.2598103962762655E-3</v>
      </c>
      <c r="AK156" s="76">
        <f>AB$212-AB156</f>
        <v>2.5700395770960505E-2</v>
      </c>
      <c r="AM156" s="57">
        <f>$AD$212-AD156</f>
        <v>3.0960206167236881E-2</v>
      </c>
      <c r="AN156" s="106">
        <f>IF(AM156&lt;$AD$215,(AM156-$AD$215)*0.5683,0)</f>
        <v>0</v>
      </c>
    </row>
    <row r="157" spans="1:40" x14ac:dyDescent="0.25">
      <c r="A157" s="17" t="s">
        <v>389</v>
      </c>
      <c r="B157" s="90" t="s">
        <v>390</v>
      </c>
      <c r="C157" s="88">
        <f>VLOOKUP($B$3:$B$210,Costdrivere!$B$3:$H$211,2,FALSE)</f>
        <v>243113.28033079329</v>
      </c>
      <c r="D157" s="46">
        <f>VLOOKUP($B$3:$B$210,Costdrivere!$B$3:$H$211,3,FALSE)</f>
        <v>587799.78200000001</v>
      </c>
      <c r="E157" s="23">
        <f>VLOOKUP($B$3:$B$210,Costdrivere!$B$3:$H$211,4,FALSE)</f>
        <v>212718</v>
      </c>
      <c r="F157" s="46">
        <f>VLOOKUP($B$3:$B$210,Costdrivere!$B$3:$H$211,5,FALSE)</f>
        <v>474389.33999999997</v>
      </c>
      <c r="G157" s="23">
        <f>VLOOKUP($B$3:$B$210,Costdrivere!$B$3:$H$211,6,FALSE)</f>
        <v>285994.80000000005</v>
      </c>
      <c r="H157" s="93">
        <f>VLOOKUP($B$3:$B$210,Costdrivere!$B$3:$H$211,7,FALSE)</f>
        <v>342143.2</v>
      </c>
      <c r="I157" s="27">
        <v>33.818809929945218</v>
      </c>
      <c r="J157" s="20">
        <f>VLOOKUP($B$3:$B$210,Costdrivere!$B$3:$I$211,8,FALSE)</f>
        <v>1.948472956833305E-2</v>
      </c>
      <c r="K157" s="74">
        <f t="shared" si="47"/>
        <v>2146158.4023307934</v>
      </c>
      <c r="L157" s="89">
        <f t="shared" si="59"/>
        <v>2540490.4969238457</v>
      </c>
      <c r="M157" s="167">
        <f t="shared" si="48"/>
        <v>2092292.3530477104</v>
      </c>
      <c r="N157" s="74">
        <f>K157+VLOOKUP($B$3:$B$210,'Potentialer og krav'!$B$2:$F$209,5,FALSE)</f>
        <v>2146158.4023307934</v>
      </c>
      <c r="O157" s="160">
        <f t="shared" si="49"/>
        <v>2540490.4969238457</v>
      </c>
      <c r="P157" s="163">
        <f t="shared" si="50"/>
        <v>2092292.3530477104</v>
      </c>
      <c r="Q157" s="104">
        <f>N157+(0.25*VLOOKUP($B$3:$B$210,'Potentialer og krav'!$B$2:$C$209,2,FALSE))</f>
        <v>2620646.9023307934</v>
      </c>
      <c r="R157" s="53">
        <f>O157+(0.25*VLOOKUP($B$3:$B$210,'Potentialer og krav'!$B$2:$C$209,2,FALSE))</f>
        <v>3014978.9969238457</v>
      </c>
      <c r="S157" s="104">
        <f>P157+(0.25*VLOOKUP($B$3:$B$210,'Potentialer og krav'!$B$2:$C$209,2,FALSE))</f>
        <v>2566780.8530477104</v>
      </c>
      <c r="T157" s="84">
        <v>2006797</v>
      </c>
      <c r="U157" s="92">
        <f t="shared" si="51"/>
        <v>2036898.9549999998</v>
      </c>
      <c r="W157" s="70">
        <f t="shared" si="52"/>
        <v>0.11327834891719309</v>
      </c>
      <c r="X157" s="73">
        <f t="shared" si="53"/>
        <v>0.27388462163912575</v>
      </c>
      <c r="Y157" s="62">
        <f t="shared" si="54"/>
        <v>9.9115703560828397E-2</v>
      </c>
      <c r="Z157" s="73">
        <f t="shared" si="55"/>
        <v>0.2210411586976985</v>
      </c>
      <c r="AA157" s="62">
        <f t="shared" si="56"/>
        <v>0.13325894290440118</v>
      </c>
      <c r="AB157" s="64">
        <f t="shared" si="57"/>
        <v>0.15942122428075303</v>
      </c>
      <c r="AC157" s="62"/>
      <c r="AD157" s="145">
        <f t="shared" si="58"/>
        <v>0.29268016718515422</v>
      </c>
      <c r="AF157" s="57">
        <f>W$212-W157</f>
        <v>5.3950566757247492E-3</v>
      </c>
      <c r="AG157" s="60">
        <f>X$212-X157</f>
        <v>1.5913375483942394E-2</v>
      </c>
      <c r="AH157" s="83">
        <f>Y$212-Y157</f>
        <v>-4.9921189624490298E-2</v>
      </c>
      <c r="AI157" s="60">
        <f>Z$212-Z157</f>
        <v>1.0298044102582338E-2</v>
      </c>
      <c r="AJ157" s="83">
        <f>AA$212-AA157</f>
        <v>1.5385970461762238E-2</v>
      </c>
      <c r="AK157" s="76">
        <f>AB$212-AB157</f>
        <v>2.928742900478426E-3</v>
      </c>
      <c r="AM157" s="57">
        <f>$AD$212-AD157</f>
        <v>1.8314713362240775E-2</v>
      </c>
      <c r="AN157" s="106">
        <f>IF(AM157&lt;$AD$215,(AM157-$AD$215)*0.5683,0)</f>
        <v>0</v>
      </c>
    </row>
    <row r="158" spans="1:40" x14ac:dyDescent="0.25">
      <c r="A158" s="17" t="s">
        <v>54</v>
      </c>
      <c r="B158" s="90" t="s">
        <v>391</v>
      </c>
      <c r="C158" s="88">
        <f>VLOOKUP($B$3:$B$210,Costdrivere!$B$3:$H$211,2,FALSE)</f>
        <v>4199057.2416062346</v>
      </c>
      <c r="D158" s="46">
        <f>VLOOKUP($B$3:$B$210,Costdrivere!$B$3:$H$211,3,FALSE)</f>
        <v>12753539.359999999</v>
      </c>
      <c r="E158" s="23">
        <f>VLOOKUP($B$3:$B$210,Costdrivere!$B$3:$H$211,4,FALSE)</f>
        <v>0</v>
      </c>
      <c r="F158" s="46">
        <f>VLOOKUP($B$3:$B$210,Costdrivere!$B$3:$H$211,5,FALSE)</f>
        <v>125457</v>
      </c>
      <c r="G158" s="23">
        <f>VLOOKUP($B$3:$B$210,Costdrivere!$B$3:$H$211,6,FALSE)</f>
        <v>6812.8</v>
      </c>
      <c r="H158" s="93">
        <f>VLOOKUP($B$3:$B$210,Costdrivere!$B$3:$H$211,7,FALSE)</f>
        <v>1348.2</v>
      </c>
      <c r="I158" s="27">
        <v>47.717744249553945</v>
      </c>
      <c r="J158" s="20">
        <f>VLOOKUP($B$3:$B$210,Costdrivere!$B$3:$I$211,8,FALSE)</f>
        <v>2.9032258064516127E-4</v>
      </c>
      <c r="K158" s="74">
        <f t="shared" si="47"/>
        <v>17086214.601606235</v>
      </c>
      <c r="L158" s="89">
        <f t="shared" si="59"/>
        <v>24500254.529867511</v>
      </c>
      <c r="M158" s="167">
        <f t="shared" si="48"/>
        <v>12215483.782228399</v>
      </c>
      <c r="N158" s="74">
        <f>K158+VLOOKUP($B$3:$B$210,'Potentialer og krav'!$B$2:$F$209,5,FALSE)</f>
        <v>17086214.601606235</v>
      </c>
      <c r="O158" s="160">
        <f t="shared" si="49"/>
        <v>24500254.529867511</v>
      </c>
      <c r="P158" s="163">
        <f t="shared" si="50"/>
        <v>12215483.782228399</v>
      </c>
      <c r="Q158" s="104">
        <f>N158+(0.25*VLOOKUP($B$3:$B$210,'Potentialer og krav'!$B$2:$C$209,2,FALSE))</f>
        <v>21232826.851606235</v>
      </c>
      <c r="R158" s="53">
        <f>O158+(0.25*VLOOKUP($B$3:$B$210,'Potentialer og krav'!$B$2:$C$209,2,FALSE))</f>
        <v>28646866.779867511</v>
      </c>
      <c r="S158" s="104">
        <f>P158+(0.25*VLOOKUP($B$3:$B$210,'Potentialer og krav'!$B$2:$C$209,2,FALSE))</f>
        <v>16362096.032228399</v>
      </c>
      <c r="T158" s="84">
        <v>14018962</v>
      </c>
      <c r="U158" s="92">
        <f t="shared" si="51"/>
        <v>14229246.429999998</v>
      </c>
      <c r="W158" s="70">
        <f t="shared" si="52"/>
        <v>0.2457570233965978</v>
      </c>
      <c r="X158" s="73">
        <f t="shared" si="53"/>
        <v>0.74642275409563619</v>
      </c>
      <c r="Y158" s="62">
        <f t="shared" si="54"/>
        <v>0</v>
      </c>
      <c r="Z158" s="73">
        <f t="shared" si="55"/>
        <v>7.3425859925817672E-3</v>
      </c>
      <c r="AA158" s="62">
        <f t="shared" si="56"/>
        <v>3.9873079900094107E-4</v>
      </c>
      <c r="AB158" s="64">
        <f t="shared" si="57"/>
        <v>7.8905716183224044E-5</v>
      </c>
      <c r="AC158" s="62"/>
      <c r="AD158" s="145">
        <f t="shared" si="58"/>
        <v>4.7763651518416511E-4</v>
      </c>
      <c r="AF158" s="57">
        <f>W$212-W158</f>
        <v>-0.12708361780367997</v>
      </c>
      <c r="AG158" s="60">
        <f>X$212-X158</f>
        <v>-0.45662475697256805</v>
      </c>
      <c r="AH158" s="83">
        <f>Y$212-Y158</f>
        <v>4.91945139363381E-2</v>
      </c>
      <c r="AI158" s="60">
        <f>Z$212-Z158</f>
        <v>0.22399661680769906</v>
      </c>
      <c r="AJ158" s="83">
        <f>AA$212-AA158</f>
        <v>0.14824618256716249</v>
      </c>
      <c r="AK158" s="76">
        <f>AB$212-AB158</f>
        <v>0.16227106146504824</v>
      </c>
      <c r="AM158" s="57">
        <f>$AD$212-AD158</f>
        <v>0.31051724403221082</v>
      </c>
      <c r="AN158" s="106">
        <f>IF(AM158&lt;$AD$215,(AM158-$AD$215)*0.5683,0)</f>
        <v>0</v>
      </c>
    </row>
    <row r="159" spans="1:40" x14ac:dyDescent="0.25">
      <c r="A159" s="17" t="s">
        <v>74</v>
      </c>
      <c r="B159" s="90" t="s">
        <v>392</v>
      </c>
      <c r="C159" s="88">
        <f>VLOOKUP($B$3:$B$210,Costdrivere!$B$3:$H$211,2,FALSE)</f>
        <v>2249875.2412378751</v>
      </c>
      <c r="D159" s="46">
        <f>VLOOKUP($B$3:$B$210,Costdrivere!$B$3:$H$211,3,FALSE)</f>
        <v>6611174.0659999996</v>
      </c>
      <c r="E159" s="23">
        <f>VLOOKUP($B$3:$B$210,Costdrivere!$B$3:$H$211,4,FALSE)</f>
        <v>1098904</v>
      </c>
      <c r="F159" s="46">
        <f>VLOOKUP($B$3:$B$210,Costdrivere!$B$3:$H$211,5,FALSE)</f>
        <v>5638352</v>
      </c>
      <c r="G159" s="23">
        <f>VLOOKUP($B$3:$B$210,Costdrivere!$B$3:$H$211,6,FALSE)</f>
        <v>3160485.2</v>
      </c>
      <c r="H159" s="93">
        <f>VLOOKUP($B$3:$B$210,Costdrivere!$B$3:$H$211,7,FALSE)</f>
        <v>3066406</v>
      </c>
      <c r="I159" s="27">
        <v>27.309361243363266</v>
      </c>
      <c r="J159" s="20">
        <f>VLOOKUP($B$3:$B$210,Costdrivere!$B$3:$I$211,8,FALSE)</f>
        <v>2.8830985915492959E-2</v>
      </c>
      <c r="K159" s="74">
        <f t="shared" si="47"/>
        <v>21825196.507237874</v>
      </c>
      <c r="L159" s="89">
        <f t="shared" si="59"/>
        <v>23278067.152885664</v>
      </c>
      <c r="M159" s="167">
        <f t="shared" si="48"/>
        <v>24040167.458593722</v>
      </c>
      <c r="N159" s="74">
        <f>K159+VLOOKUP($B$3:$B$210,'Potentialer og krav'!$B$2:$F$209,5,FALSE)</f>
        <v>21825196.507237874</v>
      </c>
      <c r="O159" s="160">
        <f t="shared" si="49"/>
        <v>23278067.152885664</v>
      </c>
      <c r="P159" s="163">
        <f t="shared" si="50"/>
        <v>24040167.458593722</v>
      </c>
      <c r="Q159" s="104">
        <f>N159+(0.25*VLOOKUP($B$3:$B$210,'Potentialer og krav'!$B$2:$C$209,2,FALSE))</f>
        <v>28412579.757237874</v>
      </c>
      <c r="R159" s="53">
        <f>O159+(0.25*VLOOKUP($B$3:$B$210,'Potentialer og krav'!$B$2:$C$209,2,FALSE))</f>
        <v>29865450.402885664</v>
      </c>
      <c r="S159" s="104">
        <f>P159+(0.25*VLOOKUP($B$3:$B$210,'Potentialer og krav'!$B$2:$C$209,2,FALSE))</f>
        <v>30627550.708593722</v>
      </c>
      <c r="T159" s="84">
        <v>19939166</v>
      </c>
      <c r="U159" s="92">
        <f t="shared" si="51"/>
        <v>20238253.489999998</v>
      </c>
      <c r="W159" s="70">
        <f t="shared" si="52"/>
        <v>0.10308613901788928</v>
      </c>
      <c r="X159" s="73">
        <f t="shared" si="53"/>
        <v>0.30291475560403502</v>
      </c>
      <c r="Y159" s="62">
        <f t="shared" si="54"/>
        <v>5.0350245398045841E-2</v>
      </c>
      <c r="Z159" s="73">
        <f t="shared" si="55"/>
        <v>0.2583414082035943</v>
      </c>
      <c r="AA159" s="62">
        <f t="shared" si="56"/>
        <v>0.14480901461537315</v>
      </c>
      <c r="AB159" s="64">
        <f t="shared" si="57"/>
        <v>0.14049843716106244</v>
      </c>
      <c r="AC159" s="62"/>
      <c r="AD159" s="145">
        <f t="shared" si="58"/>
        <v>0.28530745177643557</v>
      </c>
      <c r="AF159" s="57">
        <f>W$212-W159</f>
        <v>1.5587266575028555E-2</v>
      </c>
      <c r="AG159" s="60">
        <f>X$212-X159</f>
        <v>-1.3116758480966884E-2</v>
      </c>
      <c r="AH159" s="83">
        <f>Y$212-Y159</f>
        <v>-1.1557314617077416E-3</v>
      </c>
      <c r="AI159" s="60">
        <f>Z$212-Z159</f>
        <v>-2.7002205403313467E-2</v>
      </c>
      <c r="AJ159" s="83">
        <f>AA$212-AA159</f>
        <v>3.8358987507902675E-3</v>
      </c>
      <c r="AK159" s="76">
        <f>AB$212-AB159</f>
        <v>2.1851530020169013E-2</v>
      </c>
      <c r="AM159" s="57">
        <f>$AD$212-AD159</f>
        <v>2.568742877095942E-2</v>
      </c>
      <c r="AN159" s="106">
        <f>IF(AM159&lt;$AD$215,(AM159-$AD$215)*0.5683,0)</f>
        <v>0</v>
      </c>
    </row>
    <row r="160" spans="1:40" x14ac:dyDescent="0.25">
      <c r="A160" s="17" t="s">
        <v>489</v>
      </c>
      <c r="B160" s="90" t="s">
        <v>393</v>
      </c>
      <c r="C160" s="88">
        <f>VLOOKUP($B$3:$B$210,Costdrivere!$B$3:$H$211,2,FALSE)</f>
        <v>668024.9191091503</v>
      </c>
      <c r="D160" s="46">
        <f>VLOOKUP($B$3:$B$210,Costdrivere!$B$3:$H$211,3,FALSE)</f>
        <v>1770443.1330000001</v>
      </c>
      <c r="E160" s="23">
        <f>VLOOKUP($B$3:$B$210,Costdrivere!$B$3:$H$211,4,FALSE)</f>
        <v>361109</v>
      </c>
      <c r="F160" s="46">
        <f>VLOOKUP($B$3:$B$210,Costdrivere!$B$3:$H$211,5,FALSE)</f>
        <v>2395007</v>
      </c>
      <c r="G160" s="23">
        <f>VLOOKUP($B$3:$B$210,Costdrivere!$B$3:$H$211,6,FALSE)</f>
        <v>635411.60000000009</v>
      </c>
      <c r="H160" s="93">
        <f>VLOOKUP($B$3:$B$210,Costdrivere!$B$3:$H$211,7,FALSE)</f>
        <v>912881.20000000007</v>
      </c>
      <c r="I160" s="27">
        <v>28.668027336551241</v>
      </c>
      <c r="J160" s="20">
        <f>VLOOKUP($B$3:$B$210,Costdrivere!$B$3:$I$211,8,FALSE)</f>
        <v>2.9019047619047618E-2</v>
      </c>
      <c r="K160" s="74">
        <f t="shared" si="47"/>
        <v>6742876.85210915</v>
      </c>
      <c r="L160" s="89">
        <f t="shared" si="59"/>
        <v>7356643.7925815079</v>
      </c>
      <c r="M160" s="167">
        <f t="shared" si="48"/>
        <v>7444365.1741057234</v>
      </c>
      <c r="N160" s="74">
        <f>K160+VLOOKUP($B$3:$B$210,'Potentialer og krav'!$B$2:$F$209,5,FALSE)</f>
        <v>7026607.85210915</v>
      </c>
      <c r="O160" s="160">
        <f t="shared" si="49"/>
        <v>7666201.2627375945</v>
      </c>
      <c r="P160" s="163">
        <f t="shared" si="50"/>
        <v>7757613.8395553231</v>
      </c>
      <c r="Q160" s="104">
        <f>N160+(0.25*VLOOKUP($B$3:$B$210,'Potentialer og krav'!$B$2:$C$209,2,FALSE))</f>
        <v>8477187.3521091491</v>
      </c>
      <c r="R160" s="53">
        <f>O160+(0.25*VLOOKUP($B$3:$B$210,'Potentialer og krav'!$B$2:$C$209,2,FALSE))</f>
        <v>9116780.7627375945</v>
      </c>
      <c r="S160" s="104">
        <f>P160+(0.25*VLOOKUP($B$3:$B$210,'Potentialer og krav'!$B$2:$C$209,2,FALSE))</f>
        <v>9208193.3395553231</v>
      </c>
      <c r="T160" s="84">
        <v>5139336</v>
      </c>
      <c r="U160" s="92">
        <f t="shared" si="51"/>
        <v>5216426.0399999991</v>
      </c>
      <c r="W160" s="70">
        <f t="shared" si="52"/>
        <v>9.9071202657393082E-2</v>
      </c>
      <c r="X160" s="73">
        <f t="shared" si="53"/>
        <v>0.26256495140441594</v>
      </c>
      <c r="Y160" s="62">
        <f t="shared" si="54"/>
        <v>5.3554144309642296E-2</v>
      </c>
      <c r="Z160" s="73">
        <f t="shared" si="55"/>
        <v>0.35519067788563419</v>
      </c>
      <c r="AA160" s="62">
        <f t="shared" si="56"/>
        <v>9.4234495740678603E-2</v>
      </c>
      <c r="AB160" s="64">
        <f t="shared" si="57"/>
        <v>0.13538452800223599</v>
      </c>
      <c r="AC160" s="62"/>
      <c r="AD160" s="145">
        <f t="shared" si="58"/>
        <v>0.2296190237429146</v>
      </c>
      <c r="AF160" s="57">
        <f>W$212-W160</f>
        <v>1.9602202935524754E-2</v>
      </c>
      <c r="AG160" s="60">
        <f>X$212-X160</f>
        <v>2.7233045718652205E-2</v>
      </c>
      <c r="AH160" s="83">
        <f>Y$212-Y160</f>
        <v>-4.3596303733041963E-3</v>
      </c>
      <c r="AI160" s="60">
        <f>Z$212-Z160</f>
        <v>-0.12385147508535335</v>
      </c>
      <c r="AJ160" s="83">
        <f>AA$212-AA160</f>
        <v>5.4410417625484819E-2</v>
      </c>
      <c r="AK160" s="76">
        <f>AB$212-AB160</f>
        <v>2.6965439178995465E-2</v>
      </c>
      <c r="AM160" s="57">
        <f>$AD$212-AD160</f>
        <v>8.1375856804480395E-2</v>
      </c>
      <c r="AN160" s="106">
        <f>IF(AM160&lt;$AD$215,(AM160-$AD$215)*0.5683,0)</f>
        <v>0</v>
      </c>
    </row>
    <row r="161" spans="1:40" x14ac:dyDescent="0.25">
      <c r="A161" s="17" t="s">
        <v>394</v>
      </c>
      <c r="B161" s="90" t="s">
        <v>395</v>
      </c>
      <c r="C161" s="88">
        <f>VLOOKUP($B$3:$B$210,Costdrivere!$B$3:$H$211,2,FALSE)</f>
        <v>1455477.4995048002</v>
      </c>
      <c r="D161" s="46">
        <f>VLOOKUP($B$3:$B$210,Costdrivere!$B$3:$H$211,3,FALSE)</f>
        <v>4172187.4130000002</v>
      </c>
      <c r="E161" s="23">
        <f>VLOOKUP($B$3:$B$210,Costdrivere!$B$3:$H$211,4,FALSE)</f>
        <v>354530</v>
      </c>
      <c r="F161" s="46">
        <f>VLOOKUP($B$3:$B$210,Costdrivere!$B$3:$H$211,5,FALSE)</f>
        <v>4215391</v>
      </c>
      <c r="G161" s="23">
        <f>VLOOKUP($B$3:$B$210,Costdrivere!$B$3:$H$211,6,FALSE)</f>
        <v>1696394.2000000002</v>
      </c>
      <c r="H161" s="93">
        <f>VLOOKUP($B$3:$B$210,Costdrivere!$B$3:$H$211,7,FALSE)</f>
        <v>2052859.2000000002</v>
      </c>
      <c r="I161" s="27">
        <v>30.445931831446682</v>
      </c>
      <c r="J161" s="20">
        <f>VLOOKUP($B$3:$B$210,Costdrivere!$B$3:$I$211,8,FALSE)</f>
        <v>1.9577142857142855E-2</v>
      </c>
      <c r="K161" s="74">
        <f t="shared" si="47"/>
        <v>13946839.312504798</v>
      </c>
      <c r="L161" s="89">
        <f t="shared" si="59"/>
        <v>15662673.946198169</v>
      </c>
      <c r="M161" s="167">
        <f t="shared" si="48"/>
        <v>13614246.564836532</v>
      </c>
      <c r="N161" s="74">
        <f>K161+VLOOKUP($B$3:$B$210,'Potentialer og krav'!$B$2:$F$209,5,FALSE)</f>
        <v>13946839.312504798</v>
      </c>
      <c r="O161" s="160">
        <f t="shared" si="49"/>
        <v>15662673.946198169</v>
      </c>
      <c r="P161" s="163">
        <f t="shared" si="50"/>
        <v>13614246.564836532</v>
      </c>
      <c r="Q161" s="104">
        <f>N161+(0.25*VLOOKUP($B$3:$B$210,'Potentialer og krav'!$B$2:$C$209,2,FALSE))</f>
        <v>17107220.812504798</v>
      </c>
      <c r="R161" s="53">
        <f>O161+(0.25*VLOOKUP($B$3:$B$210,'Potentialer og krav'!$B$2:$C$209,2,FALSE))</f>
        <v>18823055.446198169</v>
      </c>
      <c r="S161" s="104">
        <f>P161+(0.25*VLOOKUP($B$3:$B$210,'Potentialer og krav'!$B$2:$C$209,2,FALSE))</f>
        <v>16774628.064836532</v>
      </c>
      <c r="T161" s="84">
        <v>9059395</v>
      </c>
      <c r="U161" s="92">
        <f t="shared" si="51"/>
        <v>9195285.9249999989</v>
      </c>
      <c r="W161" s="70">
        <f t="shared" si="52"/>
        <v>0.10435894950046586</v>
      </c>
      <c r="X161" s="73">
        <f t="shared" si="53"/>
        <v>0.29914931401405037</v>
      </c>
      <c r="Y161" s="62">
        <f t="shared" si="54"/>
        <v>2.5420096414398841E-2</v>
      </c>
      <c r="Z161" s="73">
        <f t="shared" si="55"/>
        <v>0.3022470472016166</v>
      </c>
      <c r="AA161" s="62">
        <f t="shared" si="56"/>
        <v>0.12163287767135925</v>
      </c>
      <c r="AB161" s="64">
        <f t="shared" si="57"/>
        <v>0.14719171519810925</v>
      </c>
      <c r="AC161" s="62"/>
      <c r="AD161" s="145">
        <f t="shared" si="58"/>
        <v>0.26882459286946847</v>
      </c>
      <c r="AF161" s="57">
        <f>W$212-W161</f>
        <v>1.431445609245198E-2</v>
      </c>
      <c r="AG161" s="60">
        <f>X$212-X161</f>
        <v>-9.3513168909822308E-3</v>
      </c>
      <c r="AH161" s="83">
        <f>Y$212-Y161</f>
        <v>2.3774417521939258E-2</v>
      </c>
      <c r="AI161" s="60">
        <f>Z$212-Z161</f>
        <v>-7.0907844401335768E-2</v>
      </c>
      <c r="AJ161" s="83">
        <f>AA$212-AA161</f>
        <v>2.7012035694804176E-2</v>
      </c>
      <c r="AK161" s="76">
        <f>AB$212-AB161</f>
        <v>1.5158251983122206E-2</v>
      </c>
      <c r="AM161" s="57">
        <f>$AD$212-AD161</f>
        <v>4.2170287677926521E-2</v>
      </c>
      <c r="AN161" s="106">
        <f>IF(AM161&lt;$AD$215,(AM161-$AD$215)*0.5683,0)</f>
        <v>0</v>
      </c>
    </row>
    <row r="162" spans="1:40" x14ac:dyDescent="0.25">
      <c r="A162" s="17" t="s">
        <v>396</v>
      </c>
      <c r="B162" s="90" t="s">
        <v>397</v>
      </c>
      <c r="C162" s="88">
        <f>VLOOKUP($B$3:$B$210,Costdrivere!$B$3:$H$211,2,FALSE)</f>
        <v>226478.58100874932</v>
      </c>
      <c r="D162" s="46">
        <f>VLOOKUP($B$3:$B$210,Costdrivere!$B$3:$H$211,3,FALSE)</f>
        <v>567776</v>
      </c>
      <c r="E162" s="23">
        <f>VLOOKUP($B$3:$B$210,Costdrivere!$B$3:$H$211,4,FALSE)</f>
        <v>35453</v>
      </c>
      <c r="F162" s="46">
        <f>VLOOKUP($B$3:$B$210,Costdrivere!$B$3:$H$211,5,FALSE)</f>
        <v>453264</v>
      </c>
      <c r="G162" s="23">
        <f>VLOOKUP($B$3:$B$210,Costdrivere!$B$3:$H$211,6,FALSE)</f>
        <v>203564.2</v>
      </c>
      <c r="H162" s="93">
        <f>VLOOKUP($B$3:$B$210,Costdrivere!$B$3:$H$211,7,FALSE)</f>
        <v>224550.2</v>
      </c>
      <c r="I162" s="27">
        <v>26.985775159158202</v>
      </c>
      <c r="J162" s="20">
        <f>VLOOKUP($B$3:$B$210,Costdrivere!$B$3:$I$211,8,FALSE)</f>
        <v>1.3383928571428571E-2</v>
      </c>
      <c r="K162" s="74">
        <f t="shared" si="47"/>
        <v>1711085.9810087492</v>
      </c>
      <c r="L162" s="89">
        <f t="shared" si="59"/>
        <v>1815024.107186846</v>
      </c>
      <c r="M162" s="167">
        <f t="shared" si="48"/>
        <v>1526753.9882262114</v>
      </c>
      <c r="N162" s="74">
        <f>K162+VLOOKUP($B$3:$B$210,'Potentialer og krav'!$B$2:$F$209,5,FALSE)</f>
        <v>1711085.9810087492</v>
      </c>
      <c r="O162" s="160">
        <f t="shared" si="49"/>
        <v>1815024.107186846</v>
      </c>
      <c r="P162" s="163">
        <f t="shared" si="50"/>
        <v>1526753.9882262114</v>
      </c>
      <c r="Q162" s="104">
        <f>N162+(0.25*VLOOKUP($B$3:$B$210,'Potentialer og krav'!$B$2:$C$209,2,FALSE))</f>
        <v>1993386.9810087492</v>
      </c>
      <c r="R162" s="53">
        <f>O162+(0.25*VLOOKUP($B$3:$B$210,'Potentialer og krav'!$B$2:$C$209,2,FALSE))</f>
        <v>2097325.107186846</v>
      </c>
      <c r="S162" s="104">
        <f>P162+(0.25*VLOOKUP($B$3:$B$210,'Potentialer og krav'!$B$2:$C$209,2,FALSE))</f>
        <v>1809054.9882262114</v>
      </c>
      <c r="T162" s="84">
        <v>817987</v>
      </c>
      <c r="U162" s="92">
        <f t="shared" si="51"/>
        <v>830256.80499999993</v>
      </c>
      <c r="W162" s="70">
        <f t="shared" si="52"/>
        <v>0.1323595561663311</v>
      </c>
      <c r="X162" s="73">
        <f t="shared" si="53"/>
        <v>0.3318220161357846</v>
      </c>
      <c r="Y162" s="62">
        <f t="shared" si="54"/>
        <v>2.0719590010958498E-2</v>
      </c>
      <c r="Z162" s="73">
        <f t="shared" si="55"/>
        <v>0.264898435865148</v>
      </c>
      <c r="AA162" s="62">
        <f t="shared" si="56"/>
        <v>0.11896783812113948</v>
      </c>
      <c r="AB162" s="64">
        <f t="shared" si="57"/>
        <v>0.13123256370063838</v>
      </c>
      <c r="AC162" s="62"/>
      <c r="AD162" s="145">
        <f t="shared" si="58"/>
        <v>0.25020040182177783</v>
      </c>
      <c r="AF162" s="57">
        <f>W$212-W162</f>
        <v>-1.3686150573413269E-2</v>
      </c>
      <c r="AG162" s="60">
        <f>X$212-X162</f>
        <v>-4.2024019012716463E-2</v>
      </c>
      <c r="AH162" s="83">
        <f>Y$212-Y162</f>
        <v>2.8474923925379602E-2</v>
      </c>
      <c r="AI162" s="60">
        <f>Z$212-Z162</f>
        <v>-3.3559233064867161E-2</v>
      </c>
      <c r="AJ162" s="83">
        <f>AA$212-AA162</f>
        <v>2.9677075245023943E-2</v>
      </c>
      <c r="AK162" s="76">
        <f>AB$212-AB162</f>
        <v>3.1117403480593081E-2</v>
      </c>
      <c r="AM162" s="57">
        <f>$AD$212-AD162</f>
        <v>6.0794478725617163E-2</v>
      </c>
      <c r="AN162" s="106">
        <f>IF(AM162&lt;$AD$215,(AM162-$AD$215)*0.5683,0)</f>
        <v>0</v>
      </c>
    </row>
    <row r="163" spans="1:40" x14ac:dyDescent="0.25">
      <c r="A163" s="17" t="s">
        <v>398</v>
      </c>
      <c r="B163" s="90" t="s">
        <v>399</v>
      </c>
      <c r="C163" s="88">
        <f>VLOOKUP($B$3:$B$210,Costdrivere!$B$3:$H$211,2,FALSE)</f>
        <v>455583.11921490455</v>
      </c>
      <c r="D163" s="46">
        <f>VLOOKUP($B$3:$B$210,Costdrivere!$B$3:$H$211,3,FALSE)</f>
        <v>1148675.368</v>
      </c>
      <c r="E163" s="23">
        <f>VLOOKUP($B$3:$B$210,Costdrivere!$B$3:$H$211,4,FALSE)</f>
        <v>0</v>
      </c>
      <c r="F163" s="46">
        <f>VLOOKUP($B$3:$B$210,Costdrivere!$B$3:$H$211,5,FALSE)</f>
        <v>220399.62</v>
      </c>
      <c r="G163" s="23">
        <f>VLOOKUP($B$3:$B$210,Costdrivere!$B$3:$H$211,6,FALSE)</f>
        <v>219181.2</v>
      </c>
      <c r="H163" s="93">
        <f>VLOOKUP($B$3:$B$210,Costdrivere!$B$3:$H$211,7,FALSE)</f>
        <v>244323.80000000002</v>
      </c>
      <c r="I163" s="27">
        <v>24.38343275477602</v>
      </c>
      <c r="J163" s="20">
        <f>VLOOKUP($B$3:$B$210,Costdrivere!$B$3:$I$211,8,FALSE)</f>
        <v>2.9948586118251928E-2</v>
      </c>
      <c r="K163" s="74">
        <f t="shared" si="47"/>
        <v>2288163.1072149044</v>
      </c>
      <c r="L163" s="89">
        <f t="shared" si="59"/>
        <v>2319972.6692697816</v>
      </c>
      <c r="M163" s="167">
        <f t="shared" si="48"/>
        <v>2555017.0414559729</v>
      </c>
      <c r="N163" s="74">
        <f>K163+VLOOKUP($B$3:$B$210,'Potentialer og krav'!$B$2:$F$209,5,FALSE)</f>
        <v>2288163.1072149044</v>
      </c>
      <c r="O163" s="160">
        <f t="shared" si="49"/>
        <v>2319972.6692697816</v>
      </c>
      <c r="P163" s="163">
        <f t="shared" si="50"/>
        <v>2555017.0414559729</v>
      </c>
      <c r="Q163" s="104">
        <f>N163+(0.25*VLOOKUP($B$3:$B$210,'Potentialer og krav'!$B$2:$C$209,2,FALSE))</f>
        <v>2681680.6072149044</v>
      </c>
      <c r="R163" s="53">
        <f>O163+(0.25*VLOOKUP($B$3:$B$210,'Potentialer og krav'!$B$2:$C$209,2,FALSE))</f>
        <v>2713490.1692697816</v>
      </c>
      <c r="S163" s="104">
        <f>P163+(0.25*VLOOKUP($B$3:$B$210,'Potentialer og krav'!$B$2:$C$209,2,FALSE))</f>
        <v>2948534.5414559729</v>
      </c>
      <c r="T163" s="84">
        <v>1465450</v>
      </c>
      <c r="U163" s="92">
        <f t="shared" si="51"/>
        <v>1487431.7499999998</v>
      </c>
      <c r="W163" s="70">
        <f t="shared" si="52"/>
        <v>0.19910430238927726</v>
      </c>
      <c r="X163" s="73">
        <f t="shared" si="53"/>
        <v>0.50200764288964494</v>
      </c>
      <c r="Y163" s="62">
        <f t="shared" si="54"/>
        <v>0</v>
      </c>
      <c r="Z163" s="73">
        <f t="shared" si="55"/>
        <v>9.6321638656374012E-2</v>
      </c>
      <c r="AA163" s="62">
        <f t="shared" si="56"/>
        <v>9.578915039268418E-2</v>
      </c>
      <c r="AB163" s="64">
        <f t="shared" si="57"/>
        <v>0.10677726567201973</v>
      </c>
      <c r="AC163" s="62"/>
      <c r="AD163" s="145">
        <f t="shared" si="58"/>
        <v>0.20256641606470391</v>
      </c>
      <c r="AF163" s="57">
        <f>W$212-W163</f>
        <v>-8.0430896796359425E-2</v>
      </c>
      <c r="AG163" s="60">
        <f>X$212-X163</f>
        <v>-0.2122096457665768</v>
      </c>
      <c r="AH163" s="83">
        <f>Y$212-Y163</f>
        <v>4.91945139363381E-2</v>
      </c>
      <c r="AI163" s="60">
        <f>Z$212-Z163</f>
        <v>0.13501756414390681</v>
      </c>
      <c r="AJ163" s="83">
        <f>AA$212-AA163</f>
        <v>5.2855762973479242E-2</v>
      </c>
      <c r="AK163" s="76">
        <f>AB$212-AB163</f>
        <v>5.557270150921173E-2</v>
      </c>
      <c r="AM163" s="57">
        <f>$AD$212-AD163</f>
        <v>0.10842846448269108</v>
      </c>
      <c r="AN163" s="106">
        <f>IF(AM163&lt;$AD$215,(AM163-$AD$215)*0.5683,0)</f>
        <v>0</v>
      </c>
    </row>
    <row r="164" spans="1:40" x14ac:dyDescent="0.25">
      <c r="A164" s="17" t="s">
        <v>400</v>
      </c>
      <c r="B164" s="90" t="s">
        <v>401</v>
      </c>
      <c r="C164" s="88">
        <f>VLOOKUP($B$3:$B$210,Costdrivere!$B$3:$H$211,2,FALSE)</f>
        <v>195373.1958172959</v>
      </c>
      <c r="D164" s="46">
        <f>VLOOKUP($B$3:$B$210,Costdrivere!$B$3:$H$211,3,FALSE)</f>
        <v>472618.67800000001</v>
      </c>
      <c r="E164" s="23">
        <f>VLOOKUP($B$3:$B$210,Costdrivere!$B$3:$H$211,4,FALSE)</f>
        <v>56469</v>
      </c>
      <c r="F164" s="46">
        <f>VLOOKUP($B$3:$B$210,Costdrivere!$B$3:$H$211,5,FALSE)</f>
        <v>356136</v>
      </c>
      <c r="G164" s="23">
        <f>VLOOKUP($B$3:$B$210,Costdrivere!$B$3:$H$211,6,FALSE)</f>
        <v>240094.40000000002</v>
      </c>
      <c r="H164" s="93">
        <f>VLOOKUP($B$3:$B$210,Costdrivere!$B$3:$H$211,7,FALSE)</f>
        <v>270538.80000000005</v>
      </c>
      <c r="I164" s="27">
        <v>30.366647593231995</v>
      </c>
      <c r="J164" s="20">
        <f>VLOOKUP($B$3:$B$210,Costdrivere!$B$3:$I$211,8,FALSE)</f>
        <v>2.0522727272727272E-2</v>
      </c>
      <c r="K164" s="74">
        <f t="shared" si="47"/>
        <v>1591230.0738172957</v>
      </c>
      <c r="L164" s="89">
        <f t="shared" si="59"/>
        <v>1784723.1044894673</v>
      </c>
      <c r="M164" s="167">
        <f t="shared" si="48"/>
        <v>1573662.604487794</v>
      </c>
      <c r="N164" s="74">
        <f>K164+VLOOKUP($B$3:$B$210,'Potentialer og krav'!$B$2:$F$209,5,FALSE)</f>
        <v>1591230.0738172957</v>
      </c>
      <c r="O164" s="160">
        <f t="shared" si="49"/>
        <v>1784723.1044894673</v>
      </c>
      <c r="P164" s="163">
        <f t="shared" si="50"/>
        <v>1573662.604487794</v>
      </c>
      <c r="Q164" s="104">
        <f>N164+(0.25*VLOOKUP($B$3:$B$210,'Potentialer og krav'!$B$2:$C$209,2,FALSE))</f>
        <v>1911373.5738172957</v>
      </c>
      <c r="R164" s="53">
        <f>O164+(0.25*VLOOKUP($B$3:$B$210,'Potentialer og krav'!$B$2:$C$209,2,FALSE))</f>
        <v>2104866.6044894671</v>
      </c>
      <c r="S164" s="104">
        <f>P164+(0.25*VLOOKUP($B$3:$B$210,'Potentialer og krav'!$B$2:$C$209,2,FALSE))</f>
        <v>1893806.104487794</v>
      </c>
      <c r="T164" s="84">
        <v>1406708</v>
      </c>
      <c r="U164" s="92">
        <f t="shared" si="51"/>
        <v>1427808.6199999999</v>
      </c>
      <c r="W164" s="70">
        <f t="shared" si="52"/>
        <v>0.12278123637306805</v>
      </c>
      <c r="X164" s="73">
        <f t="shared" si="53"/>
        <v>0.29701467171633272</v>
      </c>
      <c r="Y164" s="62">
        <f t="shared" si="54"/>
        <v>3.5487639989441114E-2</v>
      </c>
      <c r="Z164" s="73">
        <f t="shared" si="55"/>
        <v>0.22381175787209975</v>
      </c>
      <c r="AA164" s="62">
        <f t="shared" si="56"/>
        <v>0.15088603712976803</v>
      </c>
      <c r="AB164" s="64">
        <f t="shared" si="57"/>
        <v>0.17001865691929047</v>
      </c>
      <c r="AC164" s="62"/>
      <c r="AD164" s="145">
        <f t="shared" si="58"/>
        <v>0.32090469404905853</v>
      </c>
      <c r="AF164" s="57">
        <f>W$212-W164</f>
        <v>-4.1078307801502151E-3</v>
      </c>
      <c r="AG164" s="60">
        <f>X$212-X164</f>
        <v>-7.2166745932645826E-3</v>
      </c>
      <c r="AH164" s="83">
        <f>Y$212-Y164</f>
        <v>1.3706873946896986E-2</v>
      </c>
      <c r="AI164" s="60">
        <f>Z$212-Z164</f>
        <v>7.5274449281810818E-3</v>
      </c>
      <c r="AJ164" s="83">
        <f>AA$212-AA164</f>
        <v>-2.2411237636046077E-3</v>
      </c>
      <c r="AK164" s="76">
        <f>AB$212-AB164</f>
        <v>-7.6686897380590091E-3</v>
      </c>
      <c r="AM164" s="57">
        <f>$AD$212-AD164</f>
        <v>-9.9098135016635336E-3</v>
      </c>
      <c r="AN164" s="106">
        <f>IF(AM164&lt;$AD$215,(AM164-$AD$215)*0.5683,0)</f>
        <v>0</v>
      </c>
    </row>
    <row r="165" spans="1:40" x14ac:dyDescent="0.25">
      <c r="A165" s="17" t="s">
        <v>402</v>
      </c>
      <c r="B165" s="90" t="s">
        <v>403</v>
      </c>
      <c r="C165" s="88">
        <f>VLOOKUP($B$3:$B$210,Costdrivere!$B$3:$H$211,2,FALSE)</f>
        <v>450553.97419777897</v>
      </c>
      <c r="D165" s="46">
        <f>VLOOKUP($B$3:$B$210,Costdrivere!$B$3:$H$211,3,FALSE)</f>
        <v>1148444.709</v>
      </c>
      <c r="E165" s="23">
        <f>VLOOKUP($B$3:$B$210,Costdrivere!$B$3:$H$211,4,FALSE)</f>
        <v>215679</v>
      </c>
      <c r="F165" s="46">
        <f>VLOOKUP($B$3:$B$210,Costdrivere!$B$3:$H$211,5,FALSE)</f>
        <v>3153111</v>
      </c>
      <c r="G165" s="23">
        <f>VLOOKUP($B$3:$B$210,Costdrivere!$B$3:$H$211,6,FALSE)</f>
        <v>839684.8</v>
      </c>
      <c r="H165" s="93">
        <f>VLOOKUP($B$3:$B$210,Costdrivere!$B$3:$H$211,7,FALSE)</f>
        <v>772968.00000000012</v>
      </c>
      <c r="I165" s="27">
        <v>34.213744599999998</v>
      </c>
      <c r="J165" s="20">
        <f>VLOOKUP($B$3:$B$210,Costdrivere!$B$3:$I$211,8,FALSE)</f>
        <v>4.4482758620689657E-2</v>
      </c>
      <c r="K165" s="74">
        <f t="shared" si="47"/>
        <v>6580441.4831977794</v>
      </c>
      <c r="L165" s="89">
        <f t="shared" si="59"/>
        <v>7836301.6495434539</v>
      </c>
      <c r="M165" s="167">
        <f t="shared" si="48"/>
        <v>8643241.9734665733</v>
      </c>
      <c r="N165" s="74">
        <f>K165+VLOOKUP($B$3:$B$210,'Potentialer og krav'!$B$2:$F$209,5,FALSE)</f>
        <v>6580441.4831977794</v>
      </c>
      <c r="O165" s="160">
        <f t="shared" si="49"/>
        <v>7836301.6495434539</v>
      </c>
      <c r="P165" s="163">
        <f t="shared" si="50"/>
        <v>8643241.9734665733</v>
      </c>
      <c r="Q165" s="104">
        <f>N165+(0.25*VLOOKUP($B$3:$B$210,'Potentialer og krav'!$B$2:$C$209,2,FALSE))</f>
        <v>8017549.7331977794</v>
      </c>
      <c r="R165" s="53">
        <f>O165+(0.25*VLOOKUP($B$3:$B$210,'Potentialer og krav'!$B$2:$C$209,2,FALSE))</f>
        <v>9273409.899543453</v>
      </c>
      <c r="S165" s="104">
        <f>P165+(0.25*VLOOKUP($B$3:$B$210,'Potentialer og krav'!$B$2:$C$209,2,FALSE))</f>
        <v>10080350.223466573</v>
      </c>
      <c r="T165" s="84">
        <v>3864786</v>
      </c>
      <c r="U165" s="92">
        <f t="shared" si="51"/>
        <v>3922757.7899999996</v>
      </c>
      <c r="W165" s="70">
        <f t="shared" si="52"/>
        <v>6.8468654473746851E-2</v>
      </c>
      <c r="X165" s="73">
        <f t="shared" si="53"/>
        <v>0.17452396042611884</v>
      </c>
      <c r="Y165" s="62">
        <f t="shared" si="54"/>
        <v>3.2775764445395587E-2</v>
      </c>
      <c r="Z165" s="73">
        <f t="shared" si="55"/>
        <v>0.47916405123440731</v>
      </c>
      <c r="AA165" s="62">
        <f t="shared" si="56"/>
        <v>0.12760311023873028</v>
      </c>
      <c r="AB165" s="64">
        <f t="shared" si="57"/>
        <v>0.11746445918160109</v>
      </c>
      <c r="AC165" s="62"/>
      <c r="AD165" s="145">
        <f t="shared" si="58"/>
        <v>0.24506756942033137</v>
      </c>
      <c r="AF165" s="57">
        <f>W$212-W165</f>
        <v>5.0204751119170984E-2</v>
      </c>
      <c r="AG165" s="60">
        <f>X$212-X165</f>
        <v>0.1152740366969493</v>
      </c>
      <c r="AH165" s="83">
        <f>Y$212-Y165</f>
        <v>1.6418749490942512E-2</v>
      </c>
      <c r="AI165" s="60">
        <f>Z$212-Z165</f>
        <v>-0.24782484843412647</v>
      </c>
      <c r="AJ165" s="83">
        <f>AA$212-AA165</f>
        <v>2.1041803127433145E-2</v>
      </c>
      <c r="AK165" s="76">
        <f>AB$212-AB165</f>
        <v>4.488550799963037E-2</v>
      </c>
      <c r="AM165" s="57">
        <f>$AD$212-AD165</f>
        <v>6.5927311127063626E-2</v>
      </c>
      <c r="AN165" s="106">
        <f>IF(AM165&lt;$AD$215,(AM165-$AD$215)*0.5683,0)</f>
        <v>0</v>
      </c>
    </row>
    <row r="166" spans="1:40" x14ac:dyDescent="0.25">
      <c r="A166" s="17" t="s">
        <v>55</v>
      </c>
      <c r="B166" s="90" t="s">
        <v>404</v>
      </c>
      <c r="C166" s="88">
        <f>VLOOKUP($B$3:$B$210,Costdrivere!$B$3:$H$211,2,FALSE)</f>
        <v>333957.85874040757</v>
      </c>
      <c r="D166" s="46">
        <f>VLOOKUP($B$3:$B$210,Costdrivere!$B$3:$H$211,3,FALSE)</f>
        <v>864372.82700000005</v>
      </c>
      <c r="E166" s="23">
        <f>VLOOKUP($B$3:$B$210,Costdrivere!$B$3:$H$211,4,FALSE)</f>
        <v>177265</v>
      </c>
      <c r="F166" s="46">
        <f>VLOOKUP($B$3:$B$210,Costdrivere!$B$3:$H$211,5,FALSE)</f>
        <v>991515</v>
      </c>
      <c r="G166" s="23">
        <f>VLOOKUP($B$3:$B$210,Costdrivere!$B$3:$H$211,6,FALSE)</f>
        <v>401153.2</v>
      </c>
      <c r="H166" s="93">
        <f>VLOOKUP($B$3:$B$210,Costdrivere!$B$3:$H$211,7,FALSE)</f>
        <v>488797.4</v>
      </c>
      <c r="I166" s="27">
        <v>37.493346148698485</v>
      </c>
      <c r="J166" s="20">
        <f>VLOOKUP($B$3:$B$210,Costdrivere!$B$3:$I$211,8,FALSE)</f>
        <v>1.3318367346938776E-2</v>
      </c>
      <c r="K166" s="74">
        <f t="shared" si="47"/>
        <v>3257061.2857404076</v>
      </c>
      <c r="L166" s="89">
        <f t="shared" si="59"/>
        <v>4070936.5111489547</v>
      </c>
      <c r="M166" s="167">
        <f t="shared" si="48"/>
        <v>2903292.2107754061</v>
      </c>
      <c r="N166" s="74">
        <f>K166+VLOOKUP($B$3:$B$210,'Potentialer og krav'!$B$2:$F$209,5,FALSE)</f>
        <v>3257061.2857404076</v>
      </c>
      <c r="O166" s="160">
        <f t="shared" si="49"/>
        <v>4070936.5111489547</v>
      </c>
      <c r="P166" s="163">
        <f t="shared" si="50"/>
        <v>2903292.2107754061</v>
      </c>
      <c r="Q166" s="104">
        <f>N166+(0.25*VLOOKUP($B$3:$B$210,'Potentialer og krav'!$B$2:$C$209,2,FALSE))</f>
        <v>4105020.2857404076</v>
      </c>
      <c r="R166" s="53">
        <f>O166+(0.25*VLOOKUP($B$3:$B$210,'Potentialer og krav'!$B$2:$C$209,2,FALSE))</f>
        <v>4918895.5111489547</v>
      </c>
      <c r="S166" s="104">
        <f>P166+(0.25*VLOOKUP($B$3:$B$210,'Potentialer og krav'!$B$2:$C$209,2,FALSE))</f>
        <v>3751251.2107754061</v>
      </c>
      <c r="T166" s="84">
        <v>3080602</v>
      </c>
      <c r="U166" s="92">
        <f t="shared" si="51"/>
        <v>3126811.03</v>
      </c>
      <c r="W166" s="70">
        <f t="shared" si="52"/>
        <v>0.10253348937660256</v>
      </c>
      <c r="X166" s="73">
        <f t="shared" si="53"/>
        <v>0.2653842685688082</v>
      </c>
      <c r="Y166" s="62">
        <f t="shared" si="54"/>
        <v>5.4424827919596068E-2</v>
      </c>
      <c r="Z166" s="73">
        <f t="shared" si="55"/>
        <v>0.30442012385241474</v>
      </c>
      <c r="AA166" s="62">
        <f t="shared" si="56"/>
        <v>0.12316415468025445</v>
      </c>
      <c r="AB166" s="64">
        <f t="shared" si="57"/>
        <v>0.15007313560232402</v>
      </c>
      <c r="AC166" s="62"/>
      <c r="AD166" s="145">
        <f t="shared" si="58"/>
        <v>0.27323729028257848</v>
      </c>
      <c r="AF166" s="57">
        <f>W$212-W166</f>
        <v>1.6139916216315275E-2</v>
      </c>
      <c r="AG166" s="60">
        <f>X$212-X166</f>
        <v>2.4413728554259939E-2</v>
      </c>
      <c r="AH166" s="83">
        <f>Y$212-Y166</f>
        <v>-5.2303139832579684E-3</v>
      </c>
      <c r="AI166" s="60">
        <f>Z$212-Z166</f>
        <v>-7.3080921052133901E-2</v>
      </c>
      <c r="AJ166" s="83">
        <f>AA$212-AA166</f>
        <v>2.5480758685908975E-2</v>
      </c>
      <c r="AK166" s="76">
        <f>AB$212-AB166</f>
        <v>1.2276831578907438E-2</v>
      </c>
      <c r="AM166" s="57">
        <f>$AD$212-AD166</f>
        <v>3.775759026481651E-2</v>
      </c>
      <c r="AN166" s="106">
        <f>IF(AM166&lt;$AD$215,(AM166-$AD$215)*0.5683,0)</f>
        <v>0</v>
      </c>
    </row>
    <row r="167" spans="1:40" x14ac:dyDescent="0.25">
      <c r="A167" s="17" t="s">
        <v>405</v>
      </c>
      <c r="B167" s="90" t="s">
        <v>406</v>
      </c>
      <c r="C167" s="88">
        <f>VLOOKUP($B$3:$B$210,Costdrivere!$B$3:$H$211,2,FALSE)</f>
        <v>245342.4617763421</v>
      </c>
      <c r="D167" s="46">
        <f>VLOOKUP($B$3:$B$210,Costdrivere!$B$3:$H$211,3,FALSE)</f>
        <v>648403.13500000001</v>
      </c>
      <c r="E167" s="23">
        <f>VLOOKUP($B$3:$B$210,Costdrivere!$B$3:$H$211,4,FALSE)</f>
        <v>0</v>
      </c>
      <c r="F167" s="46">
        <f>VLOOKUP($B$3:$B$210,Costdrivere!$B$3:$H$211,5,FALSE)</f>
        <v>0</v>
      </c>
      <c r="G167" s="23">
        <f>VLOOKUP($B$3:$B$210,Costdrivere!$B$3:$H$211,6,FALSE)</f>
        <v>0</v>
      </c>
      <c r="H167" s="93">
        <f>VLOOKUP($B$3:$B$210,Costdrivere!$B$3:$H$211,7,FALSE)</f>
        <v>299.60000000000002</v>
      </c>
      <c r="I167" s="27">
        <v>0</v>
      </c>
      <c r="J167" s="20">
        <f>VLOOKUP($B$3:$B$210,Costdrivere!$B$3:$I$211,8,FALSE)</f>
        <v>0</v>
      </c>
      <c r="K167" s="74">
        <f t="shared" si="47"/>
        <v>894045.19677634211</v>
      </c>
      <c r="L167" s="89">
        <f t="shared" si="59"/>
        <v>894045.19677634211</v>
      </c>
      <c r="M167" s="167">
        <f t="shared" si="48"/>
        <v>894045.19677634211</v>
      </c>
      <c r="N167" s="74">
        <f>K167+VLOOKUP($B$3:$B$210,'Potentialer og krav'!$B$2:$F$209,5,FALSE)</f>
        <v>894045.19677634211</v>
      </c>
      <c r="O167" s="160">
        <f t="shared" si="49"/>
        <v>894045.19677634211</v>
      </c>
      <c r="P167" s="163">
        <f t="shared" si="50"/>
        <v>894045.19677634211</v>
      </c>
      <c r="Q167" s="104">
        <f>N167+(0.25*VLOOKUP($B$3:$B$210,'Potentialer og krav'!$B$2:$C$209,2,FALSE))</f>
        <v>1087963.4467763421</v>
      </c>
      <c r="R167" s="53">
        <f>O167+(0.25*VLOOKUP($B$3:$B$210,'Potentialer og krav'!$B$2:$C$209,2,FALSE))</f>
        <v>1087963.4467763421</v>
      </c>
      <c r="S167" s="104">
        <f>P167+(0.25*VLOOKUP($B$3:$B$210,'Potentialer og krav'!$B$2:$C$209,2,FALSE))</f>
        <v>1087963.4467763421</v>
      </c>
      <c r="T167" s="84">
        <v>730362</v>
      </c>
      <c r="U167" s="92">
        <f t="shared" si="51"/>
        <v>741317.42999999993</v>
      </c>
      <c r="W167" s="70">
        <f t="shared" si="52"/>
        <v>0.27441841045729365</v>
      </c>
      <c r="X167" s="73">
        <f t="shared" si="53"/>
        <v>0.72524648344171694</v>
      </c>
      <c r="Y167" s="62">
        <f t="shared" si="54"/>
        <v>0</v>
      </c>
      <c r="Z167" s="73">
        <f t="shared" si="55"/>
        <v>0</v>
      </c>
      <c r="AA167" s="62">
        <f t="shared" si="56"/>
        <v>0</v>
      </c>
      <c r="AB167" s="64">
        <f t="shared" si="57"/>
        <v>3.3510610098937664E-4</v>
      </c>
      <c r="AC167" s="62"/>
      <c r="AD167" s="145">
        <f t="shared" si="58"/>
        <v>3.3510610098937664E-4</v>
      </c>
      <c r="AF167" s="57">
        <f>W$212-W167</f>
        <v>-0.15574500486437581</v>
      </c>
      <c r="AG167" s="60">
        <f>X$212-X167</f>
        <v>-0.4354484863186488</v>
      </c>
      <c r="AH167" s="83">
        <f>Y$212-Y167</f>
        <v>4.91945139363381E-2</v>
      </c>
      <c r="AI167" s="60">
        <f>Z$212-Z167</f>
        <v>0.23133920280028084</v>
      </c>
      <c r="AJ167" s="83">
        <f>AA$212-AA167</f>
        <v>0.14864491336616342</v>
      </c>
      <c r="AK167" s="76">
        <f>AB$212-AB167</f>
        <v>0.16201486108024207</v>
      </c>
      <c r="AM167" s="57">
        <f>$AD$212-AD167</f>
        <v>0.31065977444640563</v>
      </c>
      <c r="AN167" s="106">
        <f>IF(AM167&lt;$AD$215,(AM167-$AD$215)*0.5683,0)</f>
        <v>0</v>
      </c>
    </row>
    <row r="168" spans="1:40" x14ac:dyDescent="0.25">
      <c r="A168" s="17" t="s">
        <v>56</v>
      </c>
      <c r="B168" s="90" t="s">
        <v>407</v>
      </c>
      <c r="C168" s="88">
        <f>VLOOKUP($B$3:$B$210,Costdrivere!$B$3:$H$211,2,FALSE)</f>
        <v>614951.13695516961</v>
      </c>
      <c r="D168" s="46">
        <f>VLOOKUP($B$3:$B$210,Costdrivere!$B$3:$H$211,3,FALSE)</f>
        <v>1661015.784</v>
      </c>
      <c r="E168" s="23">
        <f>VLOOKUP($B$3:$B$210,Costdrivere!$B$3:$H$211,4,FALSE)</f>
        <v>35453</v>
      </c>
      <c r="F168" s="46">
        <f>VLOOKUP($B$3:$B$210,Costdrivere!$B$3:$H$211,5,FALSE)</f>
        <v>1072455</v>
      </c>
      <c r="G168" s="23">
        <f>VLOOKUP($B$3:$B$210,Costdrivere!$B$3:$H$211,6,FALSE)</f>
        <v>703579.8</v>
      </c>
      <c r="H168" s="93">
        <f>VLOOKUP($B$3:$B$210,Costdrivere!$B$3:$H$211,7,FALSE)</f>
        <v>797235.60000000009</v>
      </c>
      <c r="I168" s="27">
        <v>24.606096141226757</v>
      </c>
      <c r="J168" s="20">
        <f>VLOOKUP($B$3:$B$210,Costdrivere!$B$3:$I$211,8,FALSE)</f>
        <v>2.0083018867924528E-2</v>
      </c>
      <c r="K168" s="74">
        <f t="shared" si="47"/>
        <v>4884690.3209551703</v>
      </c>
      <c r="L168" s="89">
        <f t="shared" si="59"/>
        <v>4972173.8083849903</v>
      </c>
      <c r="M168" s="167">
        <f t="shared" si="48"/>
        <v>4801672.1150019318</v>
      </c>
      <c r="N168" s="74">
        <f>K168+VLOOKUP($B$3:$B$210,'Potentialer og krav'!$B$2:$F$209,5,FALSE)</f>
        <v>4884690.3209551703</v>
      </c>
      <c r="O168" s="160">
        <f t="shared" si="49"/>
        <v>4972173.8083849903</v>
      </c>
      <c r="P168" s="163">
        <f t="shared" si="50"/>
        <v>4801672.1150019318</v>
      </c>
      <c r="Q168" s="104">
        <f>N168+(0.25*VLOOKUP($B$3:$B$210,'Potentialer og krav'!$B$2:$C$209,2,FALSE))</f>
        <v>6080372.5709551703</v>
      </c>
      <c r="R168" s="53">
        <f>O168+(0.25*VLOOKUP($B$3:$B$210,'Potentialer og krav'!$B$2:$C$209,2,FALSE))</f>
        <v>6167856.0583849903</v>
      </c>
      <c r="S168" s="104">
        <f>P168+(0.25*VLOOKUP($B$3:$B$210,'Potentialer og krav'!$B$2:$C$209,2,FALSE))</f>
        <v>5997354.3650019318</v>
      </c>
      <c r="T168" s="84">
        <v>3405559</v>
      </c>
      <c r="U168" s="92">
        <f t="shared" si="51"/>
        <v>3456642.3849999998</v>
      </c>
      <c r="W168" s="70">
        <f t="shared" si="52"/>
        <v>0.12589357698215756</v>
      </c>
      <c r="X168" s="73">
        <f t="shared" si="53"/>
        <v>0.34004525872895025</v>
      </c>
      <c r="Y168" s="62">
        <f t="shared" si="54"/>
        <v>7.2579831413073876E-3</v>
      </c>
      <c r="Z168" s="73">
        <f t="shared" si="55"/>
        <v>0.21955434828676881</v>
      </c>
      <c r="AA168" s="62">
        <f t="shared" si="56"/>
        <v>0.14403774932909555</v>
      </c>
      <c r="AB168" s="64">
        <f t="shared" si="57"/>
        <v>0.16321108353172034</v>
      </c>
      <c r="AC168" s="62"/>
      <c r="AD168" s="145">
        <f t="shared" si="58"/>
        <v>0.30724883286081589</v>
      </c>
      <c r="AF168" s="57">
        <f>W$212-W168</f>
        <v>-7.2201713892397212E-3</v>
      </c>
      <c r="AG168" s="60">
        <f>X$212-X168</f>
        <v>-5.024726160588211E-2</v>
      </c>
      <c r="AH168" s="83">
        <f>Y$212-Y168</f>
        <v>4.1936530795030715E-2</v>
      </c>
      <c r="AI168" s="60">
        <f>Z$212-Z168</f>
        <v>1.1784854513512022E-2</v>
      </c>
      <c r="AJ168" s="83">
        <f>AA$212-AA168</f>
        <v>4.6071640370678735E-3</v>
      </c>
      <c r="AK168" s="76">
        <f>AB$212-AB168</f>
        <v>-8.6111635048888302E-4</v>
      </c>
      <c r="AM168" s="57">
        <f>$AD$212-AD168</f>
        <v>3.7460476865791015E-3</v>
      </c>
      <c r="AN168" s="106">
        <f>IF(AM168&lt;$AD$215,(AM168-$AD$215)*0.5683,0)</f>
        <v>0</v>
      </c>
    </row>
    <row r="169" spans="1:40" x14ac:dyDescent="0.25">
      <c r="A169" s="17" t="s">
        <v>408</v>
      </c>
      <c r="B169" s="90" t="s">
        <v>409</v>
      </c>
      <c r="C169" s="88">
        <f>VLOOKUP($B$3:$B$210,Costdrivere!$B$3:$H$211,2,FALSE)</f>
        <v>174422.61985635653</v>
      </c>
      <c r="D169" s="46">
        <f>VLOOKUP($B$3:$B$210,Costdrivere!$B$3:$H$211,3,FALSE)</f>
        <v>433103.40399999998</v>
      </c>
      <c r="E169" s="23">
        <f>VLOOKUP($B$3:$B$210,Costdrivere!$B$3:$H$211,4,FALSE)</f>
        <v>272148</v>
      </c>
      <c r="F169" s="46">
        <f>VLOOKUP($B$3:$B$210,Costdrivere!$B$3:$H$211,5,FALSE)</f>
        <v>137840.82</v>
      </c>
      <c r="G169" s="23">
        <f>VLOOKUP($B$3:$B$210,Costdrivere!$B$3:$H$211,6,FALSE)</f>
        <v>219181.2</v>
      </c>
      <c r="H169" s="93">
        <f>VLOOKUP($B$3:$B$210,Costdrivere!$B$3:$H$211,7,FALSE)</f>
        <v>241327.80000000002</v>
      </c>
      <c r="I169" s="27">
        <v>32.733940043359816</v>
      </c>
      <c r="J169" s="20">
        <f>VLOOKUP($B$3:$B$210,Costdrivere!$B$3:$I$211,8,FALSE)</f>
        <v>4.7298884321785084E-2</v>
      </c>
      <c r="K169" s="74">
        <f t="shared" si="47"/>
        <v>1478023.8438563566</v>
      </c>
      <c r="L169" s="89">
        <f t="shared" si="59"/>
        <v>1720731.5001915081</v>
      </c>
      <c r="M169" s="167">
        <f t="shared" si="48"/>
        <v>1997720.8076576737</v>
      </c>
      <c r="N169" s="74">
        <f>K169+VLOOKUP($B$3:$B$210,'Potentialer og krav'!$B$2:$F$209,5,FALSE)</f>
        <v>1478023.8438563566</v>
      </c>
      <c r="O169" s="160">
        <f t="shared" si="49"/>
        <v>1720731.5001915081</v>
      </c>
      <c r="P169" s="163">
        <f t="shared" si="50"/>
        <v>1997720.8076576737</v>
      </c>
      <c r="Q169" s="104">
        <f>N169+(0.25*VLOOKUP($B$3:$B$210,'Potentialer og krav'!$B$2:$C$209,2,FALSE))</f>
        <v>1786657.3438563566</v>
      </c>
      <c r="R169" s="53">
        <f>O169+(0.25*VLOOKUP($B$3:$B$210,'Potentialer og krav'!$B$2:$C$209,2,FALSE))</f>
        <v>2029365.0001915081</v>
      </c>
      <c r="S169" s="104">
        <f>P169+(0.25*VLOOKUP($B$3:$B$210,'Potentialer og krav'!$B$2:$C$209,2,FALSE))</f>
        <v>2306354.307657674</v>
      </c>
      <c r="T169" s="84">
        <v>1243166</v>
      </c>
      <c r="U169" s="92">
        <f t="shared" si="51"/>
        <v>1261813.49</v>
      </c>
      <c r="W169" s="70">
        <f t="shared" si="52"/>
        <v>0.11801069419913092</v>
      </c>
      <c r="X169" s="73">
        <f t="shared" si="53"/>
        <v>0.29302869896197131</v>
      </c>
      <c r="Y169" s="62">
        <f t="shared" si="54"/>
        <v>0.18412964116325109</v>
      </c>
      <c r="Z169" s="73">
        <f t="shared" si="55"/>
        <v>9.3260214016815432E-2</v>
      </c>
      <c r="AA169" s="62">
        <f t="shared" si="56"/>
        <v>0.14829341279645919</v>
      </c>
      <c r="AB169" s="64">
        <f t="shared" si="57"/>
        <v>0.16327733886237206</v>
      </c>
      <c r="AC169" s="62"/>
      <c r="AD169" s="145">
        <f t="shared" si="58"/>
        <v>0.31157075165883125</v>
      </c>
      <c r="AF169" s="57">
        <f>W$212-W169</f>
        <v>6.6271139378691613E-4</v>
      </c>
      <c r="AG169" s="60">
        <f>X$212-X169</f>
        <v>-3.2307018389031716E-3</v>
      </c>
      <c r="AH169" s="83">
        <f>Y$212-Y169</f>
        <v>-0.13493512722691298</v>
      </c>
      <c r="AI169" s="60">
        <f>Z$212-Z169</f>
        <v>0.13807898878346542</v>
      </c>
      <c r="AJ169" s="83">
        <f>AA$212-AA169</f>
        <v>3.5150056970423282E-4</v>
      </c>
      <c r="AK169" s="76">
        <f>AB$212-AB169</f>
        <v>-9.2737168114059854E-4</v>
      </c>
      <c r="AM169" s="57">
        <f>$AD$212-AD169</f>
        <v>-5.7587111143625469E-4</v>
      </c>
      <c r="AN169" s="106">
        <f>IF(AM169&lt;$AD$215,(AM169-$AD$215)*0.5683,0)</f>
        <v>0</v>
      </c>
    </row>
    <row r="170" spans="1:40" x14ac:dyDescent="0.25">
      <c r="A170" s="17" t="s">
        <v>57</v>
      </c>
      <c r="B170" s="90" t="s">
        <v>410</v>
      </c>
      <c r="C170" s="88">
        <f>VLOOKUP($B$3:$B$210,Costdrivere!$B$3:$H$211,2,FALSE)</f>
        <v>233982.36311113159</v>
      </c>
      <c r="D170" s="46">
        <f>VLOOKUP($B$3:$B$210,Costdrivere!$B$3:$H$211,3,FALSE)</f>
        <v>593561.41799999995</v>
      </c>
      <c r="E170" s="23">
        <f>VLOOKUP($B$3:$B$210,Costdrivere!$B$3:$H$211,4,FALSE)</f>
        <v>35453</v>
      </c>
      <c r="F170" s="46">
        <f>VLOOKUP($B$3:$B$210,Costdrivere!$B$3:$H$211,5,FALSE)</f>
        <v>230679</v>
      </c>
      <c r="G170" s="23">
        <f>VLOOKUP($B$3:$B$210,Costdrivere!$B$3:$H$211,6,FALSE)</f>
        <v>373585.80000000005</v>
      </c>
      <c r="H170" s="93">
        <f>VLOOKUP($B$3:$B$210,Costdrivere!$B$3:$H$211,7,FALSE)</f>
        <v>412099.80000000005</v>
      </c>
      <c r="I170" s="27">
        <v>21.923155460072049</v>
      </c>
      <c r="J170" s="20">
        <f>VLOOKUP($B$3:$B$210,Costdrivere!$B$3:$I$211,8,FALSE)</f>
        <v>4.8263157894736841E-2</v>
      </c>
      <c r="K170" s="74">
        <f t="shared" si="47"/>
        <v>1879361.3811111315</v>
      </c>
      <c r="L170" s="89">
        <f t="shared" si="59"/>
        <v>1822260.3651664916</v>
      </c>
      <c r="M170" s="167">
        <f t="shared" si="48"/>
        <v>2564719.7677842421</v>
      </c>
      <c r="N170" s="74">
        <f>K170+VLOOKUP($B$3:$B$210,'Potentialer og krav'!$B$2:$F$209,5,FALSE)</f>
        <v>1879361.3811111315</v>
      </c>
      <c r="O170" s="160">
        <f t="shared" si="49"/>
        <v>1822260.3651664916</v>
      </c>
      <c r="P170" s="163">
        <f t="shared" si="50"/>
        <v>2564719.7677842421</v>
      </c>
      <c r="Q170" s="104">
        <f>N170+(0.25*VLOOKUP($B$3:$B$210,'Potentialer og krav'!$B$2:$C$209,2,FALSE))</f>
        <v>2313428.8811111315</v>
      </c>
      <c r="R170" s="53">
        <f>O170+(0.25*VLOOKUP($B$3:$B$210,'Potentialer og krav'!$B$2:$C$209,2,FALSE))</f>
        <v>2256327.8651664918</v>
      </c>
      <c r="S170" s="104">
        <f>P170+(0.25*VLOOKUP($B$3:$B$210,'Potentialer og krav'!$B$2:$C$209,2,FALSE))</f>
        <v>2998787.2677842421</v>
      </c>
      <c r="T170" s="84">
        <v>1486232</v>
      </c>
      <c r="U170" s="92">
        <f t="shared" si="51"/>
        <v>1508525.4799999997</v>
      </c>
      <c r="W170" s="70">
        <f t="shared" si="52"/>
        <v>0.12450099563756845</v>
      </c>
      <c r="X170" s="73">
        <f t="shared" si="53"/>
        <v>0.31583144357742932</v>
      </c>
      <c r="Y170" s="62">
        <f t="shared" si="54"/>
        <v>1.8864386783897402E-2</v>
      </c>
      <c r="Z170" s="73">
        <f t="shared" si="55"/>
        <v>0.12274329052330323</v>
      </c>
      <c r="AA170" s="62">
        <f t="shared" si="56"/>
        <v>0.1987833759673861</v>
      </c>
      <c r="AB170" s="64">
        <f t="shared" si="57"/>
        <v>0.21927650751041558</v>
      </c>
      <c r="AC170" s="62"/>
      <c r="AD170" s="145">
        <f t="shared" si="58"/>
        <v>0.41805988347780165</v>
      </c>
      <c r="AF170" s="57">
        <f>W$212-W170</f>
        <v>-5.8275900446506101E-3</v>
      </c>
      <c r="AG170" s="60">
        <f>X$212-X170</f>
        <v>-2.6033446454361175E-2</v>
      </c>
      <c r="AH170" s="83">
        <f>Y$212-Y170</f>
        <v>3.0330127152440697E-2</v>
      </c>
      <c r="AI170" s="60">
        <f>Z$212-Z170</f>
        <v>0.10859591227697761</v>
      </c>
      <c r="AJ170" s="83">
        <f>AA$212-AA170</f>
        <v>-5.0138462601222678E-2</v>
      </c>
      <c r="AK170" s="76">
        <f>AB$212-AB170</f>
        <v>-5.6926540329184122E-2</v>
      </c>
      <c r="AM170" s="57">
        <f>$AD$212-AD170</f>
        <v>-0.10706500293040666</v>
      </c>
      <c r="AN170" s="106">
        <f>IF(AM170&lt;$AD$215,(AM170-$AD$215)*0.5683,0)</f>
        <v>-1.1692397351370616E-3</v>
      </c>
    </row>
    <row r="171" spans="1:40" x14ac:dyDescent="0.25">
      <c r="A171" s="17" t="s">
        <v>411</v>
      </c>
      <c r="B171" s="90" t="s">
        <v>412</v>
      </c>
      <c r="C171" s="88">
        <f>VLOOKUP($B$3:$B$210,Costdrivere!$B$3:$H$211,2,FALSE)</f>
        <v>1223254.5927634961</v>
      </c>
      <c r="D171" s="46">
        <f>VLOOKUP($B$3:$B$210,Costdrivere!$B$3:$H$211,3,FALSE)</f>
        <v>3452413.4079999998</v>
      </c>
      <c r="E171" s="23">
        <f>VLOOKUP($B$3:$B$210,Costdrivere!$B$3:$H$211,4,FALSE)</f>
        <v>254750</v>
      </c>
      <c r="F171" s="46">
        <f>VLOOKUP($B$3:$B$210,Costdrivere!$B$3:$H$211,5,FALSE)</f>
        <v>4752825</v>
      </c>
      <c r="G171" s="23">
        <f>VLOOKUP($B$3:$B$210,Costdrivere!$B$3:$H$211,6,FALSE)</f>
        <v>1917767.8</v>
      </c>
      <c r="H171" s="93">
        <f>VLOOKUP($B$3:$B$210,Costdrivere!$B$3:$H$211,7,FALSE)</f>
        <v>2131504.2000000002</v>
      </c>
      <c r="I171" s="27">
        <v>26.124443915546877</v>
      </c>
      <c r="J171" s="20">
        <f>VLOOKUP($B$3:$B$210,Costdrivere!$B$3:$I$211,8,FALSE)</f>
        <v>3.1549889135254992E-2</v>
      </c>
      <c r="K171" s="74">
        <f t="shared" si="47"/>
        <v>13732515.000763498</v>
      </c>
      <c r="L171" s="89">
        <f t="shared" si="59"/>
        <v>14353773.84866235</v>
      </c>
      <c r="M171" s="167">
        <f t="shared" si="48"/>
        <v>15631882.474480275</v>
      </c>
      <c r="N171" s="74">
        <f>K171+VLOOKUP($B$3:$B$210,'Potentialer og krav'!$B$2:$F$209,5,FALSE)</f>
        <v>13732515.000763498</v>
      </c>
      <c r="O171" s="160">
        <f t="shared" si="49"/>
        <v>14353773.84866235</v>
      </c>
      <c r="P171" s="163">
        <f t="shared" si="50"/>
        <v>15631882.474480275</v>
      </c>
      <c r="Q171" s="104">
        <f>N171+(0.25*VLOOKUP($B$3:$B$210,'Potentialer og krav'!$B$2:$C$209,2,FALSE))</f>
        <v>17158528.500763498</v>
      </c>
      <c r="R171" s="53">
        <f>O171+(0.25*VLOOKUP($B$3:$B$210,'Potentialer og krav'!$B$2:$C$209,2,FALSE))</f>
        <v>17779787.34866235</v>
      </c>
      <c r="S171" s="104">
        <f>P171+(0.25*VLOOKUP($B$3:$B$210,'Potentialer og krav'!$B$2:$C$209,2,FALSE))</f>
        <v>19057895.974480275</v>
      </c>
      <c r="T171" s="84">
        <v>12731295</v>
      </c>
      <c r="U171" s="92">
        <f t="shared" si="51"/>
        <v>12922264.424999999</v>
      </c>
      <c r="W171" s="70">
        <f t="shared" si="52"/>
        <v>8.9077244240802628E-2</v>
      </c>
      <c r="X171" s="73">
        <f t="shared" si="53"/>
        <v>0.2514043063348595</v>
      </c>
      <c r="Y171" s="62">
        <f t="shared" si="54"/>
        <v>1.8550862677800567E-2</v>
      </c>
      <c r="Z171" s="73">
        <f t="shared" si="55"/>
        <v>0.34610011347052982</v>
      </c>
      <c r="AA171" s="62">
        <f t="shared" si="56"/>
        <v>0.13965160787323927</v>
      </c>
      <c r="AB171" s="64">
        <f t="shared" si="57"/>
        <v>0.15521586540276805</v>
      </c>
      <c r="AC171" s="62"/>
      <c r="AD171" s="145">
        <f t="shared" si="58"/>
        <v>0.29486747327600732</v>
      </c>
      <c r="AF171" s="57">
        <f>W$212-W171</f>
        <v>2.9596161352115208E-2</v>
      </c>
      <c r="AG171" s="60">
        <f>X$212-X171</f>
        <v>3.8393690788208645E-2</v>
      </c>
      <c r="AH171" s="83">
        <f>Y$212-Y171</f>
        <v>3.0643651258537533E-2</v>
      </c>
      <c r="AI171" s="60">
        <f>Z$212-Z171</f>
        <v>-0.11476091067024899</v>
      </c>
      <c r="AJ171" s="83">
        <f>AA$212-AA171</f>
        <v>8.9933054929241529E-3</v>
      </c>
      <c r="AK171" s="76">
        <f>AB$212-AB171</f>
        <v>7.1341017784634086E-3</v>
      </c>
      <c r="AM171" s="57">
        <f>$AD$212-AD171</f>
        <v>1.6127407271387673E-2</v>
      </c>
      <c r="AN171" s="106">
        <f>IF(AM171&lt;$AD$215,(AM171-$AD$215)*0.5683,0)</f>
        <v>0</v>
      </c>
    </row>
    <row r="172" spans="1:40" x14ac:dyDescent="0.25">
      <c r="A172" s="17" t="s">
        <v>413</v>
      </c>
      <c r="B172" s="90" t="s">
        <v>414</v>
      </c>
      <c r="C172" s="88">
        <f>VLOOKUP($B$3:$B$210,Costdrivere!$B$3:$H$211,2,FALSE)</f>
        <v>340301.47729948751</v>
      </c>
      <c r="D172" s="46">
        <f>VLOOKUP($B$3:$B$210,Costdrivere!$B$3:$H$211,3,FALSE)</f>
        <v>887150</v>
      </c>
      <c r="E172" s="23">
        <f>VLOOKUP($B$3:$B$210,Costdrivere!$B$3:$H$211,4,FALSE)</f>
        <v>35453</v>
      </c>
      <c r="F172" s="46">
        <f>VLOOKUP($B$3:$B$210,Costdrivere!$B$3:$H$211,5,FALSE)</f>
        <v>279728.64000000001</v>
      </c>
      <c r="G172" s="23">
        <f>VLOOKUP($B$3:$B$210,Costdrivere!$B$3:$H$211,6,FALSE)</f>
        <v>207095.00000000003</v>
      </c>
      <c r="H172" s="93">
        <f>VLOOKUP($B$3:$B$210,Costdrivere!$B$3:$H$211,7,FALSE)</f>
        <v>226198.00000000003</v>
      </c>
      <c r="I172" s="27">
        <v>31.006422166257206</v>
      </c>
      <c r="J172" s="20">
        <f>VLOOKUP($B$3:$B$210,Costdrivere!$B$3:$I$211,8,FALSE)</f>
        <v>2.1846064814814815E-2</v>
      </c>
      <c r="K172" s="74">
        <f t="shared" si="47"/>
        <v>1975926.1172994873</v>
      </c>
      <c r="L172" s="89">
        <f t="shared" si="59"/>
        <v>2238952.7059689895</v>
      </c>
      <c r="M172" s="167">
        <f t="shared" si="48"/>
        <v>1989526.6180165939</v>
      </c>
      <c r="N172" s="74">
        <f>K172+VLOOKUP($B$3:$B$210,'Potentialer og krav'!$B$2:$F$209,5,FALSE)</f>
        <v>1975926.1172994873</v>
      </c>
      <c r="O172" s="160">
        <f t="shared" si="49"/>
        <v>2238952.7059689895</v>
      </c>
      <c r="P172" s="163">
        <f t="shared" si="50"/>
        <v>1989526.6180165939</v>
      </c>
      <c r="Q172" s="104">
        <f>N172+(0.25*VLOOKUP($B$3:$B$210,'Potentialer og krav'!$B$2:$C$209,2,FALSE))</f>
        <v>2388699.3672994873</v>
      </c>
      <c r="R172" s="53">
        <f>O172+(0.25*VLOOKUP($B$3:$B$210,'Potentialer og krav'!$B$2:$C$209,2,FALSE))</f>
        <v>2651725.9559689895</v>
      </c>
      <c r="S172" s="104">
        <f>P172+(0.25*VLOOKUP($B$3:$B$210,'Potentialer og krav'!$B$2:$C$209,2,FALSE))</f>
        <v>2402299.8680165941</v>
      </c>
      <c r="T172" s="84">
        <v>2194609</v>
      </c>
      <c r="U172" s="92">
        <f t="shared" si="51"/>
        <v>2227528.1349999998</v>
      </c>
      <c r="W172" s="70">
        <f t="shared" si="52"/>
        <v>0.1722237862641241</v>
      </c>
      <c r="X172" s="73">
        <f t="shared" si="53"/>
        <v>0.44897933795848316</v>
      </c>
      <c r="Y172" s="62">
        <f t="shared" si="54"/>
        <v>1.794247248902903E-2</v>
      </c>
      <c r="Z172" s="73">
        <f t="shared" si="55"/>
        <v>0.14156837016877291</v>
      </c>
      <c r="AA172" s="62">
        <f t="shared" si="56"/>
        <v>0.10480908075805905</v>
      </c>
      <c r="AB172" s="64">
        <f t="shared" si="57"/>
        <v>0.11447695236153187</v>
      </c>
      <c r="AC172" s="62"/>
      <c r="AD172" s="145">
        <f t="shared" si="58"/>
        <v>0.21928603311959091</v>
      </c>
      <c r="AF172" s="57">
        <f>W$212-W172</f>
        <v>-5.3550380671206266E-2</v>
      </c>
      <c r="AG172" s="60">
        <f>X$212-X172</f>
        <v>-0.15918134083541502</v>
      </c>
      <c r="AH172" s="83">
        <f>Y$212-Y172</f>
        <v>3.1252041447309073E-2</v>
      </c>
      <c r="AI172" s="60">
        <f>Z$212-Z172</f>
        <v>8.9770832631507924E-2</v>
      </c>
      <c r="AJ172" s="83">
        <f>AA$212-AA172</f>
        <v>4.3835832608104378E-2</v>
      </c>
      <c r="AK172" s="76">
        <f>AB$212-AB172</f>
        <v>4.7873014819699591E-2</v>
      </c>
      <c r="AM172" s="57">
        <f>$AD$212-AD172</f>
        <v>9.170884742780408E-2</v>
      </c>
      <c r="AN172" s="106">
        <f>IF(AM172&lt;$AD$215,(AM172-$AD$215)*0.5683,0)</f>
        <v>0</v>
      </c>
    </row>
    <row r="173" spans="1:40" x14ac:dyDescent="0.25">
      <c r="A173" s="17" t="s">
        <v>76</v>
      </c>
      <c r="B173" s="90" t="s">
        <v>415</v>
      </c>
      <c r="C173" s="88">
        <f>VLOOKUP($B$3:$B$210,Costdrivere!$B$3:$H$211,2,FALSE)</f>
        <v>184998.81684300723</v>
      </c>
      <c r="D173" s="46">
        <f>VLOOKUP($B$3:$B$210,Costdrivere!$B$3:$H$211,3,FALSE)</f>
        <v>429703.2</v>
      </c>
      <c r="E173" s="23">
        <f>VLOOKUP($B$3:$B$210,Costdrivere!$B$3:$H$211,4,FALSE)</f>
        <v>0</v>
      </c>
      <c r="F173" s="46">
        <f>VLOOKUP($B$3:$B$210,Costdrivere!$B$3:$H$211,5,FALSE)</f>
        <v>465405</v>
      </c>
      <c r="G173" s="23">
        <f>VLOOKUP($B$3:$B$210,Costdrivere!$B$3:$H$211,6,FALSE)</f>
        <v>268884</v>
      </c>
      <c r="H173" s="93">
        <f>VLOOKUP($B$3:$B$210,Costdrivere!$B$3:$H$211,7,FALSE)</f>
        <v>309337</v>
      </c>
      <c r="I173" s="27">
        <v>32.810922686986572</v>
      </c>
      <c r="J173" s="20">
        <f>VLOOKUP($B$3:$B$210,Costdrivere!$B$3:$I$211,8,FALSE)</f>
        <v>1.7956521739130434E-2</v>
      </c>
      <c r="K173" s="74">
        <f t="shared" si="47"/>
        <v>1658328.0168430072</v>
      </c>
      <c r="L173" s="89">
        <f t="shared" si="59"/>
        <v>1932941.511990123</v>
      </c>
      <c r="M173" s="167">
        <f t="shared" si="48"/>
        <v>1582381.7849593023</v>
      </c>
      <c r="N173" s="74">
        <f>K173+VLOOKUP($B$3:$B$210,'Potentialer og krav'!$B$2:$F$209,5,FALSE)</f>
        <v>1658328.0168430072</v>
      </c>
      <c r="O173" s="160">
        <f t="shared" si="49"/>
        <v>1932941.511990123</v>
      </c>
      <c r="P173" s="163">
        <f t="shared" si="50"/>
        <v>1582381.7849593023</v>
      </c>
      <c r="Q173" s="104">
        <f>N173+(0.25*VLOOKUP($B$3:$B$210,'Potentialer og krav'!$B$2:$C$209,2,FALSE))</f>
        <v>2061733.5168430072</v>
      </c>
      <c r="R173" s="53">
        <f>O173+(0.25*VLOOKUP($B$3:$B$210,'Potentialer og krav'!$B$2:$C$209,2,FALSE))</f>
        <v>2336347.011990123</v>
      </c>
      <c r="S173" s="104">
        <f>P173+(0.25*VLOOKUP($B$3:$B$210,'Potentialer og krav'!$B$2:$C$209,2,FALSE))</f>
        <v>1985787.2849593023</v>
      </c>
      <c r="T173" s="84">
        <v>1938915</v>
      </c>
      <c r="U173" s="92">
        <f t="shared" si="51"/>
        <v>1967998.7249999999</v>
      </c>
      <c r="W173" s="70">
        <f t="shared" si="52"/>
        <v>0.11155743312785202</v>
      </c>
      <c r="X173" s="73">
        <f t="shared" si="53"/>
        <v>0.2591183382513399</v>
      </c>
      <c r="Y173" s="62">
        <f t="shared" si="54"/>
        <v>0</v>
      </c>
      <c r="Z173" s="73">
        <f t="shared" si="55"/>
        <v>0.28064713088909937</v>
      </c>
      <c r="AA173" s="62">
        <f t="shared" si="56"/>
        <v>0.16214162534133625</v>
      </c>
      <c r="AB173" s="64">
        <f t="shared" si="57"/>
        <v>0.18653547239037252</v>
      </c>
      <c r="AC173" s="62"/>
      <c r="AD173" s="145">
        <f t="shared" si="58"/>
        <v>0.34867709773170874</v>
      </c>
      <c r="AF173" s="57">
        <f>W$212-W173</f>
        <v>7.1159724650658174E-3</v>
      </c>
      <c r="AG173" s="60">
        <f>X$212-X173</f>
        <v>3.0679658871728244E-2</v>
      </c>
      <c r="AH173" s="83">
        <f>Y$212-Y173</f>
        <v>4.91945139363381E-2</v>
      </c>
      <c r="AI173" s="60">
        <f>Z$212-Z173</f>
        <v>-4.9307928088818537E-2</v>
      </c>
      <c r="AJ173" s="83">
        <f>AA$212-AA173</f>
        <v>-1.3496711975172826E-2</v>
      </c>
      <c r="AK173" s="76">
        <f>AB$212-AB173</f>
        <v>-2.4185505209141062E-2</v>
      </c>
      <c r="AM173" s="57">
        <f>$AD$212-AD173</f>
        <v>-3.7682217184313749E-2</v>
      </c>
      <c r="AN173" s="106">
        <f>IF(AM173&lt;$AD$215,(AM173-$AD$215)*0.5683,0)</f>
        <v>0</v>
      </c>
    </row>
    <row r="174" spans="1:40" x14ac:dyDescent="0.25">
      <c r="A174" s="17" t="s">
        <v>58</v>
      </c>
      <c r="B174" s="90" t="s">
        <v>416</v>
      </c>
      <c r="C174" s="88">
        <f>VLOOKUP($B$3:$B$210,Costdrivere!$B$3:$H$211,2,FALSE)</f>
        <v>1364696.6574355341</v>
      </c>
      <c r="D174" s="46">
        <f>VLOOKUP($B$3:$B$210,Costdrivere!$B$3:$H$211,3,FALSE)</f>
        <v>3936481.3360000001</v>
      </c>
      <c r="E174" s="23">
        <f>VLOOKUP($B$3:$B$210,Costdrivere!$B$3:$H$211,4,FALSE)</f>
        <v>236695</v>
      </c>
      <c r="F174" s="46">
        <f>VLOOKUP($B$3:$B$210,Costdrivere!$B$3:$H$211,5,FALSE)</f>
        <v>1473108</v>
      </c>
      <c r="G174" s="23">
        <f>VLOOKUP($B$3:$B$210,Costdrivere!$B$3:$H$211,6,FALSE)</f>
        <v>1522725.4000000001</v>
      </c>
      <c r="H174" s="93">
        <f>VLOOKUP($B$3:$B$210,Costdrivere!$B$3:$H$211,7,FALSE)</f>
        <v>2163261.8000000003</v>
      </c>
      <c r="I174" s="27">
        <v>32.718008032250339</v>
      </c>
      <c r="J174" s="20">
        <f>VLOOKUP($B$3:$B$210,Costdrivere!$B$3:$I$211,8,FALSE)</f>
        <v>3.9673076923076922E-2</v>
      </c>
      <c r="K174" s="74">
        <f t="shared" si="47"/>
        <v>10696968.193435535</v>
      </c>
      <c r="L174" s="89">
        <f t="shared" si="59"/>
        <v>12450459.554149335</v>
      </c>
      <c r="M174" s="167">
        <f t="shared" si="48"/>
        <v>13353369.344535181</v>
      </c>
      <c r="N174" s="74">
        <f>K174+VLOOKUP($B$3:$B$210,'Potentialer og krav'!$B$2:$F$209,5,FALSE)</f>
        <v>10696968.193435535</v>
      </c>
      <c r="O174" s="160">
        <f t="shared" si="49"/>
        <v>12450459.554149335</v>
      </c>
      <c r="P174" s="163">
        <f t="shared" si="50"/>
        <v>13353369.344535181</v>
      </c>
      <c r="Q174" s="104">
        <f>N174+(0.25*VLOOKUP($B$3:$B$210,'Potentialer og krav'!$B$2:$C$209,2,FALSE))</f>
        <v>13917079.693435535</v>
      </c>
      <c r="R174" s="53">
        <f>O174+(0.25*VLOOKUP($B$3:$B$210,'Potentialer og krav'!$B$2:$C$209,2,FALSE))</f>
        <v>15670571.054149335</v>
      </c>
      <c r="S174" s="104">
        <f>P174+(0.25*VLOOKUP($B$3:$B$210,'Potentialer og krav'!$B$2:$C$209,2,FALSE))</f>
        <v>16573480.844535181</v>
      </c>
      <c r="T174" s="84">
        <v>11444309</v>
      </c>
      <c r="U174" s="92">
        <f t="shared" si="51"/>
        <v>11615973.635</v>
      </c>
      <c r="W174" s="70">
        <f t="shared" si="52"/>
        <v>0.12757789242310869</v>
      </c>
      <c r="X174" s="73">
        <f t="shared" si="53"/>
        <v>0.36799972336233749</v>
      </c>
      <c r="Y174" s="62">
        <f t="shared" si="54"/>
        <v>2.2127297727710726E-2</v>
      </c>
      <c r="Z174" s="73">
        <f t="shared" si="55"/>
        <v>0.13771266524883286</v>
      </c>
      <c r="AA174" s="62">
        <f t="shared" si="56"/>
        <v>0.14235111972516279</v>
      </c>
      <c r="AB174" s="64">
        <f t="shared" si="57"/>
        <v>0.20223130151284741</v>
      </c>
      <c r="AC174" s="62"/>
      <c r="AD174" s="145">
        <f t="shared" si="58"/>
        <v>0.34458242123801019</v>
      </c>
      <c r="AF174" s="57">
        <f>W$212-W174</f>
        <v>-8.9044868301908497E-3</v>
      </c>
      <c r="AG174" s="60">
        <f>X$212-X174</f>
        <v>-7.8201726239269354E-2</v>
      </c>
      <c r="AH174" s="83">
        <f>Y$212-Y174</f>
        <v>2.7067216208627374E-2</v>
      </c>
      <c r="AI174" s="60">
        <f>Z$212-Z174</f>
        <v>9.362653755144798E-2</v>
      </c>
      <c r="AJ174" s="83">
        <f>AA$212-AA174</f>
        <v>6.2937936410006334E-3</v>
      </c>
      <c r="AK174" s="76">
        <f>AB$212-AB174</f>
        <v>-3.9881334331615947E-2</v>
      </c>
      <c r="AM174" s="57">
        <f>$AD$212-AD174</f>
        <v>-3.3587540690615203E-2</v>
      </c>
      <c r="AN174" s="106">
        <f>IF(AM174&lt;$AD$215,(AM174-$AD$215)*0.5683,0)</f>
        <v>0</v>
      </c>
    </row>
    <row r="175" spans="1:40" x14ac:dyDescent="0.25">
      <c r="A175" s="17" t="s">
        <v>417</v>
      </c>
      <c r="B175" s="90" t="s">
        <v>418</v>
      </c>
      <c r="C175" s="88">
        <f>VLOOKUP($B$3:$B$210,Costdrivere!$B$3:$H$211,2,FALSE)</f>
        <v>154288.14996183768</v>
      </c>
      <c r="D175" s="46">
        <f>VLOOKUP($B$3:$B$210,Costdrivere!$B$3:$H$211,3,FALSE)</f>
        <v>375740.28499999997</v>
      </c>
      <c r="E175" s="23">
        <f>VLOOKUP($B$3:$B$210,Costdrivere!$B$3:$H$211,4,FALSE)</f>
        <v>0</v>
      </c>
      <c r="F175" s="46">
        <f>VLOOKUP($B$3:$B$210,Costdrivere!$B$3:$H$211,5,FALSE)</f>
        <v>199517.09999999998</v>
      </c>
      <c r="G175" s="23">
        <f>VLOOKUP($B$3:$B$210,Costdrivere!$B$3:$H$211,6,FALSE)</f>
        <v>139059.20000000001</v>
      </c>
      <c r="H175" s="93">
        <f>VLOOKUP($B$3:$B$210,Costdrivere!$B$3:$H$211,7,FALSE)</f>
        <v>208222.00000000003</v>
      </c>
      <c r="I175" s="27">
        <v>30.57</v>
      </c>
      <c r="J175" s="20">
        <f>VLOOKUP($B$3:$B$210,Costdrivere!$B$3:$I$211,8,FALSE)</f>
        <v>2.81947261663286E-2</v>
      </c>
      <c r="K175" s="74">
        <f t="shared" si="47"/>
        <v>1076826.7349618378</v>
      </c>
      <c r="L175" s="89">
        <f t="shared" si="59"/>
        <v>1211710.0517831575</v>
      </c>
      <c r="M175" s="167">
        <f t="shared" si="48"/>
        <v>1176830.9567255978</v>
      </c>
      <c r="N175" s="74">
        <f>K175+VLOOKUP($B$3:$B$210,'Potentialer og krav'!$B$2:$F$209,5,FALSE)</f>
        <v>1076826.7349618378</v>
      </c>
      <c r="O175" s="160">
        <f t="shared" si="49"/>
        <v>1211710.0517831575</v>
      </c>
      <c r="P175" s="163">
        <f t="shared" si="50"/>
        <v>1176830.9567255978</v>
      </c>
      <c r="Q175" s="104">
        <f>N175+(0.25*VLOOKUP($B$3:$B$210,'Potentialer og krav'!$B$2:$C$209,2,FALSE))</f>
        <v>1254901.2349618378</v>
      </c>
      <c r="R175" s="53">
        <f>O175+(0.25*VLOOKUP($B$3:$B$210,'Potentialer og krav'!$B$2:$C$209,2,FALSE))</f>
        <v>1389784.5517831575</v>
      </c>
      <c r="S175" s="104">
        <f>P175+(0.25*VLOOKUP($B$3:$B$210,'Potentialer og krav'!$B$2:$C$209,2,FALSE))</f>
        <v>1354905.4567255978</v>
      </c>
      <c r="T175" s="84">
        <v>734036</v>
      </c>
      <c r="U175" s="92">
        <f t="shared" si="51"/>
        <v>745046.53999999992</v>
      </c>
      <c r="W175" s="70">
        <f t="shared" si="52"/>
        <v>0.14328038574126373</v>
      </c>
      <c r="X175" s="73">
        <f t="shared" si="53"/>
        <v>0.34893290888929873</v>
      </c>
      <c r="Y175" s="62">
        <f t="shared" si="54"/>
        <v>0</v>
      </c>
      <c r="Z175" s="73">
        <f t="shared" si="55"/>
        <v>0.18528245401250254</v>
      </c>
      <c r="AA175" s="62">
        <f t="shared" si="56"/>
        <v>0.12913795273194828</v>
      </c>
      <c r="AB175" s="64">
        <f t="shared" si="57"/>
        <v>0.19336629862498661</v>
      </c>
      <c r="AC175" s="62"/>
      <c r="AD175" s="145">
        <f t="shared" si="58"/>
        <v>0.32250425135693489</v>
      </c>
      <c r="AF175" s="57">
        <f>W$212-W175</f>
        <v>-2.4606980148345892E-2</v>
      </c>
      <c r="AG175" s="60">
        <f>X$212-X175</f>
        <v>-5.9134911766230591E-2</v>
      </c>
      <c r="AH175" s="83">
        <f>Y$212-Y175</f>
        <v>4.91945139363381E-2</v>
      </c>
      <c r="AI175" s="60">
        <f>Z$212-Z175</f>
        <v>4.6056748787778296E-2</v>
      </c>
      <c r="AJ175" s="83">
        <f>AA$212-AA175</f>
        <v>1.9506960634215142E-2</v>
      </c>
      <c r="AK175" s="76">
        <f>AB$212-AB175</f>
        <v>-3.1016331443755152E-2</v>
      </c>
      <c r="AM175" s="57">
        <f>$AD$212-AD175</f>
        <v>-1.1509370809539898E-2</v>
      </c>
      <c r="AN175" s="106">
        <f>IF(AM175&lt;$AD$215,(AM175-$AD$215)*0.5683,0)</f>
        <v>0</v>
      </c>
    </row>
    <row r="176" spans="1:40" x14ac:dyDescent="0.25">
      <c r="A176" s="17" t="s">
        <v>59</v>
      </c>
      <c r="B176" s="90" t="s">
        <v>419</v>
      </c>
      <c r="C176" s="88">
        <f>VLOOKUP($B$3:$B$210,Costdrivere!$B$3:$H$211,2,FALSE)</f>
        <v>205195.42321167031</v>
      </c>
      <c r="D176" s="46">
        <f>VLOOKUP($B$3:$B$210,Costdrivere!$B$3:$H$211,3,FALSE)</f>
        <v>510662.89600000001</v>
      </c>
      <c r="E176" s="23">
        <f>VLOOKUP($B$3:$B$210,Costdrivere!$B$3:$H$211,4,FALSE)</f>
        <v>178851</v>
      </c>
      <c r="F176" s="46">
        <f>VLOOKUP($B$3:$B$210,Costdrivere!$B$3:$H$211,5,FALSE)</f>
        <v>178068</v>
      </c>
      <c r="G176" s="23">
        <f>VLOOKUP($B$3:$B$210,Costdrivere!$B$3:$H$211,6,FALSE)</f>
        <v>219452.80000000002</v>
      </c>
      <c r="H176" s="93">
        <f>VLOOKUP($B$3:$B$210,Costdrivere!$B$3:$H$211,7,FALSE)</f>
        <v>400565.2</v>
      </c>
      <c r="I176" s="27">
        <v>39.331500031583936</v>
      </c>
      <c r="J176" s="20">
        <f>VLOOKUP($B$3:$B$210,Costdrivere!$B$3:$I$211,8,FALSE)</f>
        <v>6.077272727272727E-2</v>
      </c>
      <c r="K176" s="74">
        <f t="shared" si="47"/>
        <v>1692795.3192116702</v>
      </c>
      <c r="L176" s="89">
        <f t="shared" si="59"/>
        <v>2171800.5332654114</v>
      </c>
      <c r="M176" s="167">
        <f t="shared" si="48"/>
        <v>2596927.1481935713</v>
      </c>
      <c r="N176" s="74">
        <f>K176+VLOOKUP($B$3:$B$210,'Potentialer og krav'!$B$2:$F$209,5,FALSE)</f>
        <v>1692795.3192116702</v>
      </c>
      <c r="O176" s="160">
        <f t="shared" si="49"/>
        <v>2171800.5332654114</v>
      </c>
      <c r="P176" s="163">
        <f t="shared" si="50"/>
        <v>2596927.1481935713</v>
      </c>
      <c r="Q176" s="104">
        <f>N176+(0.25*VLOOKUP($B$3:$B$210,'Potentialer og krav'!$B$2:$C$209,2,FALSE))</f>
        <v>2208757.0692116702</v>
      </c>
      <c r="R176" s="53">
        <f>O176+(0.25*VLOOKUP($B$3:$B$210,'Potentialer og krav'!$B$2:$C$209,2,FALSE))</f>
        <v>2687762.2832654114</v>
      </c>
      <c r="S176" s="104">
        <f>P176+(0.25*VLOOKUP($B$3:$B$210,'Potentialer og krav'!$B$2:$C$209,2,FALSE))</f>
        <v>3112888.8981935713</v>
      </c>
      <c r="T176" s="84">
        <v>1804446</v>
      </c>
      <c r="U176" s="92">
        <f t="shared" si="51"/>
        <v>1831512.6899999997</v>
      </c>
      <c r="W176" s="70">
        <f t="shared" si="52"/>
        <v>0.12121691316303333</v>
      </c>
      <c r="X176" s="73">
        <f t="shared" si="53"/>
        <v>0.30166842394024002</v>
      </c>
      <c r="Y176" s="62">
        <f t="shared" si="54"/>
        <v>0.10565423827098623</v>
      </c>
      <c r="Z176" s="73">
        <f t="shared" si="55"/>
        <v>0.10519168973300667</v>
      </c>
      <c r="AA176" s="62">
        <f t="shared" si="56"/>
        <v>0.12963929986656542</v>
      </c>
      <c r="AB176" s="64">
        <f t="shared" si="57"/>
        <v>0.23662943502616846</v>
      </c>
      <c r="AC176" s="62"/>
      <c r="AD176" s="145">
        <f t="shared" si="58"/>
        <v>0.36626873489273387</v>
      </c>
      <c r="AF176" s="57">
        <f>W$212-W176</f>
        <v>-2.5435075701154969E-3</v>
      </c>
      <c r="AG176" s="60">
        <f>X$212-X176</f>
        <v>-1.1870426817171875E-2</v>
      </c>
      <c r="AH176" s="83">
        <f>Y$212-Y176</f>
        <v>-5.6459724334648131E-2</v>
      </c>
      <c r="AI176" s="60">
        <f>Z$212-Z176</f>
        <v>0.12614751306727418</v>
      </c>
      <c r="AJ176" s="83">
        <f>AA$212-AA176</f>
        <v>1.9005613499598006E-2</v>
      </c>
      <c r="AK176" s="76">
        <f>AB$212-AB176</f>
        <v>-7.4279467844936997E-2</v>
      </c>
      <c r="AM176" s="57">
        <f>$AD$212-AD176</f>
        <v>-5.527385434533888E-2</v>
      </c>
      <c r="AN176" s="106">
        <f>IF(AM176&lt;$AD$215,(AM176-$AD$215)*0.5683,0)</f>
        <v>0</v>
      </c>
    </row>
    <row r="177" spans="1:40" x14ac:dyDescent="0.25">
      <c r="A177" s="17" t="s">
        <v>420</v>
      </c>
      <c r="B177" s="90" t="s">
        <v>421</v>
      </c>
      <c r="C177" s="88">
        <f>VLOOKUP($B$3:$B$210,Costdrivere!$B$3:$H$211,2,FALSE)</f>
        <v>1894138.9550840242</v>
      </c>
      <c r="D177" s="46">
        <f>VLOOKUP($B$3:$B$210,Costdrivere!$B$3:$H$211,3,FALSE)</f>
        <v>3433781.4469999997</v>
      </c>
      <c r="E177" s="23">
        <f>VLOOKUP($B$3:$B$210,Costdrivere!$B$3:$H$211,4,FALSE)</f>
        <v>460889</v>
      </c>
      <c r="F177" s="46">
        <f>VLOOKUP($B$3:$B$210,Costdrivere!$B$3:$H$211,5,FALSE)</f>
        <v>5176279</v>
      </c>
      <c r="G177" s="23">
        <f>VLOOKUP($B$3:$B$210,Costdrivere!$B$3:$H$211,6,FALSE)</f>
        <v>1879596.6</v>
      </c>
      <c r="H177" s="93">
        <f>VLOOKUP($B$3:$B$210,Costdrivere!$B$3:$H$211,7,FALSE)</f>
        <v>1851378.2000000002</v>
      </c>
      <c r="I177" s="27">
        <v>30.167047714313174</v>
      </c>
      <c r="J177" s="20">
        <f>VLOOKUP($B$3:$B$210,Costdrivere!$B$3:$I$211,8,FALSE)</f>
        <v>1.1681474480151229E-2</v>
      </c>
      <c r="K177" s="74">
        <f t="shared" si="47"/>
        <v>14696063.202084024</v>
      </c>
      <c r="L177" s="89">
        <f t="shared" si="59"/>
        <v>16430299.458135266</v>
      </c>
      <c r="M177" s="167">
        <f t="shared" si="48"/>
        <v>12774022.268847669</v>
      </c>
      <c r="N177" s="74">
        <f>K177+VLOOKUP($B$3:$B$210,'Potentialer og krav'!$B$2:$F$209,5,FALSE)</f>
        <v>14696063.202084024</v>
      </c>
      <c r="O177" s="160">
        <f t="shared" si="49"/>
        <v>16430299.458135266</v>
      </c>
      <c r="P177" s="163">
        <f t="shared" si="50"/>
        <v>12774022.268847669</v>
      </c>
      <c r="Q177" s="104">
        <f>N177+(0.25*VLOOKUP($B$3:$B$210,'Potentialer og krav'!$B$2:$C$209,2,FALSE))</f>
        <v>18872562.952084024</v>
      </c>
      <c r="R177" s="53">
        <f>O177+(0.25*VLOOKUP($B$3:$B$210,'Potentialer og krav'!$B$2:$C$209,2,FALSE))</f>
        <v>20606799.208135266</v>
      </c>
      <c r="S177" s="104">
        <f>P177+(0.25*VLOOKUP($B$3:$B$210,'Potentialer og krav'!$B$2:$C$209,2,FALSE))</f>
        <v>16950522.018847667</v>
      </c>
      <c r="T177" s="84">
        <v>9741916</v>
      </c>
      <c r="U177" s="92">
        <f t="shared" si="51"/>
        <v>9888044.7399999984</v>
      </c>
      <c r="W177" s="70">
        <f t="shared" si="52"/>
        <v>0.12888750742548655</v>
      </c>
      <c r="X177" s="73">
        <f t="shared" si="53"/>
        <v>0.2336531491313307</v>
      </c>
      <c r="Y177" s="62">
        <f t="shared" si="54"/>
        <v>3.1361392072309688E-2</v>
      </c>
      <c r="Z177" s="73">
        <f t="shared" si="55"/>
        <v>0.3522221515259924</v>
      </c>
      <c r="AA177" s="62">
        <f t="shared" si="56"/>
        <v>0.12789796656110308</v>
      </c>
      <c r="AB177" s="64">
        <f t="shared" si="57"/>
        <v>0.12597783328377762</v>
      </c>
      <c r="AC177" s="62"/>
      <c r="AD177" s="145">
        <f t="shared" si="58"/>
        <v>0.25387579984488073</v>
      </c>
      <c r="AF177" s="57">
        <f>W$212-W177</f>
        <v>-1.0214101832568712E-2</v>
      </c>
      <c r="AG177" s="60">
        <f>X$212-X177</f>
        <v>5.614484799173744E-2</v>
      </c>
      <c r="AH177" s="83">
        <f>Y$212-Y177</f>
        <v>1.7833121864028412E-2</v>
      </c>
      <c r="AI177" s="60">
        <f>Z$212-Z177</f>
        <v>-0.12088294872571156</v>
      </c>
      <c r="AJ177" s="83">
        <f>AA$212-AA177</f>
        <v>2.074694680506034E-2</v>
      </c>
      <c r="AK177" s="76">
        <f>AB$212-AB177</f>
        <v>3.6372133897453834E-2</v>
      </c>
      <c r="AM177" s="57">
        <f>$AD$212-AD177</f>
        <v>5.7119080702514258E-2</v>
      </c>
      <c r="AN177" s="106">
        <f>IF(AM177&lt;$AD$215,(AM177-$AD$215)*0.5683,0)</f>
        <v>0</v>
      </c>
    </row>
    <row r="178" spans="1:40" x14ac:dyDescent="0.25">
      <c r="A178" s="17" t="s">
        <v>422</v>
      </c>
      <c r="B178" s="90" t="s">
        <v>423</v>
      </c>
      <c r="C178" s="88">
        <f>VLOOKUP($B$3:$B$210,Costdrivere!$B$3:$H$211,2,FALSE)</f>
        <v>229106.28222348113</v>
      </c>
      <c r="D178" s="46">
        <f>VLOOKUP($B$3:$B$210,Costdrivere!$B$3:$H$211,3,FALSE)</f>
        <v>580300.94499999995</v>
      </c>
      <c r="E178" s="23">
        <f>VLOOKUP($B$3:$B$210,Costdrivere!$B$3:$H$211,4,FALSE)</f>
        <v>35453</v>
      </c>
      <c r="F178" s="46">
        <f>VLOOKUP($B$3:$B$210,Costdrivere!$B$3:$H$211,5,FALSE)</f>
        <v>424935</v>
      </c>
      <c r="G178" s="23">
        <f>VLOOKUP($B$3:$B$210,Costdrivere!$B$3:$H$211,6,FALSE)</f>
        <v>245798.00000000003</v>
      </c>
      <c r="H178" s="93">
        <f>VLOOKUP($B$3:$B$210,Costdrivere!$B$3:$H$211,7,FALSE)</f>
        <v>271138</v>
      </c>
      <c r="I178" s="27">
        <v>23.088797737990379</v>
      </c>
      <c r="J178" s="20">
        <f>VLOOKUP($B$3:$B$210,Costdrivere!$B$3:$I$211,8,FALSE)</f>
        <v>1.7238095238095236E-2</v>
      </c>
      <c r="K178" s="74">
        <f t="shared" si="47"/>
        <v>1786731.2272234811</v>
      </c>
      <c r="L178" s="89">
        <f t="shared" si="59"/>
        <v>1769933.0221687586</v>
      </c>
      <c r="M178" s="167">
        <f t="shared" si="48"/>
        <v>1687518.9769572457</v>
      </c>
      <c r="N178" s="74">
        <f>K178+VLOOKUP($B$3:$B$210,'Potentialer og krav'!$B$2:$F$209,5,FALSE)</f>
        <v>1786731.2272234811</v>
      </c>
      <c r="O178" s="160">
        <f t="shared" si="49"/>
        <v>1769933.0221687586</v>
      </c>
      <c r="P178" s="163">
        <f t="shared" si="50"/>
        <v>1687518.9769572457</v>
      </c>
      <c r="Q178" s="104">
        <f>N178+(0.25*VLOOKUP($B$3:$B$210,'Potentialer og krav'!$B$2:$C$209,2,FALSE))</f>
        <v>2120793.4772234811</v>
      </c>
      <c r="R178" s="53">
        <f>O178+(0.25*VLOOKUP($B$3:$B$210,'Potentialer og krav'!$B$2:$C$209,2,FALSE))</f>
        <v>2103995.2721687583</v>
      </c>
      <c r="S178" s="104">
        <f>P178+(0.25*VLOOKUP($B$3:$B$210,'Potentialer og krav'!$B$2:$C$209,2,FALSE))</f>
        <v>2021581.2269572457</v>
      </c>
      <c r="T178" s="84">
        <v>1764300</v>
      </c>
      <c r="U178" s="92">
        <f t="shared" si="51"/>
        <v>1790764.4999999998</v>
      </c>
      <c r="W178" s="70">
        <f t="shared" si="52"/>
        <v>0.12822649469193217</v>
      </c>
      <c r="X178" s="73">
        <f t="shared" si="53"/>
        <v>0.32478356909996342</v>
      </c>
      <c r="Y178" s="62">
        <f t="shared" si="54"/>
        <v>1.9842380017666531E-2</v>
      </c>
      <c r="Z178" s="73">
        <f t="shared" si="55"/>
        <v>0.23782815989640166</v>
      </c>
      <c r="AA178" s="62">
        <f t="shared" si="56"/>
        <v>0.13756853647314468</v>
      </c>
      <c r="AB178" s="64">
        <f t="shared" si="57"/>
        <v>0.15175085982089154</v>
      </c>
      <c r="AC178" s="62"/>
      <c r="AD178" s="145">
        <f t="shared" si="58"/>
        <v>0.28931939629403625</v>
      </c>
      <c r="AF178" s="57">
        <f>W$212-W178</f>
        <v>-9.5530890990143391E-3</v>
      </c>
      <c r="AG178" s="60">
        <f>X$212-X178</f>
        <v>-3.498557197689528E-2</v>
      </c>
      <c r="AH178" s="83">
        <f>Y$212-Y178</f>
        <v>2.9352133918671568E-2</v>
      </c>
      <c r="AI178" s="60">
        <f>Z$212-Z178</f>
        <v>-6.4889570961208232E-3</v>
      </c>
      <c r="AJ178" s="83">
        <f>AA$212-AA178</f>
        <v>1.1076376893018741E-2</v>
      </c>
      <c r="AK178" s="76">
        <f>AB$212-AB178</f>
        <v>1.0599107360339921E-2</v>
      </c>
      <c r="AM178" s="57">
        <f>$AD$212-AD178</f>
        <v>2.1675484253358746E-2</v>
      </c>
      <c r="AN178" s="106">
        <f>IF(AM178&lt;$AD$215,(AM178-$AD$215)*0.5683,0)</f>
        <v>0</v>
      </c>
    </row>
    <row r="179" spans="1:40" x14ac:dyDescent="0.25">
      <c r="A179" s="17" t="s">
        <v>424</v>
      </c>
      <c r="B179" s="90" t="s">
        <v>425</v>
      </c>
      <c r="C179" s="88">
        <f>VLOOKUP($B$3:$B$210,Costdrivere!$B$3:$H$211,2,FALSE)</f>
        <v>138088.91545974842</v>
      </c>
      <c r="D179" s="46">
        <f>VLOOKUP($B$3:$B$210,Costdrivere!$B$3:$H$211,3,FALSE)</f>
        <v>337099.25699999998</v>
      </c>
      <c r="E179" s="23">
        <f>VLOOKUP($B$3:$B$210,Costdrivere!$B$3:$H$211,4,FALSE)</f>
        <v>0</v>
      </c>
      <c r="F179" s="46">
        <f>VLOOKUP($B$3:$B$210,Costdrivere!$B$3:$H$211,5,FALSE)</f>
        <v>121410</v>
      </c>
      <c r="G179" s="23">
        <f>VLOOKUP($B$3:$B$210,Costdrivere!$B$3:$H$211,6,FALSE)</f>
        <v>103208.00000000001</v>
      </c>
      <c r="H179" s="93">
        <f>VLOOKUP($B$3:$B$210,Costdrivere!$B$3:$H$211,7,FALSE)</f>
        <v>113848.00000000001</v>
      </c>
      <c r="I179" s="27">
        <v>24.380488892963633</v>
      </c>
      <c r="J179" s="20">
        <f>VLOOKUP($B$3:$B$210,Costdrivere!$B$3:$I$211,8,FALSE)</f>
        <v>2.5333333333333333E-2</v>
      </c>
      <c r="K179" s="74">
        <f t="shared" si="47"/>
        <v>813654.17245974834</v>
      </c>
      <c r="L179" s="89">
        <f t="shared" si="59"/>
        <v>824922.30642298656</v>
      </c>
      <c r="M179" s="167">
        <f t="shared" si="48"/>
        <v>857684.79678435007</v>
      </c>
      <c r="N179" s="74">
        <f>K179+VLOOKUP($B$3:$B$210,'Potentialer og krav'!$B$2:$F$209,5,FALSE)</f>
        <v>813654.17245974834</v>
      </c>
      <c r="O179" s="160">
        <f t="shared" si="49"/>
        <v>824922.30642298656</v>
      </c>
      <c r="P179" s="163">
        <f t="shared" si="50"/>
        <v>857684.79678435007</v>
      </c>
      <c r="Q179" s="104">
        <f>N179+(0.25*VLOOKUP($B$3:$B$210,'Potentialer og krav'!$B$2:$C$209,2,FALSE))</f>
        <v>950268.42245974834</v>
      </c>
      <c r="R179" s="53">
        <f>O179+(0.25*VLOOKUP($B$3:$B$210,'Potentialer og krav'!$B$2:$C$209,2,FALSE))</f>
        <v>961536.55642298656</v>
      </c>
      <c r="S179" s="104">
        <f>P179+(0.25*VLOOKUP($B$3:$B$210,'Potentialer og krav'!$B$2:$C$209,2,FALSE))</f>
        <v>994299.04678435007</v>
      </c>
      <c r="T179" s="84">
        <v>568605</v>
      </c>
      <c r="U179" s="92">
        <f t="shared" si="51"/>
        <v>577134.07499999995</v>
      </c>
      <c r="W179" s="70">
        <f t="shared" si="52"/>
        <v>0.16971450541732422</v>
      </c>
      <c r="X179" s="73">
        <f t="shared" si="53"/>
        <v>0.41430286774160968</v>
      </c>
      <c r="Y179" s="62">
        <f t="shared" si="54"/>
        <v>0</v>
      </c>
      <c r="Z179" s="73">
        <f t="shared" si="55"/>
        <v>0.14921572838859395</v>
      </c>
      <c r="AA179" s="62">
        <f t="shared" si="56"/>
        <v>0.12684504485240103</v>
      </c>
      <c r="AB179" s="64">
        <f t="shared" si="57"/>
        <v>0.13992185360007123</v>
      </c>
      <c r="AC179" s="62"/>
      <c r="AD179" s="145">
        <f t="shared" si="58"/>
        <v>0.26676689845247226</v>
      </c>
      <c r="AF179" s="57">
        <f>W$212-W179</f>
        <v>-5.1041099824406383E-2</v>
      </c>
      <c r="AG179" s="60">
        <f>X$212-X179</f>
        <v>-0.12450487061854154</v>
      </c>
      <c r="AH179" s="83">
        <f>Y$212-Y179</f>
        <v>4.91945139363381E-2</v>
      </c>
      <c r="AI179" s="60">
        <f>Z$212-Z179</f>
        <v>8.2123474411686881E-2</v>
      </c>
      <c r="AJ179" s="83">
        <f>AA$212-AA179</f>
        <v>2.1799868513762394E-2</v>
      </c>
      <c r="AK179" s="76">
        <f>AB$212-AB179</f>
        <v>2.2428113581160231E-2</v>
      </c>
      <c r="AM179" s="57">
        <f>$AD$212-AD179</f>
        <v>4.4227982094922735E-2</v>
      </c>
      <c r="AN179" s="106">
        <f>IF(AM179&lt;$AD$215,(AM179-$AD$215)*0.5683,0)</f>
        <v>0</v>
      </c>
    </row>
    <row r="180" spans="1:40" x14ac:dyDescent="0.25">
      <c r="A180" s="17" t="s">
        <v>61</v>
      </c>
      <c r="B180" s="90" t="s">
        <v>426</v>
      </c>
      <c r="C180" s="88">
        <f>VLOOKUP($B$3:$B$210,Costdrivere!$B$3:$H$211,2,FALSE)</f>
        <v>6237194.0918143205</v>
      </c>
      <c r="D180" s="46">
        <f>VLOOKUP($B$3:$B$210,Costdrivere!$B$3:$H$211,3,FALSE)</f>
        <v>20097241.245999999</v>
      </c>
      <c r="E180" s="23">
        <f>VLOOKUP($B$3:$B$210,Costdrivere!$B$3:$H$211,4,FALSE)</f>
        <v>1953762</v>
      </c>
      <c r="F180" s="46">
        <f>VLOOKUP($B$3:$B$210,Costdrivere!$B$3:$H$211,5,FALSE)</f>
        <v>14139197</v>
      </c>
      <c r="G180" s="23">
        <f>VLOOKUP($B$3:$B$210,Costdrivere!$B$3:$H$211,6,FALSE)</f>
        <v>7711628.4000000004</v>
      </c>
      <c r="H180" s="93">
        <f>VLOOKUP($B$3:$B$210,Costdrivere!$B$3:$H$211,7,FALSE)</f>
        <v>7064568.0000000009</v>
      </c>
      <c r="I180" s="27">
        <v>32.076393469127723</v>
      </c>
      <c r="J180" s="20">
        <f>VLOOKUP($B$3:$B$210,Costdrivere!$B$3:$I$211,8,FALSE)</f>
        <v>3.3117977528089891E-2</v>
      </c>
      <c r="K180" s="74">
        <f t="shared" si="47"/>
        <v>57203590.737814315</v>
      </c>
      <c r="L180" s="89">
        <f t="shared" si="59"/>
        <v>65919992.592598699</v>
      </c>
      <c r="M180" s="167">
        <f t="shared" si="48"/>
        <v>66330417.212662846</v>
      </c>
      <c r="N180" s="74">
        <f>K180+VLOOKUP($B$3:$B$210,'Potentialer og krav'!$B$2:$F$209,5,FALSE)</f>
        <v>57203590.737814315</v>
      </c>
      <c r="O180" s="160">
        <f t="shared" si="49"/>
        <v>65919992.592598699</v>
      </c>
      <c r="P180" s="163">
        <f t="shared" si="50"/>
        <v>66330417.212662846</v>
      </c>
      <c r="Q180" s="104">
        <f>N180+(0.25*VLOOKUP($B$3:$B$210,'Potentialer og krav'!$B$2:$C$209,2,FALSE))</f>
        <v>70803342.487814307</v>
      </c>
      <c r="R180" s="53">
        <f>O180+(0.25*VLOOKUP($B$3:$B$210,'Potentialer og krav'!$B$2:$C$209,2,FALSE))</f>
        <v>79519744.342598706</v>
      </c>
      <c r="S180" s="104">
        <f>P180+(0.25*VLOOKUP($B$3:$B$210,'Potentialer og krav'!$B$2:$C$209,2,FALSE))</f>
        <v>79930168.962662846</v>
      </c>
      <c r="T180" s="84">
        <v>51622405</v>
      </c>
      <c r="U180" s="92">
        <f t="shared" si="51"/>
        <v>52396741.074999996</v>
      </c>
      <c r="W180" s="70">
        <f t="shared" si="52"/>
        <v>0.10903501006434613</v>
      </c>
      <c r="X180" s="73">
        <f t="shared" si="53"/>
        <v>0.35132831675048609</v>
      </c>
      <c r="Y180" s="62">
        <f t="shared" si="54"/>
        <v>3.4154534266123783E-2</v>
      </c>
      <c r="Z180" s="73">
        <f t="shared" si="55"/>
        <v>0.24717324240719932</v>
      </c>
      <c r="AA180" s="62">
        <f t="shared" si="56"/>
        <v>0.13481021559197759</v>
      </c>
      <c r="AB180" s="64">
        <f t="shared" si="57"/>
        <v>0.1234986809198672</v>
      </c>
      <c r="AC180" s="62"/>
      <c r="AD180" s="145">
        <f t="shared" si="58"/>
        <v>0.2583088965118448</v>
      </c>
      <c r="AF180" s="57">
        <f>W$212-W180</f>
        <v>9.6383955285717082E-3</v>
      </c>
      <c r="AG180" s="60">
        <f>X$212-X180</f>
        <v>-6.1530319627417951E-2</v>
      </c>
      <c r="AH180" s="83">
        <f>Y$212-Y180</f>
        <v>1.5039979670214317E-2</v>
      </c>
      <c r="AI180" s="60">
        <f>Z$212-Z180</f>
        <v>-1.5834039606918482E-2</v>
      </c>
      <c r="AJ180" s="83">
        <f>AA$212-AA180</f>
        <v>1.3834697774185833E-2</v>
      </c>
      <c r="AK180" s="76">
        <f>AB$212-AB180</f>
        <v>3.8851286261364262E-2</v>
      </c>
      <c r="AM180" s="57">
        <f>$AD$212-AD180</f>
        <v>5.2685984035550193E-2</v>
      </c>
      <c r="AN180" s="106">
        <f>IF(AM180&lt;$AD$215,(AM180-$AD$215)*0.5683,0)</f>
        <v>0</v>
      </c>
    </row>
    <row r="181" spans="1:40" x14ac:dyDescent="0.25">
      <c r="A181" s="17" t="s">
        <v>427</v>
      </c>
      <c r="B181" s="90" t="s">
        <v>428</v>
      </c>
      <c r="C181" s="88">
        <f>VLOOKUP($B$3:$B$210,Costdrivere!$B$3:$H$211,2,FALSE)</f>
        <v>166836.95055991819</v>
      </c>
      <c r="D181" s="46">
        <f>VLOOKUP($B$3:$B$210,Costdrivere!$B$3:$H$211,3,FALSE)</f>
        <v>359640.93199999997</v>
      </c>
      <c r="E181" s="23">
        <f>VLOOKUP($B$3:$B$210,Costdrivere!$B$3:$H$211,4,FALSE)</f>
        <v>0</v>
      </c>
      <c r="F181" s="46">
        <f>VLOOKUP($B$3:$B$210,Costdrivere!$B$3:$H$211,5,FALSE)</f>
        <v>194256</v>
      </c>
      <c r="G181" s="23">
        <f>VLOOKUP($B$3:$B$210,Costdrivere!$B$3:$H$211,6,FALSE)</f>
        <v>236699.40000000002</v>
      </c>
      <c r="H181" s="93">
        <f>VLOOKUP($B$3:$B$210,Costdrivere!$B$3:$H$211,7,FALSE)</f>
        <v>276081.40000000002</v>
      </c>
      <c r="I181" s="27">
        <v>29.936235812685695</v>
      </c>
      <c r="J181" s="20">
        <f>VLOOKUP($B$3:$B$210,Costdrivere!$B$3:$I$211,8,FALSE)</f>
        <v>3.839583333333333E-2</v>
      </c>
      <c r="K181" s="74">
        <f t="shared" si="47"/>
        <v>1233514.6825599181</v>
      </c>
      <c r="L181" s="89">
        <f t="shared" si="59"/>
        <v>1373953.0979513822</v>
      </c>
      <c r="M181" s="167">
        <f t="shared" si="48"/>
        <v>1518497.4858015643</v>
      </c>
      <c r="N181" s="74">
        <f>K181+VLOOKUP($B$3:$B$210,'Potentialer og krav'!$B$2:$F$209,5,FALSE)</f>
        <v>1233514.6825599181</v>
      </c>
      <c r="O181" s="160">
        <f t="shared" si="49"/>
        <v>1373953.0979513822</v>
      </c>
      <c r="P181" s="163">
        <f t="shared" si="50"/>
        <v>1518497.4858015643</v>
      </c>
      <c r="Q181" s="104">
        <f>N181+(0.25*VLOOKUP($B$3:$B$210,'Potentialer og krav'!$B$2:$C$209,2,FALSE))</f>
        <v>1581872.6825599181</v>
      </c>
      <c r="R181" s="53">
        <f>O181+(0.25*VLOOKUP($B$3:$B$210,'Potentialer og krav'!$B$2:$C$209,2,FALSE))</f>
        <v>1722311.0979513822</v>
      </c>
      <c r="S181" s="104">
        <f>P181+(0.25*VLOOKUP($B$3:$B$210,'Potentialer og krav'!$B$2:$C$209,2,FALSE))</f>
        <v>1866855.4858015643</v>
      </c>
      <c r="T181" s="84">
        <v>1231689</v>
      </c>
      <c r="U181" s="92">
        <f t="shared" si="51"/>
        <v>1250164.335</v>
      </c>
      <c r="W181" s="70">
        <f t="shared" si="52"/>
        <v>0.13525331552088279</v>
      </c>
      <c r="X181" s="73">
        <f t="shared" si="53"/>
        <v>0.29155788502949609</v>
      </c>
      <c r="Y181" s="62">
        <f t="shared" si="54"/>
        <v>0</v>
      </c>
      <c r="Z181" s="73">
        <f t="shared" si="55"/>
        <v>0.1574817087680381</v>
      </c>
      <c r="AA181" s="62">
        <f t="shared" si="56"/>
        <v>0.19189021691154642</v>
      </c>
      <c r="AB181" s="64">
        <f t="shared" si="57"/>
        <v>0.22381687377003665</v>
      </c>
      <c r="AC181" s="62"/>
      <c r="AD181" s="145">
        <f t="shared" si="58"/>
        <v>0.41570709068158307</v>
      </c>
      <c r="AF181" s="57">
        <f>W$212-W181</f>
        <v>-1.6579909927964959E-2</v>
      </c>
      <c r="AG181" s="60">
        <f>X$212-X181</f>
        <v>-1.7598879064279482E-3</v>
      </c>
      <c r="AH181" s="83">
        <f>Y$212-Y181</f>
        <v>4.91945139363381E-2</v>
      </c>
      <c r="AI181" s="60">
        <f>Z$212-Z181</f>
        <v>7.3857494032242732E-2</v>
      </c>
      <c r="AJ181" s="83">
        <f>AA$212-AA181</f>
        <v>-4.3245303545383001E-2</v>
      </c>
      <c r="AK181" s="76">
        <f>AB$212-AB181</f>
        <v>-6.1466906588805187E-2</v>
      </c>
      <c r="AM181" s="57">
        <f>$AD$212-AD181</f>
        <v>-0.10471221013418808</v>
      </c>
      <c r="AN181" s="106">
        <f>IF(AM181&lt;$AD$215,(AM181-$AD$215)*0.5683,0)</f>
        <v>0</v>
      </c>
    </row>
    <row r="182" spans="1:40" x14ac:dyDescent="0.25">
      <c r="A182" s="17" t="s">
        <v>77</v>
      </c>
      <c r="B182" s="90" t="s">
        <v>429</v>
      </c>
      <c r="C182" s="88">
        <f>VLOOKUP($B$3:$B$210,Costdrivere!$B$3:$H$211,2,FALSE)</f>
        <v>1026250.4998212975</v>
      </c>
      <c r="D182" s="46">
        <f>VLOOKUP($B$3:$B$210,Costdrivere!$B$3:$H$211,3,FALSE)</f>
        <v>2671365.7480000001</v>
      </c>
      <c r="E182" s="23">
        <f>VLOOKUP($B$3:$B$210,Costdrivere!$B$3:$H$211,4,FALSE)</f>
        <v>91922</v>
      </c>
      <c r="F182" s="46">
        <f>VLOOKUP($B$3:$B$210,Costdrivere!$B$3:$H$211,5,FALSE)</f>
        <v>2221803</v>
      </c>
      <c r="G182" s="23">
        <f>VLOOKUP($B$3:$B$210,Costdrivere!$B$3:$H$211,6,FALSE)</f>
        <v>633778.60000000009</v>
      </c>
      <c r="H182" s="93">
        <f>VLOOKUP($B$3:$B$210,Costdrivere!$B$3:$H$211,7,FALSE)</f>
        <v>1414711.2000000002</v>
      </c>
      <c r="I182" s="27">
        <v>31.886069183348226</v>
      </c>
      <c r="J182" s="20">
        <f>VLOOKUP($B$3:$B$210,Costdrivere!$B$3:$I$211,8,FALSE)</f>
        <v>1.7202185792349726E-2</v>
      </c>
      <c r="K182" s="74">
        <f t="shared" si="47"/>
        <v>8059831.0478212973</v>
      </c>
      <c r="L182" s="89">
        <f t="shared" si="59"/>
        <v>9260336.7996419482</v>
      </c>
      <c r="M182" s="167">
        <f t="shared" si="48"/>
        <v>7608370.9306752877</v>
      </c>
      <c r="N182" s="74">
        <f>K182+VLOOKUP($B$3:$B$210,'Potentialer og krav'!$B$2:$F$209,5,FALSE)</f>
        <v>8271611.0478212973</v>
      </c>
      <c r="O182" s="160">
        <f t="shared" si="49"/>
        <v>9503661.2708116397</v>
      </c>
      <c r="P182" s="163">
        <f t="shared" si="50"/>
        <v>7808288.3713931022</v>
      </c>
      <c r="Q182" s="104">
        <f>N182+(0.25*VLOOKUP($B$3:$B$210,'Potentialer og krav'!$B$2:$C$209,2,FALSE))</f>
        <v>10190441.797821298</v>
      </c>
      <c r="R182" s="53">
        <f>O182+(0.25*VLOOKUP($B$3:$B$210,'Potentialer og krav'!$B$2:$C$209,2,FALSE))</f>
        <v>11422492.02081164</v>
      </c>
      <c r="S182" s="104">
        <f>P182+(0.25*VLOOKUP($B$3:$B$210,'Potentialer og krav'!$B$2:$C$209,2,FALSE))</f>
        <v>9727119.1213931032</v>
      </c>
      <c r="T182" s="84">
        <v>8886449</v>
      </c>
      <c r="U182" s="92">
        <f t="shared" si="51"/>
        <v>9019745.7349999994</v>
      </c>
      <c r="W182" s="70">
        <f t="shared" si="52"/>
        <v>0.12732903378895388</v>
      </c>
      <c r="X182" s="73">
        <f t="shared" si="53"/>
        <v>0.33144190394935308</v>
      </c>
      <c r="Y182" s="62">
        <f t="shared" si="54"/>
        <v>1.1404953708657206E-2</v>
      </c>
      <c r="Z182" s="73">
        <f t="shared" si="55"/>
        <v>0.27566371885681018</v>
      </c>
      <c r="AA182" s="62">
        <f t="shared" si="56"/>
        <v>7.863422896083172E-2</v>
      </c>
      <c r="AB182" s="64">
        <f t="shared" si="57"/>
        <v>0.17552616073539401</v>
      </c>
      <c r="AC182" s="62"/>
      <c r="AD182" s="145">
        <f t="shared" si="58"/>
        <v>0.25416038969622573</v>
      </c>
      <c r="AF182" s="57">
        <f>W$212-W182</f>
        <v>-8.6556281960360471E-3</v>
      </c>
      <c r="AG182" s="60">
        <f>X$212-X182</f>
        <v>-4.1643906826284938E-2</v>
      </c>
      <c r="AH182" s="83">
        <f>Y$212-Y182</f>
        <v>3.7789560227680895E-2</v>
      </c>
      <c r="AI182" s="60">
        <f>Z$212-Z182</f>
        <v>-4.4324516056529345E-2</v>
      </c>
      <c r="AJ182" s="83">
        <f>AA$212-AA182</f>
        <v>7.0010684405331702E-2</v>
      </c>
      <c r="AK182" s="76">
        <f>AB$212-AB182</f>
        <v>-1.3176193554162552E-2</v>
      </c>
      <c r="AM182" s="57">
        <f>$AD$212-AD182</f>
        <v>5.6834490851169261E-2</v>
      </c>
      <c r="AN182" s="106">
        <f>IF(AM182&lt;$AD$215,(AM182-$AD$215)*0.5683,0)</f>
        <v>0</v>
      </c>
    </row>
    <row r="183" spans="1:40" x14ac:dyDescent="0.25">
      <c r="A183" s="17" t="s">
        <v>62</v>
      </c>
      <c r="B183" s="90" t="s">
        <v>430</v>
      </c>
      <c r="C183" s="88">
        <f>VLOOKUP($B$3:$B$210,Costdrivere!$B$3:$H$211,2,FALSE)</f>
        <v>462584.66047497722</v>
      </c>
      <c r="D183" s="46">
        <f>VLOOKUP($B$3:$B$210,Costdrivere!$B$3:$H$211,3,FALSE)</f>
        <v>1185529.192</v>
      </c>
      <c r="E183" s="23">
        <f>VLOOKUP($B$3:$B$210,Costdrivere!$B$3:$H$211,4,FALSE)</f>
        <v>705302</v>
      </c>
      <c r="F183" s="46">
        <f>VLOOKUP($B$3:$B$210,Costdrivere!$B$3:$H$211,5,FALSE)</f>
        <v>2887375</v>
      </c>
      <c r="G183" s="23">
        <f>VLOOKUP($B$3:$B$210,Costdrivere!$B$3:$H$211,6,FALSE)</f>
        <v>1475968.8000000003</v>
      </c>
      <c r="H183" s="93">
        <f>VLOOKUP($B$3:$B$210,Costdrivere!$B$3:$H$211,7,FALSE)</f>
        <v>1444821</v>
      </c>
      <c r="I183" s="27">
        <v>40.521324679811002</v>
      </c>
      <c r="J183" s="20">
        <f>VLOOKUP($B$3:$B$210,Costdrivere!$B$3:$I$211,8,FALSE)</f>
        <v>5.0497382198952882E-2</v>
      </c>
      <c r="K183" s="74">
        <f t="shared" si="47"/>
        <v>8161580.6524749771</v>
      </c>
      <c r="L183" s="89">
        <f t="shared" si="59"/>
        <v>10645833.946522353</v>
      </c>
      <c r="M183" s="167">
        <f t="shared" si="48"/>
        <v>11384887.113042865</v>
      </c>
      <c r="N183" s="74">
        <f>K183+VLOOKUP($B$3:$B$210,'Potentialer og krav'!$B$2:$F$209,5,FALSE)</f>
        <v>8798749.6524749771</v>
      </c>
      <c r="O183" s="160">
        <f t="shared" si="49"/>
        <v>11476946.896170741</v>
      </c>
      <c r="P183" s="163">
        <f t="shared" si="50"/>
        <v>12273697.436167054</v>
      </c>
      <c r="Q183" s="104">
        <f>N183+(0.25*VLOOKUP($B$3:$B$210,'Potentialer og krav'!$B$2:$C$209,2,FALSE))</f>
        <v>11356134.902474977</v>
      </c>
      <c r="R183" s="53">
        <f>O183+(0.25*VLOOKUP($B$3:$B$210,'Potentialer og krav'!$B$2:$C$209,2,FALSE))</f>
        <v>14034332.146170741</v>
      </c>
      <c r="S183" s="104">
        <f>P183+(0.25*VLOOKUP($B$3:$B$210,'Potentialer og krav'!$B$2:$C$209,2,FALSE))</f>
        <v>14831082.686167054</v>
      </c>
      <c r="T183" s="84">
        <v>7272702</v>
      </c>
      <c r="U183" s="92">
        <f t="shared" si="51"/>
        <v>7381792.5299999993</v>
      </c>
      <c r="W183" s="70">
        <f t="shared" si="52"/>
        <v>5.667831761666163E-2</v>
      </c>
      <c r="X183" s="73">
        <f t="shared" si="53"/>
        <v>0.14525730278000643</v>
      </c>
      <c r="Y183" s="62">
        <f t="shared" si="54"/>
        <v>8.6417328950381581E-2</v>
      </c>
      <c r="Z183" s="73">
        <f t="shared" si="55"/>
        <v>0.35377644637064409</v>
      </c>
      <c r="AA183" s="62">
        <f t="shared" si="56"/>
        <v>0.18084349868581115</v>
      </c>
      <c r="AB183" s="64">
        <f t="shared" si="57"/>
        <v>0.1770271055964952</v>
      </c>
      <c r="AC183" s="62"/>
      <c r="AD183" s="145">
        <f t="shared" si="58"/>
        <v>0.35787060428230633</v>
      </c>
      <c r="AF183" s="57">
        <f>W$212-W183</f>
        <v>6.1995087976256205E-2</v>
      </c>
      <c r="AG183" s="60">
        <f>X$212-X183</f>
        <v>0.14454069434306172</v>
      </c>
      <c r="AH183" s="83">
        <f>Y$212-Y183</f>
        <v>-3.7222815014043481E-2</v>
      </c>
      <c r="AI183" s="60">
        <f>Z$212-Z183</f>
        <v>-0.12243724357036326</v>
      </c>
      <c r="AJ183" s="83">
        <f>AA$212-AA183</f>
        <v>-3.2198585319647727E-2</v>
      </c>
      <c r="AK183" s="76">
        <f>AB$212-AB183</f>
        <v>-1.4677138415263746E-2</v>
      </c>
      <c r="AM183" s="57">
        <f>$AD$212-AD183</f>
        <v>-4.6875723734911334E-2</v>
      </c>
      <c r="AN183" s="106">
        <f>IF(AM183&lt;$AD$215,(AM183-$AD$215)*0.5683,0)</f>
        <v>0</v>
      </c>
    </row>
    <row r="184" spans="1:40" x14ac:dyDescent="0.25">
      <c r="A184" s="17" t="s">
        <v>431</v>
      </c>
      <c r="B184" s="90" t="s">
        <v>432</v>
      </c>
      <c r="C184" s="88">
        <f>VLOOKUP($B$3:$B$210,Costdrivere!$B$3:$H$211,2,FALSE)</f>
        <v>188605.83620894022</v>
      </c>
      <c r="D184" s="46">
        <f>VLOOKUP($B$3:$B$210,Costdrivere!$B$3:$H$211,3,FALSE)</f>
        <v>426345.57920000004</v>
      </c>
      <c r="E184" s="23">
        <f>VLOOKUP($B$3:$B$210,Costdrivere!$B$3:$H$211,4,FALSE)</f>
        <v>106359</v>
      </c>
      <c r="F184" s="46">
        <f>VLOOKUP($B$3:$B$210,Costdrivere!$B$3:$H$211,5,FALSE)</f>
        <v>374347.5</v>
      </c>
      <c r="G184" s="23">
        <f>VLOOKUP($B$3:$B$210,Costdrivere!$B$3:$H$211,6,FALSE)</f>
        <v>172601.80000000002</v>
      </c>
      <c r="H184" s="93">
        <f>VLOOKUP($B$3:$B$210,Costdrivere!$B$3:$H$211,7,FALSE)</f>
        <v>190395.80000000002</v>
      </c>
      <c r="I184" s="27">
        <v>15.347707675464392</v>
      </c>
      <c r="J184" s="20">
        <f>VLOOKUP($B$3:$B$210,Costdrivere!$B$3:$I$211,8,FALSE)</f>
        <v>1.374054054054054E-2</v>
      </c>
      <c r="K184" s="74">
        <f t="shared" si="47"/>
        <v>1458655.5154089404</v>
      </c>
      <c r="L184" s="89">
        <f t="shared" si="59"/>
        <v>1241693.2534547453</v>
      </c>
      <c r="M184" s="167">
        <f t="shared" si="48"/>
        <v>1308562.6067226541</v>
      </c>
      <c r="N184" s="74">
        <f>K184+VLOOKUP($B$3:$B$210,'Potentialer og krav'!$B$2:$F$209,5,FALSE)</f>
        <v>1458655.5154089404</v>
      </c>
      <c r="O184" s="160">
        <f t="shared" si="49"/>
        <v>1241693.2534547453</v>
      </c>
      <c r="P184" s="163">
        <f t="shared" si="50"/>
        <v>1308562.6067226541</v>
      </c>
      <c r="Q184" s="104">
        <f>N184+(0.25*VLOOKUP($B$3:$B$210,'Potentialer og krav'!$B$2:$C$209,2,FALSE))</f>
        <v>1740431.5154089404</v>
      </c>
      <c r="R184" s="53">
        <f>O184+(0.25*VLOOKUP($B$3:$B$210,'Potentialer og krav'!$B$2:$C$209,2,FALSE))</f>
        <v>1523469.2534547453</v>
      </c>
      <c r="S184" s="104">
        <f>P184+(0.25*VLOOKUP($B$3:$B$210,'Potentialer og krav'!$B$2:$C$209,2,FALSE))</f>
        <v>1590338.6067226541</v>
      </c>
      <c r="T184" s="84">
        <v>903642</v>
      </c>
      <c r="U184" s="92">
        <f t="shared" si="51"/>
        <v>917196.62999999989</v>
      </c>
      <c r="W184" s="70">
        <f t="shared" si="52"/>
        <v>0.1293011504200591</v>
      </c>
      <c r="X184" s="73">
        <f t="shared" si="53"/>
        <v>0.29228668091689369</v>
      </c>
      <c r="Y184" s="62">
        <f t="shared" si="54"/>
        <v>7.291577680709746E-2</v>
      </c>
      <c r="Z184" s="73">
        <f t="shared" si="55"/>
        <v>0.25663873069787152</v>
      </c>
      <c r="AA184" s="62">
        <f t="shared" si="56"/>
        <v>0.11832937809967445</v>
      </c>
      <c r="AB184" s="64">
        <f t="shared" si="57"/>
        <v>0.13052828305840378</v>
      </c>
      <c r="AC184" s="62"/>
      <c r="AD184" s="145">
        <f t="shared" si="58"/>
        <v>0.24885766115807822</v>
      </c>
      <c r="AF184" s="57">
        <f>W$212-W184</f>
        <v>-1.0627744827141267E-2</v>
      </c>
      <c r="AG184" s="60">
        <f>X$212-X184</f>
        <v>-2.4886837938255524E-3</v>
      </c>
      <c r="AH184" s="83">
        <f>Y$212-Y184</f>
        <v>-2.372126287075936E-2</v>
      </c>
      <c r="AI184" s="60">
        <f>Z$212-Z184</f>
        <v>-2.5299527897590685E-2</v>
      </c>
      <c r="AJ184" s="83">
        <f>AA$212-AA184</f>
        <v>3.0315535266488974E-2</v>
      </c>
      <c r="AK184" s="76">
        <f>AB$212-AB184</f>
        <v>3.1821684122827681E-2</v>
      </c>
      <c r="AM184" s="57">
        <f>$AD$212-AD184</f>
        <v>6.2137219389316767E-2</v>
      </c>
      <c r="AN184" s="106">
        <f>IF(AM184&lt;$AD$215,(AM184-$AD$215)*0.5683,0)</f>
        <v>0</v>
      </c>
    </row>
    <row r="185" spans="1:40" x14ac:dyDescent="0.25">
      <c r="A185" s="17" t="s">
        <v>433</v>
      </c>
      <c r="B185" s="90" t="s">
        <v>434</v>
      </c>
      <c r="C185" s="88">
        <f>VLOOKUP($B$3:$B$210,Costdrivere!$B$3:$H$211,2,FALSE)</f>
        <v>237273.56926962847</v>
      </c>
      <c r="D185" s="46">
        <f>VLOOKUP($B$3:$B$210,Costdrivere!$B$3:$H$211,3,FALSE)</f>
        <v>602523.24600000004</v>
      </c>
      <c r="E185" s="23">
        <f>VLOOKUP($B$3:$B$210,Costdrivere!$B$3:$H$211,4,FALSE)</f>
        <v>0</v>
      </c>
      <c r="F185" s="46">
        <f>VLOOKUP($B$3:$B$210,Costdrivere!$B$3:$H$211,5,FALSE)</f>
        <v>639426</v>
      </c>
      <c r="G185" s="23">
        <f>VLOOKUP($B$3:$B$210,Costdrivere!$B$3:$H$211,6,FALSE)</f>
        <v>658222.60000000009</v>
      </c>
      <c r="H185" s="93">
        <f>VLOOKUP($B$3:$B$210,Costdrivere!$B$3:$H$211,7,FALSE)</f>
        <v>726080.60000000009</v>
      </c>
      <c r="I185" s="27">
        <v>33.840511730000003</v>
      </c>
      <c r="J185" s="20">
        <f>VLOOKUP($B$3:$B$210,Costdrivere!$B$3:$I$211,8,FALSE)</f>
        <v>3.0677215189873416E-2</v>
      </c>
      <c r="K185" s="74">
        <f t="shared" si="47"/>
        <v>2863526.0152696287</v>
      </c>
      <c r="L185" s="89">
        <f t="shared" si="59"/>
        <v>3390784.801540093</v>
      </c>
      <c r="M185" s="167">
        <f t="shared" si="48"/>
        <v>3225739.7279477506</v>
      </c>
      <c r="N185" s="74">
        <f>K185+VLOOKUP($B$3:$B$210,'Potentialer og krav'!$B$2:$F$209,5,FALSE)</f>
        <v>2863526.0152696287</v>
      </c>
      <c r="O185" s="160">
        <f t="shared" si="49"/>
        <v>3390784.801540093</v>
      </c>
      <c r="P185" s="163">
        <f t="shared" si="50"/>
        <v>3225739.7279477506</v>
      </c>
      <c r="Q185" s="104">
        <f>N185+(0.25*VLOOKUP($B$3:$B$210,'Potentialer og krav'!$B$2:$C$209,2,FALSE))</f>
        <v>3867658.7652696287</v>
      </c>
      <c r="R185" s="53">
        <f>O185+(0.25*VLOOKUP($B$3:$B$210,'Potentialer og krav'!$B$2:$C$209,2,FALSE))</f>
        <v>4394917.5515400935</v>
      </c>
      <c r="S185" s="104">
        <f>P185+(0.25*VLOOKUP($B$3:$B$210,'Potentialer og krav'!$B$2:$C$209,2,FALSE))</f>
        <v>4229872.4779477511</v>
      </c>
      <c r="T185" s="84">
        <v>4039755</v>
      </c>
      <c r="U185" s="92">
        <f t="shared" si="51"/>
        <v>4100351.3249999997</v>
      </c>
      <c r="W185" s="70">
        <f t="shared" si="52"/>
        <v>8.2860629868343236E-2</v>
      </c>
      <c r="X185" s="73">
        <f t="shared" si="53"/>
        <v>0.2104130511778384</v>
      </c>
      <c r="Y185" s="62">
        <f t="shared" si="54"/>
        <v>0</v>
      </c>
      <c r="Z185" s="73">
        <f t="shared" si="55"/>
        <v>0.22330022377666153</v>
      </c>
      <c r="AA185" s="62">
        <f t="shared" si="56"/>
        <v>0.22986436878521674</v>
      </c>
      <c r="AB185" s="64">
        <f t="shared" si="57"/>
        <v>0.25356172639194008</v>
      </c>
      <c r="AC185" s="62"/>
      <c r="AD185" s="145">
        <f t="shared" si="58"/>
        <v>0.48342609517715684</v>
      </c>
      <c r="AF185" s="57">
        <f>W$212-W185</f>
        <v>3.58127757245746E-2</v>
      </c>
      <c r="AG185" s="60">
        <f>X$212-X185</f>
        <v>7.938494594522974E-2</v>
      </c>
      <c r="AH185" s="83">
        <f>Y$212-Y185</f>
        <v>4.91945139363381E-2</v>
      </c>
      <c r="AI185" s="60">
        <f>Z$212-Z185</f>
        <v>8.0389790236193026E-3</v>
      </c>
      <c r="AJ185" s="83">
        <f>AA$212-AA185</f>
        <v>-8.1219455419053316E-2</v>
      </c>
      <c r="AK185" s="117">
        <f>AB$212-AB185</f>
        <v>-9.1211759210708621E-2</v>
      </c>
      <c r="AM185" s="57">
        <f>$AD$212-AD185</f>
        <v>-0.17243121462976185</v>
      </c>
      <c r="AN185" s="106">
        <f>IF(AM185&lt;$AD$215,(AM185-$AD$215)*0.5683,0)</f>
        <v>-3.8316857843880621E-2</v>
      </c>
    </row>
    <row r="186" spans="1:40" x14ac:dyDescent="0.25">
      <c r="A186" s="17" t="s">
        <v>435</v>
      </c>
      <c r="B186" s="90" t="s">
        <v>436</v>
      </c>
      <c r="C186" s="88">
        <f>VLOOKUP($B$3:$B$210,Costdrivere!$B$3:$H$211,2,FALSE)</f>
        <v>229314.62254577296</v>
      </c>
      <c r="D186" s="46">
        <f>VLOOKUP($B$3:$B$210,Costdrivere!$B$3:$H$211,3,FALSE)</f>
        <v>539588.82499999995</v>
      </c>
      <c r="E186" s="23">
        <f>VLOOKUP($B$3:$B$210,Costdrivere!$B$3:$H$211,4,FALSE)</f>
        <v>56469</v>
      </c>
      <c r="F186" s="46">
        <f>VLOOKUP($B$3:$B$210,Costdrivere!$B$3:$H$211,5,FALSE)</f>
        <v>704178</v>
      </c>
      <c r="G186" s="23">
        <f>VLOOKUP($B$3:$B$210,Costdrivere!$B$3:$H$211,6,FALSE)</f>
        <v>478966.60000000003</v>
      </c>
      <c r="H186" s="93">
        <f>VLOOKUP($B$3:$B$210,Costdrivere!$B$3:$H$211,7,FALSE)</f>
        <v>524150.2</v>
      </c>
      <c r="I186" s="27">
        <v>31.968054368036778</v>
      </c>
      <c r="J186" s="20">
        <f>VLOOKUP($B$3:$B$210,Costdrivere!$B$3:$I$211,8,FALSE)</f>
        <v>2.010919540229885E-2</v>
      </c>
      <c r="K186" s="74">
        <f t="shared" ref="K186:K210" si="60">SUM(C186:H186)</f>
        <v>2532667.2475457732</v>
      </c>
      <c r="L186" s="89">
        <f t="shared" ref="L186:L210" si="61">IF(I186=0,K186,((0.575+0.018*I186)*K186))</f>
        <v>2913643.6641212273</v>
      </c>
      <c r="M186" s="167">
        <f t="shared" ref="M186:M210" si="62">IF(J186=0,K186,(0.711+13.544*J186)*K186)</f>
        <v>2490520.9863237753</v>
      </c>
      <c r="N186" s="74">
        <f>K186+VLOOKUP($B$3:$B$210,'Potentialer og krav'!$B$2:$F$209,5,FALSE)</f>
        <v>2532667.2475457732</v>
      </c>
      <c r="O186" s="160">
        <f t="shared" ref="O186:O210" si="63">IF(I186=0,N186,((0.575+0.018*I186)*N186))</f>
        <v>2913643.6641212273</v>
      </c>
      <c r="P186" s="163">
        <f t="shared" ref="P186:P210" si="64">IF(J186=0,N186,((0.711+13.544*J186)*N186))</f>
        <v>2490520.9863237753</v>
      </c>
      <c r="Q186" s="104">
        <f>N186+(0.25*VLOOKUP($B$3:$B$210,'Potentialer og krav'!$B$2:$C$209,2,FALSE))</f>
        <v>3048463.9975457732</v>
      </c>
      <c r="R186" s="53">
        <f>O186+(0.25*VLOOKUP($B$3:$B$210,'Potentialer og krav'!$B$2:$C$209,2,FALSE))</f>
        <v>3429440.4141212273</v>
      </c>
      <c r="S186" s="104">
        <f>P186+(0.25*VLOOKUP($B$3:$B$210,'Potentialer og krav'!$B$2:$C$209,2,FALSE))</f>
        <v>3006317.7363237753</v>
      </c>
      <c r="T186" s="84">
        <v>2112367</v>
      </c>
      <c r="U186" s="92">
        <f t="shared" ref="U186:U210" si="65">1.015*T186</f>
        <v>2144052.5049999999</v>
      </c>
      <c r="W186" s="70">
        <f t="shared" ref="W186:W210" si="66">C186/(SUM($C186:$H186))</f>
        <v>9.0542736227187115E-2</v>
      </c>
      <c r="X186" s="73">
        <f t="shared" ref="X186:X210" si="67">D186/(SUM($C186:$H186))</f>
        <v>0.21305160617640431</v>
      </c>
      <c r="Y186" s="62">
        <f t="shared" ref="Y186:Y210" si="68">E186/(SUM($C186:$H186))</f>
        <v>2.2296257060504126E-2</v>
      </c>
      <c r="Z186" s="73">
        <f t="shared" ref="Z186:Z210" si="69">F186/(SUM($C186:$H186))</f>
        <v>0.27803810416957403</v>
      </c>
      <c r="AA186" s="62">
        <f t="shared" ref="AA186:AA210" si="70">G186/(SUM($C186:$H186))</f>
        <v>0.1891154870282041</v>
      </c>
      <c r="AB186" s="64">
        <f t="shared" ref="AB186:AB210" si="71">H186/(SUM($C186:$H186))</f>
        <v>0.20695580933812624</v>
      </c>
      <c r="AC186" s="62"/>
      <c r="AD186" s="145">
        <f t="shared" ref="AD186:AD210" si="72">SUM(AA186:AB186)</f>
        <v>0.39607129636633032</v>
      </c>
      <c r="AF186" s="57">
        <f>W$212-W186</f>
        <v>2.8130669365730721E-2</v>
      </c>
      <c r="AG186" s="60">
        <f>X$212-X186</f>
        <v>7.6746390946663828E-2</v>
      </c>
      <c r="AH186" s="83">
        <f>Y$212-Y186</f>
        <v>2.6898256875833974E-2</v>
      </c>
      <c r="AI186" s="60">
        <f>Z$212-Z186</f>
        <v>-4.6698901369293194E-2</v>
      </c>
      <c r="AJ186" s="83">
        <f>AA$212-AA186</f>
        <v>-4.0470573662040682E-2</v>
      </c>
      <c r="AK186" s="76">
        <f>AB$212-AB186</f>
        <v>-4.4605842156894782E-2</v>
      </c>
      <c r="AM186" s="57">
        <f>$AD$212-AD186</f>
        <v>-8.5076415818935325E-2</v>
      </c>
      <c r="AN186" s="106">
        <f>IF(AM186&lt;$AD$215,(AM186-$AD$215)*0.5683,0)</f>
        <v>0</v>
      </c>
    </row>
    <row r="187" spans="1:40" x14ac:dyDescent="0.25">
      <c r="A187" s="17" t="s">
        <v>78</v>
      </c>
      <c r="B187" s="90" t="s">
        <v>437</v>
      </c>
      <c r="C187" s="88">
        <f>VLOOKUP($B$3:$B$210,Costdrivere!$B$3:$H$211,2,FALSE)</f>
        <v>220811.78572444021</v>
      </c>
      <c r="D187" s="46">
        <f>VLOOKUP($B$3:$B$210,Costdrivere!$B$3:$H$211,3,FALSE)</f>
        <v>557791.53</v>
      </c>
      <c r="E187" s="23">
        <f>VLOOKUP($B$3:$B$210,Costdrivere!$B$3:$H$211,4,FALSE)</f>
        <v>0</v>
      </c>
      <c r="F187" s="46">
        <f>VLOOKUP($B$3:$B$210,Costdrivere!$B$3:$H$211,5,FALSE)</f>
        <v>449217</v>
      </c>
      <c r="G187" s="23">
        <f>VLOOKUP($B$3:$B$210,Costdrivere!$B$3:$H$211,6,FALSE)</f>
        <v>265896.40000000002</v>
      </c>
      <c r="H187" s="93">
        <f>VLOOKUP($B$3:$B$210,Costdrivere!$B$3:$H$211,7,FALSE)</f>
        <v>305741.80000000005</v>
      </c>
      <c r="I187" s="27">
        <v>26.885198838763337</v>
      </c>
      <c r="J187" s="20">
        <f>VLOOKUP($B$3:$B$210,Costdrivere!$B$3:$I$211,8,FALSE)</f>
        <v>1.8387387387387388E-2</v>
      </c>
      <c r="K187" s="74">
        <f t="shared" si="60"/>
        <v>1799458.5157244403</v>
      </c>
      <c r="L187" s="89">
        <f t="shared" si="61"/>
        <v>1905507.0464939887</v>
      </c>
      <c r="M187" s="167">
        <f t="shared" si="62"/>
        <v>1727549.9486941264</v>
      </c>
      <c r="N187" s="74">
        <f>K187+VLOOKUP($B$3:$B$210,'Potentialer og krav'!$B$2:$F$209,5,FALSE)</f>
        <v>1799458.5157244403</v>
      </c>
      <c r="O187" s="160">
        <f t="shared" si="63"/>
        <v>1905507.0464939887</v>
      </c>
      <c r="P187" s="163">
        <f t="shared" si="64"/>
        <v>1727549.9486941264</v>
      </c>
      <c r="Q187" s="104">
        <f>N187+(0.25*VLOOKUP($B$3:$B$210,'Potentialer og krav'!$B$2:$C$209,2,FALSE))</f>
        <v>2204662.5157244401</v>
      </c>
      <c r="R187" s="53">
        <f>O187+(0.25*VLOOKUP($B$3:$B$210,'Potentialer og krav'!$B$2:$C$209,2,FALSE))</f>
        <v>2310711.0464939885</v>
      </c>
      <c r="S187" s="104">
        <f>P187+(0.25*VLOOKUP($B$3:$B$210,'Potentialer og krav'!$B$2:$C$209,2,FALSE))</f>
        <v>2132753.9486941267</v>
      </c>
      <c r="T187" s="84">
        <v>1372602</v>
      </c>
      <c r="U187" s="92">
        <f t="shared" si="65"/>
        <v>1393191.0299999998</v>
      </c>
      <c r="W187" s="70">
        <f t="shared" si="66"/>
        <v>0.12271012851637986</v>
      </c>
      <c r="X187" s="73">
        <f t="shared" si="67"/>
        <v>0.30997743216961016</v>
      </c>
      <c r="Y187" s="62">
        <f t="shared" si="68"/>
        <v>0</v>
      </c>
      <c r="Z187" s="73">
        <f t="shared" si="69"/>
        <v>0.24964009788197347</v>
      </c>
      <c r="AA187" s="62">
        <f t="shared" si="70"/>
        <v>0.14776467347064867</v>
      </c>
      <c r="AB187" s="64">
        <f t="shared" si="71"/>
        <v>0.16990766796138787</v>
      </c>
      <c r="AC187" s="62"/>
      <c r="AD187" s="145">
        <f t="shared" si="72"/>
        <v>0.31767234143203654</v>
      </c>
      <c r="AF187" s="57">
        <f>W$212-W187</f>
        <v>-4.0367229234620217E-3</v>
      </c>
      <c r="AG187" s="60">
        <f>X$212-X187</f>
        <v>-2.0179435046542016E-2</v>
      </c>
      <c r="AH187" s="83">
        <f>Y$212-Y187</f>
        <v>4.91945139363381E-2</v>
      </c>
      <c r="AI187" s="60">
        <f>Z$212-Z187</f>
        <v>-1.8300895081692636E-2</v>
      </c>
      <c r="AJ187" s="83">
        <f>AA$212-AA187</f>
        <v>8.8023989551475057E-4</v>
      </c>
      <c r="AK187" s="76">
        <f>AB$212-AB187</f>
        <v>-7.5577007801564122E-3</v>
      </c>
      <c r="AM187" s="57">
        <f>$AD$212-AD187</f>
        <v>-6.6774608846415506E-3</v>
      </c>
      <c r="AN187" s="106">
        <f>IF(AM187&lt;$AD$215,(AM187-$AD$215)*0.5683,0)</f>
        <v>0</v>
      </c>
    </row>
    <row r="188" spans="1:40" x14ac:dyDescent="0.25">
      <c r="A188" s="17" t="s">
        <v>64</v>
      </c>
      <c r="B188" s="90" t="s">
        <v>438</v>
      </c>
      <c r="C188" s="88">
        <f>VLOOKUP($B$3:$B$210,Costdrivere!$B$3:$H$211,2,FALSE)</f>
        <v>1016413.2774537484</v>
      </c>
      <c r="D188" s="46">
        <f>VLOOKUP($B$3:$B$210,Costdrivere!$B$3:$H$211,3,FALSE)</f>
        <v>2826179.2379999999</v>
      </c>
      <c r="E188" s="23">
        <f>VLOOKUP($B$3:$B$210,Costdrivere!$B$3:$H$211,4,FALSE)</f>
        <v>734800</v>
      </c>
      <c r="F188" s="46">
        <f>VLOOKUP($B$3:$B$210,Costdrivere!$B$3:$H$211,5,FALSE)</f>
        <v>8447417</v>
      </c>
      <c r="G188" s="23">
        <f>VLOOKUP($B$3:$B$210,Costdrivere!$B$3:$H$211,6,FALSE)</f>
        <v>1893783.2000000002</v>
      </c>
      <c r="H188" s="93">
        <f>VLOOKUP($B$3:$B$210,Costdrivere!$B$3:$H$211,7,FALSE)</f>
        <v>1722700.0000000002</v>
      </c>
      <c r="I188" s="27">
        <v>29.342793245818303</v>
      </c>
      <c r="J188" s="20">
        <f>VLOOKUP($B$3:$B$210,Costdrivere!$B$3:$I$211,8,FALSE)</f>
        <v>3.6050156739811913E-2</v>
      </c>
      <c r="K188" s="74">
        <f t="shared" si="60"/>
        <v>16641292.715453748</v>
      </c>
      <c r="L188" s="89">
        <f t="shared" si="61"/>
        <v>18358179.518254533</v>
      </c>
      <c r="M188" s="167">
        <f t="shared" si="62"/>
        <v>19957291.999020576</v>
      </c>
      <c r="N188" s="74">
        <f>K188+VLOOKUP($B$3:$B$210,'Potentialer og krav'!$B$2:$F$209,5,FALSE)</f>
        <v>17811436.715453748</v>
      </c>
      <c r="O188" s="160">
        <f t="shared" si="63"/>
        <v>19649047.600531559</v>
      </c>
      <c r="P188" s="163">
        <f t="shared" si="64"/>
        <v>21360602.780713364</v>
      </c>
      <c r="Q188" s="104">
        <f>N188+(0.25*VLOOKUP($B$3:$B$210,'Potentialer og krav'!$B$2:$C$209,2,FALSE))</f>
        <v>22428767.715453748</v>
      </c>
      <c r="R188" s="53">
        <f>O188+(0.25*VLOOKUP($B$3:$B$210,'Potentialer og krav'!$B$2:$C$209,2,FALSE))</f>
        <v>24266378.600531559</v>
      </c>
      <c r="S188" s="104">
        <f>P188+(0.25*VLOOKUP($B$3:$B$210,'Potentialer og krav'!$B$2:$C$209,2,FALSE))</f>
        <v>25977933.780713364</v>
      </c>
      <c r="T188" s="84">
        <v>18264057</v>
      </c>
      <c r="U188" s="92">
        <f t="shared" si="65"/>
        <v>18538017.854999997</v>
      </c>
      <c r="W188" s="70">
        <f t="shared" si="66"/>
        <v>6.1077783729497633E-2</v>
      </c>
      <c r="X188" s="73">
        <f t="shared" si="67"/>
        <v>0.16982930871563245</v>
      </c>
      <c r="Y188" s="62">
        <f t="shared" si="68"/>
        <v>4.4155223549288108E-2</v>
      </c>
      <c r="Z188" s="73">
        <f t="shared" si="69"/>
        <v>0.507617836212652</v>
      </c>
      <c r="AA188" s="62">
        <f t="shared" si="70"/>
        <v>0.11380024571296435</v>
      </c>
      <c r="AB188" s="64">
        <f t="shared" si="71"/>
        <v>0.10351960207996548</v>
      </c>
      <c r="AC188" s="62"/>
      <c r="AD188" s="145">
        <f t="shared" si="72"/>
        <v>0.21731984779292984</v>
      </c>
      <c r="AF188" s="57">
        <f>W$212-W188</f>
        <v>5.7595621863420203E-2</v>
      </c>
      <c r="AG188" s="60">
        <f>X$212-X188</f>
        <v>0.11996868840743569</v>
      </c>
      <c r="AH188" s="83">
        <f>Y$212-Y188</f>
        <v>5.0392903870499911E-3</v>
      </c>
      <c r="AI188" s="60">
        <f>Z$212-Z188</f>
        <v>-0.27627863341237113</v>
      </c>
      <c r="AJ188" s="83">
        <f>AA$212-AA188</f>
        <v>3.4844667653199074E-2</v>
      </c>
      <c r="AK188" s="76">
        <f>AB$212-AB188</f>
        <v>5.8830365101265977E-2</v>
      </c>
      <c r="AM188" s="57">
        <f>$AD$212-AD188</f>
        <v>9.3675032754465148E-2</v>
      </c>
      <c r="AN188" s="106">
        <f>IF(AM188&lt;$AD$215,(AM188-$AD$215)*0.5683,0)</f>
        <v>0</v>
      </c>
    </row>
    <row r="189" spans="1:40" x14ac:dyDescent="0.25">
      <c r="A189" s="17" t="s">
        <v>439</v>
      </c>
      <c r="B189" s="90" t="s">
        <v>440</v>
      </c>
      <c r="C189" s="88">
        <f>VLOOKUP($B$3:$B$210,Costdrivere!$B$3:$H$211,2,FALSE)</f>
        <v>936810.68950992078</v>
      </c>
      <c r="D189" s="46">
        <f>VLOOKUP($B$3:$B$210,Costdrivere!$B$3:$H$211,3,FALSE)</f>
        <v>2642394.0180000002</v>
      </c>
      <c r="E189" s="23">
        <f>VLOOKUP($B$3:$B$210,Costdrivere!$B$3:$H$211,4,FALSE)</f>
        <v>576788</v>
      </c>
      <c r="F189" s="46">
        <f>VLOOKUP($B$3:$B$210,Costdrivere!$B$3:$H$211,5,FALSE)</f>
        <v>1773818</v>
      </c>
      <c r="G189" s="23">
        <f>VLOOKUP($B$3:$B$210,Costdrivere!$B$3:$H$211,6,FALSE)</f>
        <v>727511.6</v>
      </c>
      <c r="H189" s="93">
        <f>VLOOKUP($B$3:$B$210,Costdrivere!$B$3:$H$211,7,FALSE)</f>
        <v>1018640.0000000001</v>
      </c>
      <c r="I189" s="27">
        <v>32.768729366178157</v>
      </c>
      <c r="J189" s="20">
        <f>VLOOKUP($B$3:$B$210,Costdrivere!$B$3:$I$211,8,FALSE)</f>
        <v>2.5420560747663551E-2</v>
      </c>
      <c r="K189" s="74">
        <f t="shared" si="60"/>
        <v>7675962.3075099206</v>
      </c>
      <c r="L189" s="89">
        <f t="shared" si="61"/>
        <v>8941245.8934541885</v>
      </c>
      <c r="M189" s="167">
        <f t="shared" si="62"/>
        <v>8100412.8931697132</v>
      </c>
      <c r="N189" s="74">
        <f>K189+VLOOKUP($B$3:$B$210,'Potentialer og krav'!$B$2:$F$209,5,FALSE)</f>
        <v>7919031.4475099202</v>
      </c>
      <c r="O189" s="160">
        <f t="shared" si="63"/>
        <v>9224381.8525409233</v>
      </c>
      <c r="P189" s="163">
        <f t="shared" si="64"/>
        <v>8356922.802508546</v>
      </c>
      <c r="Q189" s="104">
        <f>N189+(0.25*VLOOKUP($B$3:$B$210,'Potentialer og krav'!$B$2:$C$209,2,FALSE))</f>
        <v>9589227.9475099202</v>
      </c>
      <c r="R189" s="53">
        <f>O189+(0.25*VLOOKUP($B$3:$B$210,'Potentialer og krav'!$B$2:$C$209,2,FALSE))</f>
        <v>10894578.352540923</v>
      </c>
      <c r="S189" s="104">
        <f>P189+(0.25*VLOOKUP($B$3:$B$210,'Potentialer og krav'!$B$2:$C$209,2,FALSE))</f>
        <v>10027119.302508546</v>
      </c>
      <c r="T189" s="84">
        <v>5084274</v>
      </c>
      <c r="U189" s="92">
        <f t="shared" si="65"/>
        <v>5160538.1099999994</v>
      </c>
      <c r="W189" s="70">
        <f t="shared" si="66"/>
        <v>0.12204472246995984</v>
      </c>
      <c r="X189" s="73">
        <f t="shared" si="67"/>
        <v>0.3442427036691888</v>
      </c>
      <c r="Y189" s="62">
        <f t="shared" si="68"/>
        <v>7.5142109470194868E-2</v>
      </c>
      <c r="Z189" s="73">
        <f t="shared" si="69"/>
        <v>0.23108737757408634</v>
      </c>
      <c r="AA189" s="62">
        <f t="shared" si="70"/>
        <v>9.4777901565283276E-2</v>
      </c>
      <c r="AB189" s="64">
        <f t="shared" si="71"/>
        <v>0.13270518525128697</v>
      </c>
      <c r="AC189" s="62"/>
      <c r="AD189" s="145">
        <f t="shared" si="72"/>
        <v>0.22748308681657026</v>
      </c>
      <c r="AF189" s="57">
        <f>W$212-W189</f>
        <v>-3.3713168770420077E-3</v>
      </c>
      <c r="AG189" s="60">
        <f>X$212-X189</f>
        <v>-5.4444706546120658E-2</v>
      </c>
      <c r="AH189" s="83">
        <f>Y$212-Y189</f>
        <v>-2.5947595533856768E-2</v>
      </c>
      <c r="AI189" s="60">
        <f>Z$212-Z189</f>
        <v>2.5182522619449088E-4</v>
      </c>
      <c r="AJ189" s="83">
        <f>AA$212-AA189</f>
        <v>5.3867011800880146E-2</v>
      </c>
      <c r="AK189" s="76">
        <f>AB$212-AB189</f>
        <v>2.9644781929944491E-2</v>
      </c>
      <c r="AM189" s="57">
        <f>$AD$212-AD189</f>
        <v>8.3511793730824735E-2</v>
      </c>
      <c r="AN189" s="106">
        <f>IF(AM189&lt;$AD$215,(AM189-$AD$215)*0.5683,0)</f>
        <v>0</v>
      </c>
    </row>
    <row r="190" spans="1:40" x14ac:dyDescent="0.25">
      <c r="A190" s="17" t="s">
        <v>490</v>
      </c>
      <c r="B190" s="90" t="s">
        <v>441</v>
      </c>
      <c r="C190" s="88">
        <f>VLOOKUP($B$3:$B$210,Costdrivere!$B$3:$H$211,2,FALSE)</f>
        <v>4985033.5719260033</v>
      </c>
      <c r="D190" s="46">
        <f>VLOOKUP($B$3:$B$210,Costdrivere!$B$3:$H$211,3,FALSE)</f>
        <v>14725786.720000001</v>
      </c>
      <c r="E190" s="23">
        <f>VLOOKUP($B$3:$B$210,Costdrivere!$B$3:$H$211,4,FALSE)</f>
        <v>2803358</v>
      </c>
      <c r="F190" s="46">
        <f>VLOOKUP($B$3:$B$210,Costdrivere!$B$3:$H$211,5,FALSE)</f>
        <v>17201091</v>
      </c>
      <c r="G190" s="23">
        <f>VLOOKUP($B$3:$B$210,Costdrivere!$B$3:$H$211,6,FALSE)</f>
        <v>6789064</v>
      </c>
      <c r="H190" s="93">
        <f>VLOOKUP($B$3:$B$210,Costdrivere!$B$3:$H$211,7,FALSE)</f>
        <v>7397723.2000000002</v>
      </c>
      <c r="I190" s="27">
        <v>26.386002887741352</v>
      </c>
      <c r="J190" s="20">
        <f>VLOOKUP($B$3:$B$210,Costdrivere!$B$3:$I$211,8,FALSE)</f>
        <v>4.9632160804020102E-2</v>
      </c>
      <c r="K190" s="74">
        <f t="shared" si="60"/>
        <v>53902056.491926007</v>
      </c>
      <c r="L190" s="89">
        <f t="shared" si="61"/>
        <v>56594359.211378276</v>
      </c>
      <c r="M190" s="167">
        <f t="shared" si="62"/>
        <v>74558294.018228009</v>
      </c>
      <c r="N190" s="74">
        <f>K190+VLOOKUP($B$3:$B$210,'Potentialer og krav'!$B$2:$F$209,5,FALSE)</f>
        <v>53902056.491926007</v>
      </c>
      <c r="O190" s="160">
        <f t="shared" si="63"/>
        <v>56594359.211378276</v>
      </c>
      <c r="P190" s="163">
        <f t="shared" si="64"/>
        <v>74558294.018228009</v>
      </c>
      <c r="Q190" s="104">
        <f>N190+(0.25*VLOOKUP($B$3:$B$210,'Potentialer og krav'!$B$2:$C$209,2,FALSE))</f>
        <v>67442459.241926014</v>
      </c>
      <c r="R190" s="53">
        <f>O190+(0.25*VLOOKUP($B$3:$B$210,'Potentialer og krav'!$B$2:$C$209,2,FALSE))</f>
        <v>70134761.961378276</v>
      </c>
      <c r="S190" s="104">
        <f>P190+(0.25*VLOOKUP($B$3:$B$210,'Potentialer og krav'!$B$2:$C$209,2,FALSE))</f>
        <v>88098696.768228009</v>
      </c>
      <c r="T190" s="84">
        <v>46183728</v>
      </c>
      <c r="U190" s="92">
        <f t="shared" si="65"/>
        <v>46876483.919999994</v>
      </c>
      <c r="W190" s="70">
        <f t="shared" si="66"/>
        <v>9.2483179610646435E-2</v>
      </c>
      <c r="X190" s="73">
        <f t="shared" si="67"/>
        <v>0.27319526708977748</v>
      </c>
      <c r="Y190" s="62">
        <f t="shared" si="68"/>
        <v>5.2008368185728036E-2</v>
      </c>
      <c r="Z190" s="73">
        <f t="shared" si="69"/>
        <v>0.31911752759519579</v>
      </c>
      <c r="AA190" s="62">
        <f t="shared" si="70"/>
        <v>0.12595185493557068</v>
      </c>
      <c r="AB190" s="64">
        <f t="shared" si="71"/>
        <v>0.13724380258308153</v>
      </c>
      <c r="AC190" s="62"/>
      <c r="AD190" s="145">
        <f t="shared" si="72"/>
        <v>0.2631956575186522</v>
      </c>
      <c r="AF190" s="57">
        <f>W$212-W190</f>
        <v>2.6190225982271401E-2</v>
      </c>
      <c r="AG190" s="60">
        <f>X$212-X190</f>
        <v>1.6602730033290658E-2</v>
      </c>
      <c r="AH190" s="83">
        <f>Y$212-Y190</f>
        <v>-2.8138542493899368E-3</v>
      </c>
      <c r="AI190" s="60">
        <f>Z$212-Z190</f>
        <v>-8.7778324794914958E-2</v>
      </c>
      <c r="AJ190" s="83">
        <f>AA$212-AA190</f>
        <v>2.2693058430592744E-2</v>
      </c>
      <c r="AK190" s="76">
        <f>AB$212-AB190</f>
        <v>2.5106164598149933E-2</v>
      </c>
      <c r="AM190" s="57">
        <f>$AD$212-AD190</f>
        <v>4.7799223028742788E-2</v>
      </c>
      <c r="AN190" s="106">
        <f>IF(AM190&lt;$AD$215,(AM190-$AD$215)*0.5683,0)</f>
        <v>0</v>
      </c>
    </row>
    <row r="191" spans="1:40" x14ac:dyDescent="0.25">
      <c r="A191" s="17" t="s">
        <v>442</v>
      </c>
      <c r="B191" s="90" t="s">
        <v>443</v>
      </c>
      <c r="C191" s="88">
        <f>VLOOKUP($B$3:$B$210,Costdrivere!$B$3:$H$211,2,FALSE)</f>
        <v>184116.01676183901</v>
      </c>
      <c r="D191" s="46">
        <f>VLOOKUP($B$3:$B$210,Costdrivere!$B$3:$H$211,3,FALSE)</f>
        <v>458977.53700000001</v>
      </c>
      <c r="E191" s="23">
        <f>VLOOKUP($B$3:$B$210,Costdrivere!$B$3:$H$211,4,FALSE)</f>
        <v>0</v>
      </c>
      <c r="F191" s="46">
        <f>VLOOKUP($B$3:$B$210,Costdrivere!$B$3:$H$211,5,FALSE)</f>
        <v>44517</v>
      </c>
      <c r="G191" s="23">
        <f>VLOOKUP($B$3:$B$210,Costdrivere!$B$3:$H$211,6,FALSE)</f>
        <v>407.40000000000003</v>
      </c>
      <c r="H191" s="93">
        <f>VLOOKUP($B$3:$B$210,Costdrivere!$B$3:$H$211,7,FALSE)</f>
        <v>449.40000000000003</v>
      </c>
      <c r="I191" s="27">
        <v>23.341142746340481</v>
      </c>
      <c r="J191" s="20">
        <f>VLOOKUP($B$3:$B$210,Costdrivere!$B$3:$I$211,8,FALSE)</f>
        <v>2.7272727272727274E-4</v>
      </c>
      <c r="K191" s="74">
        <f t="shared" si="60"/>
        <v>688467.3537618391</v>
      </c>
      <c r="L191" s="89">
        <f t="shared" si="61"/>
        <v>685121.79445936426</v>
      </c>
      <c r="M191" s="167">
        <f t="shared" si="62"/>
        <v>492043.36175358127</v>
      </c>
      <c r="N191" s="74">
        <f>K191+VLOOKUP($B$3:$B$210,'Potentialer og krav'!$B$2:$F$209,5,FALSE)</f>
        <v>688467.3537618391</v>
      </c>
      <c r="O191" s="160">
        <f t="shared" si="63"/>
        <v>685121.79445936426</v>
      </c>
      <c r="P191" s="163">
        <f t="shared" si="64"/>
        <v>492043.36175358127</v>
      </c>
      <c r="Q191" s="104">
        <f>N191+(0.25*VLOOKUP($B$3:$B$210,'Potentialer og krav'!$B$2:$C$209,2,FALSE))</f>
        <v>847067.6037618391</v>
      </c>
      <c r="R191" s="53">
        <f>O191+(0.25*VLOOKUP($B$3:$B$210,'Potentialer og krav'!$B$2:$C$209,2,FALSE))</f>
        <v>843722.04445936426</v>
      </c>
      <c r="S191" s="104">
        <f>P191+(0.25*VLOOKUP($B$3:$B$210,'Potentialer og krav'!$B$2:$C$209,2,FALSE))</f>
        <v>650643.61175358132</v>
      </c>
      <c r="T191" s="84">
        <v>640592</v>
      </c>
      <c r="U191" s="92">
        <f t="shared" si="65"/>
        <v>650200.87999999989</v>
      </c>
      <c r="W191" s="70">
        <f t="shared" si="66"/>
        <v>0.26742882688019237</v>
      </c>
      <c r="X191" s="73">
        <f t="shared" si="67"/>
        <v>0.66666565159859958</v>
      </c>
      <c r="Y191" s="62">
        <f t="shared" si="68"/>
        <v>0</v>
      </c>
      <c r="Z191" s="73">
        <f>F191/(SUM($C191:$H191))</f>
        <v>6.4661018066805423E-2</v>
      </c>
      <c r="AA191" s="62">
        <f t="shared" si="70"/>
        <v>5.9174919155415982E-4</v>
      </c>
      <c r="AB191" s="64">
        <f t="shared" si="71"/>
        <v>6.5275426284840306E-4</v>
      </c>
      <c r="AC191" s="62"/>
      <c r="AD191" s="145">
        <f t="shared" si="72"/>
        <v>1.244503454402563E-3</v>
      </c>
      <c r="AF191" s="57">
        <f>W$212-W191</f>
        <v>-0.14875542128727454</v>
      </c>
      <c r="AG191" s="60">
        <f>X$212-X191</f>
        <v>-0.37686765447553144</v>
      </c>
      <c r="AH191" s="83">
        <f>Y$212-Y191</f>
        <v>4.91945139363381E-2</v>
      </c>
      <c r="AI191" s="60">
        <f>Z$212-Z191</f>
        <v>0.1666781847334754</v>
      </c>
      <c r="AJ191" s="83">
        <f>AA$212-AA191</f>
        <v>0.14805316417460926</v>
      </c>
      <c r="AK191" s="76">
        <f>AB$212-AB191</f>
        <v>0.16169721291838304</v>
      </c>
      <c r="AM191" s="57">
        <f>$AD$212-AD191</f>
        <v>0.30975037709299241</v>
      </c>
      <c r="AN191" s="106">
        <f>IF(AM191&lt;$AD$215,(AM191-$AD$215)*0.5683,0)</f>
        <v>0</v>
      </c>
    </row>
    <row r="192" spans="1:40" x14ac:dyDescent="0.25">
      <c r="A192" s="17" t="s">
        <v>444</v>
      </c>
      <c r="B192" s="90" t="s">
        <v>445</v>
      </c>
      <c r="C192" s="88">
        <f>VLOOKUP($B$3:$B$210,Costdrivere!$B$3:$H$211,2,FALSE)</f>
        <v>139123.31656802556</v>
      </c>
      <c r="D192" s="46">
        <f>VLOOKUP($B$3:$B$210,Costdrivere!$B$3:$H$211,3,FALSE)</f>
        <v>501338.29200000002</v>
      </c>
      <c r="E192" s="23">
        <f>VLOOKUP($B$3:$B$210,Costdrivere!$B$3:$H$211,4,FALSE)</f>
        <v>70906</v>
      </c>
      <c r="F192" s="46">
        <f>VLOOKUP($B$3:$B$210,Costdrivere!$B$3:$H$211,5,FALSE)</f>
        <v>408747</v>
      </c>
      <c r="G192" s="23">
        <f>VLOOKUP($B$3:$B$210,Costdrivere!$B$3:$H$211,6,FALSE)</f>
        <v>220810.80000000002</v>
      </c>
      <c r="H192" s="93">
        <f>VLOOKUP($B$3:$B$210,Costdrivere!$B$3:$H$211,7,FALSE)</f>
        <v>243574.80000000002</v>
      </c>
      <c r="I192" s="27">
        <v>18.982990717010043</v>
      </c>
      <c r="J192" s="20">
        <f>VLOOKUP($B$3:$B$210,Costdrivere!$B$3:$I$211,8,FALSE)</f>
        <v>1.6099009900990099E-2</v>
      </c>
      <c r="K192" s="74">
        <f t="shared" si="60"/>
        <v>1584500.2085680256</v>
      </c>
      <c r="L192" s="89">
        <f t="shared" si="61"/>
        <v>1452501.5694328661</v>
      </c>
      <c r="M192" s="167">
        <f t="shared" si="62"/>
        <v>1472071.9805809604</v>
      </c>
      <c r="N192" s="74">
        <f>K192+VLOOKUP($B$3:$B$210,'Potentialer og krav'!$B$2:$F$209,5,FALSE)</f>
        <v>1584500.2085680256</v>
      </c>
      <c r="O192" s="160">
        <f t="shared" si="63"/>
        <v>1452501.5694328661</v>
      </c>
      <c r="P192" s="163">
        <f t="shared" si="64"/>
        <v>1472071.9805809604</v>
      </c>
      <c r="Q192" s="104">
        <f>N192+(0.25*VLOOKUP($B$3:$B$210,'Potentialer og krav'!$B$2:$C$209,2,FALSE))</f>
        <v>1918999.4585680256</v>
      </c>
      <c r="R192" s="53">
        <f>O192+(0.25*VLOOKUP($B$3:$B$210,'Potentialer og krav'!$B$2:$C$209,2,FALSE))</f>
        <v>1787000.8194328661</v>
      </c>
      <c r="S192" s="104">
        <f>P192+(0.25*VLOOKUP($B$3:$B$210,'Potentialer og krav'!$B$2:$C$209,2,FALSE))</f>
        <v>1806571.2305809604</v>
      </c>
      <c r="T192" s="84">
        <v>1255157</v>
      </c>
      <c r="U192" s="92">
        <f t="shared" si="65"/>
        <v>1273984.355</v>
      </c>
      <c r="W192" s="70">
        <f t="shared" si="66"/>
        <v>8.7802649577280081E-2</v>
      </c>
      <c r="X192" s="73">
        <f t="shared" si="67"/>
        <v>0.31640153108788727</v>
      </c>
      <c r="Y192" s="62">
        <f t="shared" si="68"/>
        <v>4.47497574418627E-2</v>
      </c>
      <c r="Z192" s="73">
        <f t="shared" si="69"/>
        <v>0.2579658858924358</v>
      </c>
      <c r="AA192" s="62">
        <f t="shared" si="70"/>
        <v>0.13935675035319517</v>
      </c>
      <c r="AB192" s="64">
        <f t="shared" si="71"/>
        <v>0.15372342564733898</v>
      </c>
      <c r="AC192" s="62"/>
      <c r="AD192" s="145">
        <f t="shared" si="72"/>
        <v>0.29308017600053415</v>
      </c>
      <c r="AF192" s="57">
        <f>W$212-W192</f>
        <v>3.0870756015637754E-2</v>
      </c>
      <c r="AG192" s="60">
        <f>X$212-X192</f>
        <v>-2.6603533964819126E-2</v>
      </c>
      <c r="AH192" s="83">
        <f>Y$212-Y192</f>
        <v>4.4447564944753992E-3</v>
      </c>
      <c r="AI192" s="60">
        <f>Z$212-Z192</f>
        <v>-2.6626683092154962E-2</v>
      </c>
      <c r="AJ192" s="83">
        <f>AA$212-AA192</f>
        <v>9.2881630129682535E-3</v>
      </c>
      <c r="AK192" s="76">
        <f>AB$212-AB192</f>
        <v>8.6265415338924734E-3</v>
      </c>
      <c r="AM192" s="57">
        <f>$AD$212-AD192</f>
        <v>1.7914704546860838E-2</v>
      </c>
      <c r="AN192" s="106">
        <f>IF(AM192&lt;$AD$215,(AM192-$AD$215)*0.5683,0)</f>
        <v>0</v>
      </c>
    </row>
    <row r="193" spans="1:40" x14ac:dyDescent="0.25">
      <c r="A193" s="17" t="s">
        <v>446</v>
      </c>
      <c r="B193" s="90" t="s">
        <v>447</v>
      </c>
      <c r="C193" s="88">
        <f>VLOOKUP($B$3:$B$210,Costdrivere!$B$3:$H$211,2,FALSE)</f>
        <v>189446.76798586865</v>
      </c>
      <c r="D193" s="46">
        <f>VLOOKUP($B$3:$B$210,Costdrivere!$B$3:$H$211,3,FALSE)</f>
        <v>473249.36099999998</v>
      </c>
      <c r="E193" s="23">
        <f>VLOOKUP($B$3:$B$210,Costdrivere!$B$3:$H$211,4,FALSE)</f>
        <v>382125</v>
      </c>
      <c r="F193" s="46">
        <f>VLOOKUP($B$3:$B$210,Costdrivere!$B$3:$H$211,5,FALSE)</f>
        <v>101175</v>
      </c>
      <c r="G193" s="23">
        <f>VLOOKUP($B$3:$B$210,Costdrivere!$B$3:$H$211,6,FALSE)</f>
        <v>0</v>
      </c>
      <c r="H193" s="93">
        <f>VLOOKUP($B$3:$B$210,Costdrivere!$B$3:$H$211,7,FALSE)</f>
        <v>149.80000000000001</v>
      </c>
      <c r="I193" s="27">
        <v>0</v>
      </c>
      <c r="J193" s="20">
        <f>VLOOKUP($B$3:$B$210,Costdrivere!$B$3:$I$211,8,FALSE)</f>
        <v>4.0000000000000003E-5</v>
      </c>
      <c r="K193" s="74">
        <f t="shared" si="60"/>
        <v>1146145.9289858688</v>
      </c>
      <c r="L193" s="89">
        <f t="shared" si="61"/>
        <v>1146145.9289858688</v>
      </c>
      <c r="M193" s="167">
        <f t="shared" si="62"/>
        <v>815530.69152743998</v>
      </c>
      <c r="N193" s="74">
        <f>K193+VLOOKUP($B$3:$B$210,'Potentialer og krav'!$B$2:$F$209,5,FALSE)</f>
        <v>1146145.9289858688</v>
      </c>
      <c r="O193" s="160">
        <f t="shared" si="63"/>
        <v>1146145.9289858688</v>
      </c>
      <c r="P193" s="163">
        <f t="shared" si="64"/>
        <v>815530.69152743998</v>
      </c>
      <c r="Q193" s="104">
        <f>N193+(0.25*VLOOKUP($B$3:$B$210,'Potentialer og krav'!$B$2:$C$209,2,FALSE))</f>
        <v>2183282.9289858686</v>
      </c>
      <c r="R193" s="53">
        <f>O193+(0.25*VLOOKUP($B$3:$B$210,'Potentialer og krav'!$B$2:$C$209,2,FALSE))</f>
        <v>2183282.9289858686</v>
      </c>
      <c r="S193" s="104">
        <f>P193+(0.25*VLOOKUP($B$3:$B$210,'Potentialer og krav'!$B$2:$C$209,2,FALSE))</f>
        <v>1852667.69152744</v>
      </c>
      <c r="T193" s="84">
        <v>3264388</v>
      </c>
      <c r="U193" s="92">
        <f t="shared" si="65"/>
        <v>3313353.82</v>
      </c>
      <c r="W193" s="70">
        <f t="shared" si="66"/>
        <v>0.16529026818905571</v>
      </c>
      <c r="X193" s="73">
        <f t="shared" si="67"/>
        <v>0.41290497922785435</v>
      </c>
      <c r="Y193" s="62">
        <f t="shared" si="68"/>
        <v>0.33339995399897404</v>
      </c>
      <c r="Z193" s="73">
        <f t="shared" si="69"/>
        <v>8.827409969472344E-2</v>
      </c>
      <c r="AA193" s="62">
        <f t="shared" si="70"/>
        <v>0</v>
      </c>
      <c r="AB193" s="64">
        <f t="shared" si="71"/>
        <v>1.3069888939233579E-4</v>
      </c>
      <c r="AC193" s="62"/>
      <c r="AD193" s="145">
        <f t="shared" si="72"/>
        <v>1.3069888939233579E-4</v>
      </c>
      <c r="AF193" s="57">
        <f>W$212-W193</f>
        <v>-4.661686259613787E-2</v>
      </c>
      <c r="AG193" s="60">
        <f>X$212-X193</f>
        <v>-0.12310698210478621</v>
      </c>
      <c r="AH193" s="83">
        <f>Y$212-Y193</f>
        <v>-0.28420544006263593</v>
      </c>
      <c r="AI193" s="60">
        <f>Z$212-Z193</f>
        <v>0.1430651031055574</v>
      </c>
      <c r="AJ193" s="83">
        <f>AA$212-AA193</f>
        <v>0.14864491336616342</v>
      </c>
      <c r="AK193" s="76">
        <f>AB$212-AB193</f>
        <v>0.16221926829183914</v>
      </c>
      <c r="AM193" s="57">
        <f>$AD$212-AD193</f>
        <v>0.31086418165800267</v>
      </c>
      <c r="AN193" s="106">
        <f>IF(AM193&lt;$AD$215,(AM193-$AD$215)*0.5683,0)</f>
        <v>0</v>
      </c>
    </row>
    <row r="194" spans="1:40" x14ac:dyDescent="0.25">
      <c r="A194" s="17" t="s">
        <v>448</v>
      </c>
      <c r="B194" s="90" t="s">
        <v>449</v>
      </c>
      <c r="C194" s="88">
        <f>VLOOKUP($B$3:$B$210,Costdrivere!$B$3:$H$211,2,FALSE)</f>
        <v>210273.41071560245</v>
      </c>
      <c r="D194" s="46">
        <f>VLOOKUP($B$3:$B$210,Costdrivere!$B$3:$H$211,3,FALSE)</f>
        <v>480123.967</v>
      </c>
      <c r="E194" s="23">
        <f>VLOOKUP($B$3:$B$210,Costdrivere!$B$3:$H$211,4,FALSE)</f>
        <v>0</v>
      </c>
      <c r="F194" s="46">
        <f>VLOOKUP($B$3:$B$210,Costdrivere!$B$3:$H$211,5,FALSE)</f>
        <v>198303</v>
      </c>
      <c r="G194" s="23">
        <f>VLOOKUP($B$3:$B$210,Costdrivere!$B$3:$H$211,6,FALSE)</f>
        <v>269834.60000000003</v>
      </c>
      <c r="H194" s="93">
        <f>VLOOKUP($B$3:$B$210,Costdrivere!$B$3:$H$211,7,FALSE)</f>
        <v>301397.60000000003</v>
      </c>
      <c r="I194" s="27">
        <v>29.29155490181747</v>
      </c>
      <c r="J194" s="20">
        <f>VLOOKUP($B$3:$B$210,Costdrivere!$B$3:$I$211,8,FALSE)</f>
        <v>4.1061224489795919E-2</v>
      </c>
      <c r="K194" s="74">
        <f t="shared" si="60"/>
        <v>1459932.5777156027</v>
      </c>
      <c r="L194" s="89">
        <f t="shared" si="61"/>
        <v>1609207.7467424243</v>
      </c>
      <c r="M194" s="167">
        <f t="shared" si="62"/>
        <v>1849929.0747384713</v>
      </c>
      <c r="N194" s="74">
        <f>K194+VLOOKUP($B$3:$B$210,'Potentialer og krav'!$B$2:$F$209,5,FALSE)</f>
        <v>1459932.5777156027</v>
      </c>
      <c r="O194" s="160">
        <f t="shared" si="63"/>
        <v>1609207.7467424243</v>
      </c>
      <c r="P194" s="163">
        <f t="shared" si="64"/>
        <v>1849929.0747384713</v>
      </c>
      <c r="Q194" s="104">
        <f>N194+(0.25*VLOOKUP($B$3:$B$210,'Potentialer og krav'!$B$2:$C$209,2,FALSE))</f>
        <v>2012227.5777156027</v>
      </c>
      <c r="R194" s="53">
        <f>O194+(0.25*VLOOKUP($B$3:$B$210,'Potentialer og krav'!$B$2:$C$209,2,FALSE))</f>
        <v>2161502.7467424246</v>
      </c>
      <c r="S194" s="104">
        <f>P194+(0.25*VLOOKUP($B$3:$B$210,'Potentialer og krav'!$B$2:$C$209,2,FALSE))</f>
        <v>2402224.0747384713</v>
      </c>
      <c r="T194" s="84">
        <v>1615153</v>
      </c>
      <c r="U194" s="92">
        <f t="shared" si="65"/>
        <v>1639380.2949999999</v>
      </c>
      <c r="W194" s="70">
        <f t="shared" si="66"/>
        <v>0.14402953528485757</v>
      </c>
      <c r="X194" s="73">
        <f t="shared" si="67"/>
        <v>0.3288672191638215</v>
      </c>
      <c r="Y194" s="62">
        <f t="shared" si="68"/>
        <v>0</v>
      </c>
      <c r="Z194" s="73">
        <f t="shared" si="69"/>
        <v>0.13583024519549405</v>
      </c>
      <c r="AA194" s="62">
        <f t="shared" si="70"/>
        <v>0.18482675441232893</v>
      </c>
      <c r="AB194" s="64">
        <f t="shared" si="71"/>
        <v>0.20644624594349781</v>
      </c>
      <c r="AC194" s="62"/>
      <c r="AD194" s="145">
        <f t="shared" si="72"/>
        <v>0.39127300035582674</v>
      </c>
      <c r="AF194" s="57">
        <f>W$212-W194</f>
        <v>-2.5356129691939733E-2</v>
      </c>
      <c r="AG194" s="60">
        <f>X$212-X194</f>
        <v>-3.906922204075336E-2</v>
      </c>
      <c r="AH194" s="83">
        <f>Y$212-Y194</f>
        <v>4.91945139363381E-2</v>
      </c>
      <c r="AI194" s="60">
        <f>Z$212-Z194</f>
        <v>9.5508957604786782E-2</v>
      </c>
      <c r="AJ194" s="83">
        <f>AA$212-AA194</f>
        <v>-3.6181841046165508E-2</v>
      </c>
      <c r="AK194" s="76">
        <f>AB$212-AB194</f>
        <v>-4.409627876226635E-2</v>
      </c>
      <c r="AM194" s="57">
        <f>$AD$212-AD194</f>
        <v>-8.0278119808431747E-2</v>
      </c>
      <c r="AN194" s="106">
        <f>IF(AM194&lt;$AD$215,(AM194-$AD$215)*0.5683,0)</f>
        <v>0</v>
      </c>
    </row>
    <row r="195" spans="1:40" x14ac:dyDescent="0.25">
      <c r="A195" s="17" t="s">
        <v>450</v>
      </c>
      <c r="B195" s="90" t="s">
        <v>451</v>
      </c>
      <c r="C195" s="88">
        <f>VLOOKUP($B$3:$B$210,Costdrivere!$B$3:$H$211,2,FALSE)</f>
        <v>933631.95085396385</v>
      </c>
      <c r="D195" s="46">
        <f>VLOOKUP($B$3:$B$210,Costdrivere!$B$3:$H$211,3,FALSE)</f>
        <v>2268128.0150000001</v>
      </c>
      <c r="E195" s="23">
        <f>VLOOKUP($B$3:$B$210,Costdrivere!$B$3:$H$211,4,FALSE)</f>
        <v>346672</v>
      </c>
      <c r="F195" s="46">
        <f>VLOOKUP($B$3:$B$210,Costdrivere!$B$3:$H$211,5,FALSE)</f>
        <v>2799924</v>
      </c>
      <c r="G195" s="23">
        <f>VLOOKUP($B$3:$B$210,Costdrivere!$B$3:$H$211,6,FALSE)</f>
        <v>1351808.4</v>
      </c>
      <c r="H195" s="93">
        <f>VLOOKUP($B$3:$B$210,Costdrivere!$B$3:$H$211,7,FALSE)</f>
        <v>1351495.6</v>
      </c>
      <c r="I195" s="27">
        <v>22.717114573123197</v>
      </c>
      <c r="J195" s="20">
        <f>VLOOKUP($B$3:$B$210,Costdrivere!$B$3:$I$211,8,FALSE)</f>
        <v>1.7655577299412917E-2</v>
      </c>
      <c r="K195" s="74">
        <f t="shared" si="60"/>
        <v>9051659.965853963</v>
      </c>
      <c r="L195" s="89">
        <f t="shared" si="61"/>
        <v>8906001.2177486531</v>
      </c>
      <c r="M195" s="167">
        <f t="shared" si="62"/>
        <v>8600227.7860439681</v>
      </c>
      <c r="N195" s="74">
        <f>K195+VLOOKUP($B$3:$B$210,'Potentialer og krav'!$B$2:$F$209,5,FALSE)</f>
        <v>9051659.965853963</v>
      </c>
      <c r="O195" s="160">
        <f t="shared" si="63"/>
        <v>8906001.2177486531</v>
      </c>
      <c r="P195" s="163">
        <f t="shared" si="64"/>
        <v>8600227.7860439681</v>
      </c>
      <c r="Q195" s="104">
        <f>N195+(0.25*VLOOKUP($B$3:$B$210,'Potentialer og krav'!$B$2:$C$209,2,FALSE))</f>
        <v>10987993.465853963</v>
      </c>
      <c r="R195" s="53">
        <f>O195+(0.25*VLOOKUP($B$3:$B$210,'Potentialer og krav'!$B$2:$C$209,2,FALSE))</f>
        <v>10842334.717748653</v>
      </c>
      <c r="S195" s="104">
        <f>P195+(0.25*VLOOKUP($B$3:$B$210,'Potentialer og krav'!$B$2:$C$209,2,FALSE))</f>
        <v>10536561.286043968</v>
      </c>
      <c r="T195" s="84">
        <v>7213384</v>
      </c>
      <c r="U195" s="92">
        <f t="shared" si="65"/>
        <v>7321584.7599999988</v>
      </c>
      <c r="W195" s="70">
        <f t="shared" si="66"/>
        <v>0.10314483248110856</v>
      </c>
      <c r="X195" s="73">
        <f t="shared" si="67"/>
        <v>0.25057591906414678</v>
      </c>
      <c r="Y195" s="62">
        <f t="shared" si="68"/>
        <v>3.8299273426948027E-2</v>
      </c>
      <c r="Z195" s="73">
        <f t="shared" si="69"/>
        <v>0.30932713011340413</v>
      </c>
      <c r="AA195" s="62">
        <f t="shared" si="70"/>
        <v>0.14934370105588318</v>
      </c>
      <c r="AB195" s="64">
        <f t="shared" si="71"/>
        <v>0.14930914385850944</v>
      </c>
      <c r="AC195" s="62"/>
      <c r="AD195" s="145">
        <f t="shared" si="72"/>
        <v>0.29865284491439259</v>
      </c>
      <c r="AF195" s="57">
        <f>W$212-W195</f>
        <v>1.5528573111809274E-2</v>
      </c>
      <c r="AG195" s="60">
        <f>X$212-X195</f>
        <v>3.9222078058921361E-2</v>
      </c>
      <c r="AH195" s="83">
        <f>Y$212-Y195</f>
        <v>1.0895240509390072E-2</v>
      </c>
      <c r="AI195" s="60">
        <f>Z$212-Z195</f>
        <v>-7.798792731312329E-2</v>
      </c>
      <c r="AJ195" s="83">
        <f>AA$212-AA195</f>
        <v>-6.987876897197598E-4</v>
      </c>
      <c r="AK195" s="76">
        <f>AB$212-AB195</f>
        <v>1.3040823322722023E-2</v>
      </c>
      <c r="AM195" s="57">
        <f>$AD$212-AD195</f>
        <v>1.2342035633002402E-2</v>
      </c>
      <c r="AN195" s="106">
        <f>IF(AM195&lt;$AD$215,(AM195-$AD$215)*0.5683,0)</f>
        <v>0</v>
      </c>
    </row>
    <row r="196" spans="1:40" x14ac:dyDescent="0.25">
      <c r="A196" s="17" t="s">
        <v>452</v>
      </c>
      <c r="B196" s="90" t="s">
        <v>453</v>
      </c>
      <c r="C196" s="88">
        <f>VLOOKUP($B$3:$B$210,Costdrivere!$B$3:$H$211,2,FALSE)</f>
        <v>439346.76084410847</v>
      </c>
      <c r="D196" s="46">
        <f>VLOOKUP($B$3:$B$210,Costdrivere!$B$3:$H$211,3,FALSE)</f>
        <v>1191736.0160000001</v>
      </c>
      <c r="E196" s="23">
        <f>VLOOKUP($B$3:$B$210,Costdrivere!$B$3:$H$211,4,FALSE)</f>
        <v>0</v>
      </c>
      <c r="F196" s="46">
        <f>VLOOKUP($B$3:$B$210,Costdrivere!$B$3:$H$211,5,FALSE)</f>
        <v>716319</v>
      </c>
      <c r="G196" s="23">
        <f>VLOOKUP($B$3:$B$210,Costdrivere!$B$3:$H$211,6,FALSE)</f>
        <v>486707.20000000007</v>
      </c>
      <c r="H196" s="93">
        <f>VLOOKUP($B$3:$B$210,Costdrivere!$B$3:$H$211,7,FALSE)</f>
        <v>770271.60000000009</v>
      </c>
      <c r="I196" s="27">
        <v>26.829375024617068</v>
      </c>
      <c r="J196" s="20">
        <f>VLOOKUP($B$3:$B$210,Costdrivere!$B$3:$I$211,8,FALSE)</f>
        <v>2.9050847457627118E-2</v>
      </c>
      <c r="K196" s="74">
        <f t="shared" si="60"/>
        <v>3604380.5768441088</v>
      </c>
      <c r="L196" s="89">
        <f t="shared" si="61"/>
        <v>3813177.8397820937</v>
      </c>
      <c r="M196" s="167">
        <f t="shared" si="62"/>
        <v>3980911.0330714001</v>
      </c>
      <c r="N196" s="74">
        <f>K196+VLOOKUP($B$3:$B$210,'Potentialer og krav'!$B$2:$F$209,5,FALSE)</f>
        <v>3604380.5768441088</v>
      </c>
      <c r="O196" s="160">
        <f t="shared" si="63"/>
        <v>3813177.8397820937</v>
      </c>
      <c r="P196" s="163">
        <f t="shared" si="64"/>
        <v>3980911.0330714001</v>
      </c>
      <c r="Q196" s="104">
        <f>N196+(0.25*VLOOKUP($B$3:$B$210,'Potentialer og krav'!$B$2:$C$209,2,FALSE))</f>
        <v>4524105.5768441092</v>
      </c>
      <c r="R196" s="53">
        <f>O196+(0.25*VLOOKUP($B$3:$B$210,'Potentialer og krav'!$B$2:$C$209,2,FALSE))</f>
        <v>4732902.8397820937</v>
      </c>
      <c r="S196" s="104">
        <f>P196+(0.25*VLOOKUP($B$3:$B$210,'Potentialer og krav'!$B$2:$C$209,2,FALSE))</f>
        <v>4900636.0330714006</v>
      </c>
      <c r="T196" s="84">
        <v>2659265</v>
      </c>
      <c r="U196" s="92">
        <f t="shared" si="65"/>
        <v>2699153.9749999996</v>
      </c>
      <c r="W196" s="70">
        <f t="shared" si="66"/>
        <v>0.12189244489514695</v>
      </c>
      <c r="X196" s="73">
        <f t="shared" si="67"/>
        <v>0.33063545610476286</v>
      </c>
      <c r="Y196" s="62">
        <f t="shared" si="68"/>
        <v>0</v>
      </c>
      <c r="Z196" s="73">
        <f t="shared" si="69"/>
        <v>0.19873567308677159</v>
      </c>
      <c r="AA196" s="62">
        <f t="shared" si="70"/>
        <v>0.13503213371162565</v>
      </c>
      <c r="AB196" s="64">
        <f t="shared" si="71"/>
        <v>0.21370429220169299</v>
      </c>
      <c r="AC196" s="62"/>
      <c r="AD196" s="145">
        <f t="shared" si="72"/>
        <v>0.34873642591331866</v>
      </c>
      <c r="AF196" s="57">
        <f>W$212-W196</f>
        <v>-3.2190393022291097E-3</v>
      </c>
      <c r="AG196" s="60">
        <f>X$212-X196</f>
        <v>-4.0837458981694719E-2</v>
      </c>
      <c r="AH196" s="83">
        <f>Y$212-Y196</f>
        <v>4.91945139363381E-2</v>
      </c>
      <c r="AI196" s="60">
        <f>Z$212-Z196</f>
        <v>3.2603529713509244E-2</v>
      </c>
      <c r="AJ196" s="83">
        <f>AA$212-AA196</f>
        <v>1.3612779654537777E-2</v>
      </c>
      <c r="AK196" s="76">
        <f>AB$212-AB196</f>
        <v>-5.1354325020461528E-2</v>
      </c>
      <c r="AM196" s="57">
        <f>$AD$212-AD196</f>
        <v>-3.7741545365923668E-2</v>
      </c>
      <c r="AN196" s="106">
        <f>IF(AM196&lt;$AD$215,(AM196-$AD$215)*0.5683,0)</f>
        <v>0</v>
      </c>
    </row>
    <row r="197" spans="1:40" x14ac:dyDescent="0.25">
      <c r="A197" s="17" t="s">
        <v>454</v>
      </c>
      <c r="B197" s="90" t="s">
        <v>455</v>
      </c>
      <c r="C197" s="88">
        <f>VLOOKUP($B$3:$B$210,Costdrivere!$B$3:$H$211,2,FALSE)</f>
        <v>1401517.5956979389</v>
      </c>
      <c r="D197" s="46">
        <f>VLOOKUP($B$3:$B$210,Costdrivere!$B$3:$H$211,3,FALSE)</f>
        <v>4021038.0219999999</v>
      </c>
      <c r="E197" s="23">
        <f>VLOOKUP($B$3:$B$210,Costdrivere!$B$3:$H$211,4,FALSE)</f>
        <v>1133463</v>
      </c>
      <c r="F197" s="46">
        <f>VLOOKUP($B$3:$B$210,Costdrivere!$B$3:$H$211,5,FALSE)</f>
        <v>4462207</v>
      </c>
      <c r="G197" s="23">
        <f>VLOOKUP($B$3:$B$210,Costdrivere!$B$3:$H$211,6,FALSE)</f>
        <v>2132952</v>
      </c>
      <c r="H197" s="93">
        <f>VLOOKUP($B$3:$B$210,Costdrivere!$B$3:$H$211,7,FALSE)</f>
        <v>1657387.2000000002</v>
      </c>
      <c r="I197" s="27">
        <v>27.070781806829682</v>
      </c>
      <c r="J197" s="20">
        <f>VLOOKUP($B$3:$B$210,Costdrivere!$B$3:$I$211,8,FALSE)</f>
        <v>3.2637168141592919E-2</v>
      </c>
      <c r="K197" s="74">
        <f t="shared" si="60"/>
        <v>14808564.817697939</v>
      </c>
      <c r="L197" s="89">
        <f t="shared" si="61"/>
        <v>15730754.457115833</v>
      </c>
      <c r="M197" s="167">
        <f t="shared" si="62"/>
        <v>17074835.077185381</v>
      </c>
      <c r="N197" s="74">
        <f>K197+VLOOKUP($B$3:$B$210,'Potentialer og krav'!$B$2:$F$209,5,FALSE)</f>
        <v>14808564.817697939</v>
      </c>
      <c r="O197" s="160">
        <f t="shared" si="63"/>
        <v>15730754.457115833</v>
      </c>
      <c r="P197" s="163">
        <f t="shared" si="64"/>
        <v>17074835.077185381</v>
      </c>
      <c r="Q197" s="104">
        <f>N197+(0.25*VLOOKUP($B$3:$B$210,'Potentialer og krav'!$B$2:$C$209,2,FALSE))</f>
        <v>17724420.817697939</v>
      </c>
      <c r="R197" s="53">
        <f>O197+(0.25*VLOOKUP($B$3:$B$210,'Potentialer og krav'!$B$2:$C$209,2,FALSE))</f>
        <v>18646610.457115833</v>
      </c>
      <c r="S197" s="104">
        <f>P197+(0.25*VLOOKUP($B$3:$B$210,'Potentialer og krav'!$B$2:$C$209,2,FALSE))</f>
        <v>19990691.077185381</v>
      </c>
      <c r="T197" s="84">
        <v>10212007</v>
      </c>
      <c r="U197" s="92">
        <f t="shared" si="65"/>
        <v>10365187.104999999</v>
      </c>
      <c r="W197" s="70">
        <f t="shared" si="66"/>
        <v>9.4642364938901047E-2</v>
      </c>
      <c r="X197" s="73">
        <f t="shared" si="67"/>
        <v>0.27153462010001111</v>
      </c>
      <c r="Y197" s="62">
        <f t="shared" si="68"/>
        <v>7.6541043237720194E-2</v>
      </c>
      <c r="Z197" s="73">
        <f t="shared" si="69"/>
        <v>0.30132609438742836</v>
      </c>
      <c r="AA197" s="62">
        <f t="shared" si="70"/>
        <v>0.14403502474803481</v>
      </c>
      <c r="AB197" s="64">
        <f t="shared" si="71"/>
        <v>0.11192085258790452</v>
      </c>
      <c r="AC197" s="62"/>
      <c r="AD197" s="145">
        <f t="shared" si="72"/>
        <v>0.25595587733593933</v>
      </c>
      <c r="AF197" s="57">
        <f>W$212-W197</f>
        <v>2.4031040654016789E-2</v>
      </c>
      <c r="AG197" s="60">
        <f>X$212-X197</f>
        <v>1.8263377023057026E-2</v>
      </c>
      <c r="AH197" s="83">
        <f>Y$212-Y197</f>
        <v>-2.7346529301382094E-2</v>
      </c>
      <c r="AI197" s="60">
        <f>Z$212-Z197</f>
        <v>-6.9986891587147521E-2</v>
      </c>
      <c r="AJ197" s="83">
        <f>AA$212-AA197</f>
        <v>4.6098886181286103E-3</v>
      </c>
      <c r="AK197" s="76">
        <f>AB$212-AB197</f>
        <v>5.042911459332694E-2</v>
      </c>
      <c r="AM197" s="57">
        <f>$AD$212-AD197</f>
        <v>5.5039003211455662E-2</v>
      </c>
      <c r="AN197" s="106">
        <f>IF(AM197&lt;$AD$215,(AM197-$AD$215)*0.5683,0)</f>
        <v>0</v>
      </c>
    </row>
    <row r="198" spans="1:40" x14ac:dyDescent="0.25">
      <c r="A198" s="17" t="s">
        <v>456</v>
      </c>
      <c r="B198" s="90" t="s">
        <v>457</v>
      </c>
      <c r="C198" s="88">
        <f>VLOOKUP($B$3:$B$210,Costdrivere!$B$3:$H$211,2,FALSE)</f>
        <v>2083777.5673199997</v>
      </c>
      <c r="D198" s="46">
        <f>VLOOKUP($B$3:$B$210,Costdrivere!$B$3:$H$211,3,FALSE)</f>
        <v>6147057.5109999999</v>
      </c>
      <c r="E198" s="23">
        <f>VLOOKUP($B$3:$B$210,Costdrivere!$B$3:$H$211,4,FALSE)</f>
        <v>1530919</v>
      </c>
      <c r="F198" s="46">
        <f>VLOOKUP($B$3:$B$210,Costdrivere!$B$3:$H$211,5,FALSE)</f>
        <v>8721349</v>
      </c>
      <c r="G198" s="23">
        <f>VLOOKUP($B$3:$B$210,Costdrivere!$B$3:$H$211,6,FALSE)</f>
        <v>2740756.0000000005</v>
      </c>
      <c r="H198" s="93">
        <f>VLOOKUP($B$3:$B$210,Costdrivere!$B$3:$H$211,7,FALSE)</f>
        <v>2554539.4000000004</v>
      </c>
      <c r="I198" s="27">
        <v>28.070623538870382</v>
      </c>
      <c r="J198" s="20">
        <f>VLOOKUP($B$3:$B$210,Costdrivere!$B$3:$I$211,8,FALSE)</f>
        <v>1.5644954128440369E-2</v>
      </c>
      <c r="K198" s="74">
        <f t="shared" si="60"/>
        <v>23778398.478320003</v>
      </c>
      <c r="L198" s="89">
        <f t="shared" si="61"/>
        <v>25687119.621793043</v>
      </c>
      <c r="M198" s="167">
        <f t="shared" si="62"/>
        <v>21944971.215491679</v>
      </c>
      <c r="N198" s="74">
        <f>K198+VLOOKUP($B$3:$B$210,'Potentialer og krav'!$B$2:$F$209,5,FALSE)</f>
        <v>23791921.478320003</v>
      </c>
      <c r="O198" s="160">
        <f t="shared" si="63"/>
        <v>25701728.129551135</v>
      </c>
      <c r="P198" s="163">
        <f t="shared" si="64"/>
        <v>21957451.528075293</v>
      </c>
      <c r="Q198" s="104">
        <f>N198+(0.25*VLOOKUP($B$3:$B$210,'Potentialer og krav'!$B$2:$C$209,2,FALSE))</f>
        <v>27549614.478320003</v>
      </c>
      <c r="R198" s="53">
        <f>O198+(0.25*VLOOKUP($B$3:$B$210,'Potentialer og krav'!$B$2:$C$209,2,FALSE))</f>
        <v>29459421.129551135</v>
      </c>
      <c r="S198" s="104">
        <f>P198+(0.25*VLOOKUP($B$3:$B$210,'Potentialer og krav'!$B$2:$C$209,2,FALSE))</f>
        <v>25715144.528075293</v>
      </c>
      <c r="T198" s="84">
        <v>14725333</v>
      </c>
      <c r="U198" s="92">
        <f t="shared" si="65"/>
        <v>14946212.994999999</v>
      </c>
      <c r="W198" s="70">
        <f t="shared" si="66"/>
        <v>8.7633217570135674E-2</v>
      </c>
      <c r="X198" s="73">
        <f t="shared" si="67"/>
        <v>0.2585143619577488</v>
      </c>
      <c r="Y198" s="62">
        <f t="shared" si="68"/>
        <v>6.4382763262875675E-2</v>
      </c>
      <c r="Z198" s="73">
        <f t="shared" si="69"/>
        <v>0.36677613119957198</v>
      </c>
      <c r="AA198" s="62">
        <f t="shared" si="70"/>
        <v>0.11526243041552565</v>
      </c>
      <c r="AB198" s="64">
        <f t="shared" si="71"/>
        <v>0.10743109559414214</v>
      </c>
      <c r="AC198" s="62"/>
      <c r="AD198" s="145">
        <f t="shared" si="72"/>
        <v>0.2226935260096678</v>
      </c>
      <c r="AF198" s="57">
        <f>W$212-W198</f>
        <v>3.1040188022782161E-2</v>
      </c>
      <c r="AG198" s="60">
        <f>X$212-X198</f>
        <v>3.1283635165319346E-2</v>
      </c>
      <c r="AH198" s="83">
        <f>Y$212-Y198</f>
        <v>-1.5188249326537576E-2</v>
      </c>
      <c r="AI198" s="60">
        <f>Z$212-Z198</f>
        <v>-0.13543692839929114</v>
      </c>
      <c r="AJ198" s="83">
        <f>AA$212-AA198</f>
        <v>3.3382482950637768E-2</v>
      </c>
      <c r="AK198" s="76">
        <f>AB$212-AB198</f>
        <v>5.4918871587089316E-2</v>
      </c>
      <c r="AM198" s="57">
        <f>$AD$212-AD198</f>
        <v>8.8301354537727195E-2</v>
      </c>
      <c r="AN198" s="106">
        <f>IF(AM198&lt;$AD$215,(AM198-$AD$215)*0.5683,0)</f>
        <v>0</v>
      </c>
    </row>
    <row r="199" spans="1:40" x14ac:dyDescent="0.25">
      <c r="A199" s="17" t="s">
        <v>65</v>
      </c>
      <c r="B199" s="90" t="s">
        <v>458</v>
      </c>
      <c r="C199" s="88">
        <f>VLOOKUP($B$3:$B$210,Costdrivere!$B$3:$H$211,2,FALSE)</f>
        <v>40417.851158623795</v>
      </c>
      <c r="D199" s="46">
        <f>VLOOKUP($B$3:$B$210,Costdrivere!$B$3:$H$211,3,FALSE)</f>
        <v>86363.245999999999</v>
      </c>
      <c r="E199" s="23">
        <f>VLOOKUP($B$3:$B$210,Costdrivere!$B$3:$H$211,4,FALSE)</f>
        <v>0</v>
      </c>
      <c r="F199" s="46">
        <f>VLOOKUP($B$3:$B$210,Costdrivere!$B$3:$H$211,5,FALSE)</f>
        <v>210444</v>
      </c>
      <c r="G199" s="23">
        <f>VLOOKUP($B$3:$B$210,Costdrivere!$B$3:$H$211,6,FALSE)</f>
        <v>140145.60000000001</v>
      </c>
      <c r="H199" s="93">
        <f>VLOOKUP($B$3:$B$210,Costdrivere!$B$3:$H$211,7,FALSE)</f>
        <v>154593.60000000001</v>
      </c>
      <c r="I199" s="27">
        <v>33.795123545229281</v>
      </c>
      <c r="J199" s="20">
        <f>VLOOKUP($B$3:$B$210,Costdrivere!$B$3:$I$211,8,FALSE)</f>
        <v>1.9846153846153847E-2</v>
      </c>
      <c r="K199" s="74">
        <f t="shared" si="60"/>
        <v>631964.29715862381</v>
      </c>
      <c r="L199" s="89">
        <f t="shared" si="61"/>
        <v>747811.07784190285</v>
      </c>
      <c r="M199" s="167">
        <f t="shared" si="62"/>
        <v>619196.28494938393</v>
      </c>
      <c r="N199" s="74">
        <f>K199+VLOOKUP($B$3:$B$210,'Potentialer og krav'!$B$2:$F$209,5,FALSE)</f>
        <v>631964.29715862381</v>
      </c>
      <c r="O199" s="160">
        <f t="shared" si="63"/>
        <v>747811.07784190285</v>
      </c>
      <c r="P199" s="163">
        <f t="shared" si="64"/>
        <v>619196.28494938393</v>
      </c>
      <c r="Q199" s="104">
        <f>N199+(0.25*VLOOKUP($B$3:$B$210,'Potentialer og krav'!$B$2:$C$209,2,FALSE))</f>
        <v>780456.29715862381</v>
      </c>
      <c r="R199" s="53">
        <f>O199+(0.25*VLOOKUP($B$3:$B$210,'Potentialer og krav'!$B$2:$C$209,2,FALSE))</f>
        <v>896303.07784190285</v>
      </c>
      <c r="S199" s="104">
        <f>P199+(0.25*VLOOKUP($B$3:$B$210,'Potentialer og krav'!$B$2:$C$209,2,FALSE))</f>
        <v>767688.28494938393</v>
      </c>
      <c r="T199" s="84">
        <v>506825</v>
      </c>
      <c r="U199" s="92">
        <f t="shared" si="65"/>
        <v>514427.37499999994</v>
      </c>
      <c r="W199" s="70">
        <f t="shared" si="66"/>
        <v>6.3955909123896065E-2</v>
      </c>
      <c r="X199" s="73">
        <f t="shared" si="67"/>
        <v>0.13665842578180126</v>
      </c>
      <c r="Y199" s="62">
        <f t="shared" si="68"/>
        <v>0</v>
      </c>
      <c r="Z199" s="73">
        <f t="shared" si="69"/>
        <v>0.33299982443023723</v>
      </c>
      <c r="AA199" s="62">
        <f t="shared" si="70"/>
        <v>0.22176189482556052</v>
      </c>
      <c r="AB199" s="64">
        <f t="shared" si="71"/>
        <v>0.24462394583850489</v>
      </c>
      <c r="AC199" s="62"/>
      <c r="AD199" s="145">
        <f t="shared" si="72"/>
        <v>0.46638584066406541</v>
      </c>
      <c r="AF199" s="57">
        <f>W$212-W199</f>
        <v>5.471749646902177E-2</v>
      </c>
      <c r="AG199" s="60">
        <f>X$212-X199</f>
        <v>0.15313957134126688</v>
      </c>
      <c r="AH199" s="83">
        <f>Y$212-Y199</f>
        <v>4.91945139363381E-2</v>
      </c>
      <c r="AI199" s="60">
        <f>Z$212-Z199</f>
        <v>-0.1016606216299564</v>
      </c>
      <c r="AJ199" s="83">
        <f>AA$212-AA199</f>
        <v>-7.3116981459397101E-2</v>
      </c>
      <c r="AK199" s="76">
        <f>AB$212-AB199</f>
        <v>-8.2273978657273428E-2</v>
      </c>
      <c r="AM199" s="57">
        <f>$AD$212-AD199</f>
        <v>-0.15539096011667042</v>
      </c>
      <c r="AN199" s="106">
        <f>IF(AM199&lt;$AD$215,(AM199-$AD$215)*0.5683,0)</f>
        <v>-2.8632881204090757E-2</v>
      </c>
    </row>
    <row r="200" spans="1:40" x14ac:dyDescent="0.25">
      <c r="A200" s="17" t="s">
        <v>491</v>
      </c>
      <c r="B200" s="90" t="s">
        <v>459</v>
      </c>
      <c r="C200" s="88">
        <f>VLOOKUP($B$3:$B$210,Costdrivere!$B$3:$H$211,2,FALSE)</f>
        <v>264668.60915064969</v>
      </c>
      <c r="D200" s="46">
        <f>VLOOKUP($B$3:$B$210,Costdrivere!$B$3:$H$211,3,FALSE)</f>
        <v>650995.50899999996</v>
      </c>
      <c r="E200" s="23">
        <f>VLOOKUP($B$3:$B$210,Costdrivere!$B$3:$H$211,4,FALSE)</f>
        <v>487827</v>
      </c>
      <c r="F200" s="46">
        <f>VLOOKUP($B$3:$B$210,Costdrivere!$B$3:$H$211,5,FALSE)</f>
        <v>627285</v>
      </c>
      <c r="G200" s="23">
        <f>VLOOKUP($B$3:$B$210,Costdrivere!$B$3:$H$211,6,FALSE)</f>
        <v>320623.80000000005</v>
      </c>
      <c r="H200" s="93">
        <f>VLOOKUP($B$3:$B$210,Costdrivere!$B$3:$H$211,7,FALSE)</f>
        <v>355325.60000000003</v>
      </c>
      <c r="I200" s="27">
        <v>22.209158338263073</v>
      </c>
      <c r="J200" s="20">
        <f>VLOOKUP($B$3:$B$210,Costdrivere!$B$3:$I$211,8,FALSE)</f>
        <v>1.5303225806451612E-2</v>
      </c>
      <c r="K200" s="74">
        <f t="shared" si="60"/>
        <v>2706725.5181506495</v>
      </c>
      <c r="L200" s="89">
        <f t="shared" si="61"/>
        <v>2638420.8939314722</v>
      </c>
      <c r="M200" s="167">
        <f t="shared" si="62"/>
        <v>2485496.4245089726</v>
      </c>
      <c r="N200" s="74">
        <f>K200+VLOOKUP($B$3:$B$210,'Potentialer og krav'!$B$2:$F$209,5,FALSE)</f>
        <v>2848721.5181506495</v>
      </c>
      <c r="O200" s="160">
        <f t="shared" si="63"/>
        <v>2776833.6035846723</v>
      </c>
      <c r="P200" s="163">
        <f t="shared" si="64"/>
        <v>2615886.6498672175</v>
      </c>
      <c r="Q200" s="104">
        <f>N200+(0.25*VLOOKUP($B$3:$B$210,'Potentialer og krav'!$B$2:$C$209,2,FALSE))</f>
        <v>3418363.0181506495</v>
      </c>
      <c r="R200" s="53">
        <f>O200+(0.25*VLOOKUP($B$3:$B$210,'Potentialer og krav'!$B$2:$C$209,2,FALSE))</f>
        <v>3346475.1035846723</v>
      </c>
      <c r="S200" s="104">
        <f>P200+(0.25*VLOOKUP($B$3:$B$210,'Potentialer og krav'!$B$2:$C$209,2,FALSE))</f>
        <v>3185528.1498672175</v>
      </c>
      <c r="T200" s="84">
        <v>1375839</v>
      </c>
      <c r="U200" s="92">
        <f t="shared" si="65"/>
        <v>1396476.585</v>
      </c>
      <c r="W200" s="70">
        <f t="shared" si="66"/>
        <v>9.7781842811857256E-2</v>
      </c>
      <c r="X200" s="73">
        <f t="shared" si="67"/>
        <v>0.24051035268799176</v>
      </c>
      <c r="Y200" s="62">
        <f t="shared" si="68"/>
        <v>0.18022773152606336</v>
      </c>
      <c r="Z200" s="73">
        <f t="shared" si="69"/>
        <v>0.23175050288386387</v>
      </c>
      <c r="AA200" s="62">
        <f t="shared" si="70"/>
        <v>0.11845449339062053</v>
      </c>
      <c r="AB200" s="64">
        <f t="shared" si="71"/>
        <v>0.13127507669960331</v>
      </c>
      <c r="AC200" s="62"/>
      <c r="AD200" s="145">
        <f t="shared" si="72"/>
        <v>0.24972957009022384</v>
      </c>
      <c r="AF200" s="57">
        <f>W$212-W200</f>
        <v>2.089156278106058E-2</v>
      </c>
      <c r="AG200" s="60">
        <f>X$212-X200</f>
        <v>4.9287644435076383E-2</v>
      </c>
      <c r="AH200" s="83">
        <f>Y$212-Y200</f>
        <v>-0.13103321758972525</v>
      </c>
      <c r="AI200" s="60">
        <f>Z$212-Z200</f>
        <v>-4.1130008358303272E-4</v>
      </c>
      <c r="AJ200" s="83">
        <f>AA$212-AA200</f>
        <v>3.0190419975542893E-2</v>
      </c>
      <c r="AK200" s="76">
        <f>AB$212-AB200</f>
        <v>3.1074890481628148E-2</v>
      </c>
      <c r="AM200" s="57">
        <f>$AD$212-AD200</f>
        <v>6.1265310457171152E-2</v>
      </c>
      <c r="AN200" s="106">
        <f>IF(AM200&lt;$AD$215,(AM200-$AD$215)*0.5683,0)</f>
        <v>0</v>
      </c>
    </row>
    <row r="201" spans="1:40" x14ac:dyDescent="0.25">
      <c r="A201" s="17" t="s">
        <v>66</v>
      </c>
      <c r="B201" s="90" t="s">
        <v>460</v>
      </c>
      <c r="C201" s="88">
        <f>VLOOKUP($B$3:$B$210,Costdrivere!$B$3:$H$211,2,FALSE)</f>
        <v>325633.53111886187</v>
      </c>
      <c r="D201" s="46">
        <f>VLOOKUP($B$3:$B$210,Costdrivere!$B$3:$H$211,3,FALSE)</f>
        <v>837271.201</v>
      </c>
      <c r="E201" s="23">
        <f>VLOOKUP($B$3:$B$210,Costdrivere!$B$3:$H$211,4,FALSE)</f>
        <v>183844</v>
      </c>
      <c r="F201" s="46">
        <f>VLOOKUP($B$3:$B$210,Costdrivere!$B$3:$H$211,5,FALSE)</f>
        <v>687990</v>
      </c>
      <c r="G201" s="23">
        <f>VLOOKUP($B$3:$B$210,Costdrivere!$B$3:$H$211,6,FALSE)</f>
        <v>330808.80000000005</v>
      </c>
      <c r="H201" s="93">
        <f>VLOOKUP($B$3:$B$210,Costdrivere!$B$3:$H$211,7,FALSE)</f>
        <v>368508</v>
      </c>
      <c r="I201" s="27">
        <v>25.558399895585666</v>
      </c>
      <c r="J201" s="20">
        <f>VLOOKUP($B$3:$B$210,Costdrivere!$B$3:$I$211,8,FALSE)</f>
        <v>1.4470588235294117E-2</v>
      </c>
      <c r="K201" s="74">
        <f t="shared" si="60"/>
        <v>2734055.5321188616</v>
      </c>
      <c r="L201" s="89">
        <f t="shared" si="61"/>
        <v>2829887.4542477233</v>
      </c>
      <c r="M201" s="167">
        <f t="shared" si="62"/>
        <v>2479760.0621157102</v>
      </c>
      <c r="N201" s="74">
        <f>K201+VLOOKUP($B$3:$B$210,'Potentialer og krav'!$B$2:$F$209,5,FALSE)</f>
        <v>2734055.5321188616</v>
      </c>
      <c r="O201" s="160">
        <f t="shared" si="63"/>
        <v>2829887.4542477233</v>
      </c>
      <c r="P201" s="163">
        <f t="shared" si="64"/>
        <v>2479760.0621157102</v>
      </c>
      <c r="Q201" s="104">
        <f>N201+(0.25*VLOOKUP($B$3:$B$210,'Potentialer og krav'!$B$2:$C$209,2,FALSE))</f>
        <v>3281320.7821188616</v>
      </c>
      <c r="R201" s="53">
        <f>O201+(0.25*VLOOKUP($B$3:$B$210,'Potentialer og krav'!$B$2:$C$209,2,FALSE))</f>
        <v>3377152.7042477233</v>
      </c>
      <c r="S201" s="104">
        <f>P201+(0.25*VLOOKUP($B$3:$B$210,'Potentialer og krav'!$B$2:$C$209,2,FALSE))</f>
        <v>3027025.3121157102</v>
      </c>
      <c r="T201" s="84">
        <v>2255425</v>
      </c>
      <c r="U201" s="92">
        <f t="shared" si="65"/>
        <v>2289256.375</v>
      </c>
      <c r="W201" s="70">
        <f t="shared" si="66"/>
        <v>0.11910274948457233</v>
      </c>
      <c r="X201" s="73">
        <f t="shared" si="67"/>
        <v>0.3062378182022969</v>
      </c>
      <c r="Y201" s="62">
        <f t="shared" si="68"/>
        <v>6.7242233319790332E-2</v>
      </c>
      <c r="Z201" s="73">
        <f t="shared" si="69"/>
        <v>0.25163717119776852</v>
      </c>
      <c r="AA201" s="62">
        <f t="shared" si="70"/>
        <v>0.1209956404007738</v>
      </c>
      <c r="AB201" s="64">
        <f t="shared" si="71"/>
        <v>0.13478438739479828</v>
      </c>
      <c r="AC201" s="62"/>
      <c r="AD201" s="145">
        <f t="shared" si="72"/>
        <v>0.25578002779557207</v>
      </c>
      <c r="AF201" s="57">
        <f>W$212-W201</f>
        <v>-4.2934389165449893E-4</v>
      </c>
      <c r="AG201" s="60">
        <f>X$212-X201</f>
        <v>-1.6439821079228756E-2</v>
      </c>
      <c r="AH201" s="83">
        <f>Y$212-Y201</f>
        <v>-1.8047719383452232E-2</v>
      </c>
      <c r="AI201" s="60">
        <f>Z$212-Z201</f>
        <v>-2.0297968397487681E-2</v>
      </c>
      <c r="AJ201" s="83">
        <f>AA$212-AA201</f>
        <v>2.7649272965389618E-2</v>
      </c>
      <c r="AK201" s="76">
        <f>AB$212-AB201</f>
        <v>2.7565579786433175E-2</v>
      </c>
      <c r="AM201" s="57">
        <f>$AD$212-AD201</f>
        <v>5.5214852751822918E-2</v>
      </c>
      <c r="AN201" s="106">
        <f>IF(AM201&lt;$AD$215,(AM201-$AD$215)*0.5683,0)</f>
        <v>0</v>
      </c>
    </row>
    <row r="202" spans="1:40" x14ac:dyDescent="0.25">
      <c r="A202" s="17" t="s">
        <v>67</v>
      </c>
      <c r="B202" s="90" t="s">
        <v>461</v>
      </c>
      <c r="C202" s="88">
        <f>VLOOKUP($B$3:$B$210,Costdrivere!$B$3:$H$211,2,FALSE)</f>
        <v>697760.91592968709</v>
      </c>
      <c r="D202" s="46">
        <f>VLOOKUP($B$3:$B$210,Costdrivere!$B$3:$H$211,3,FALSE)</f>
        <v>1561704.987</v>
      </c>
      <c r="E202" s="23">
        <f>VLOOKUP($B$3:$B$210,Costdrivere!$B$3:$H$211,4,FALSE)</f>
        <v>212718</v>
      </c>
      <c r="F202" s="46">
        <f>VLOOKUP($B$3:$B$210,Costdrivere!$B$3:$H$211,5,FALSE)</f>
        <v>1455937</v>
      </c>
      <c r="G202" s="23">
        <f>VLOOKUP($B$3:$B$210,Costdrivere!$B$3:$H$211,6,FALSE)</f>
        <v>1188887</v>
      </c>
      <c r="H202" s="93">
        <f>VLOOKUP($B$3:$B$210,Costdrivere!$B$3:$H$211,7,FALSE)</f>
        <v>1232105</v>
      </c>
      <c r="I202" s="27">
        <v>33.621999671934368</v>
      </c>
      <c r="J202" s="20">
        <f>VLOOKUP($B$3:$B$210,Costdrivere!$B$3:$I$211,8,FALSE)</f>
        <v>4.1331658291457289E-2</v>
      </c>
      <c r="K202" s="74">
        <f t="shared" si="60"/>
        <v>6349112.9029296869</v>
      </c>
      <c r="L202" s="89">
        <f t="shared" si="61"/>
        <v>7493197.6140933409</v>
      </c>
      <c r="M202" s="167">
        <f t="shared" si="62"/>
        <v>8068427.1529710758</v>
      </c>
      <c r="N202" s="74">
        <f>K202+VLOOKUP($B$3:$B$210,'Potentialer og krav'!$B$2:$F$209,5,FALSE)</f>
        <v>6349112.9029296869</v>
      </c>
      <c r="O202" s="160">
        <f t="shared" si="63"/>
        <v>7493197.6140933409</v>
      </c>
      <c r="P202" s="163">
        <f t="shared" si="64"/>
        <v>8068427.1529710758</v>
      </c>
      <c r="Q202" s="104">
        <f>N202+(0.25*VLOOKUP($B$3:$B$210,'Potentialer og krav'!$B$2:$C$209,2,FALSE))</f>
        <v>8470045.652929686</v>
      </c>
      <c r="R202" s="53">
        <f>O202+(0.25*VLOOKUP($B$3:$B$210,'Potentialer og krav'!$B$2:$C$209,2,FALSE))</f>
        <v>9614130.3640933409</v>
      </c>
      <c r="S202" s="104">
        <f>P202+(0.25*VLOOKUP($B$3:$B$210,'Potentialer og krav'!$B$2:$C$209,2,FALSE))</f>
        <v>10189359.902971076</v>
      </c>
      <c r="T202" s="84">
        <v>7743989</v>
      </c>
      <c r="U202" s="92">
        <f t="shared" si="65"/>
        <v>7860148.834999999</v>
      </c>
      <c r="W202" s="70">
        <f>C202/(SUM($C202:$H202))</f>
        <v>0.10989896172860897</v>
      </c>
      <c r="X202" s="73">
        <f t="shared" si="67"/>
        <v>0.24597215561868155</v>
      </c>
      <c r="Y202" s="62">
        <f t="shared" si="68"/>
        <v>3.3503578098578936E-2</v>
      </c>
      <c r="Z202" s="73">
        <f t="shared" si="69"/>
        <v>0.22931345248691096</v>
      </c>
      <c r="AA202" s="62">
        <f t="shared" si="70"/>
        <v>0.18725245844209337</v>
      </c>
      <c r="AB202" s="64">
        <f t="shared" si="71"/>
        <v>0.19405939362512623</v>
      </c>
      <c r="AC202" s="62"/>
      <c r="AD202" s="145">
        <f t="shared" si="72"/>
        <v>0.38131185206721963</v>
      </c>
      <c r="AF202" s="57">
        <f>W$212-W202</f>
        <v>8.7744438643088674E-3</v>
      </c>
      <c r="AG202" s="60">
        <f>X$212-X202</f>
        <v>4.3825841504386592E-2</v>
      </c>
      <c r="AH202" s="83">
        <f>Y$212-Y202</f>
        <v>1.5690935837759164E-2</v>
      </c>
      <c r="AI202" s="60">
        <f>Z$212-Z202</f>
        <v>2.0257503133698784E-3</v>
      </c>
      <c r="AJ202" s="83">
        <f>AA$212-AA202</f>
        <v>-3.860754507592995E-2</v>
      </c>
      <c r="AK202" s="76">
        <f>AB$212-AB202</f>
        <v>-3.1709426443894767E-2</v>
      </c>
      <c r="AM202" s="57">
        <f>$AD$212-AD202</f>
        <v>-7.0316971519824634E-2</v>
      </c>
      <c r="AN202" s="106">
        <f>IF(AM202&lt;$AD$215,(AM202-$AD$215)*0.5683,0)</f>
        <v>0</v>
      </c>
    </row>
    <row r="203" spans="1:40" x14ac:dyDescent="0.25">
      <c r="A203" s="17" t="s">
        <v>79</v>
      </c>
      <c r="B203" s="90" t="s">
        <v>464</v>
      </c>
      <c r="C203" s="88">
        <f>VLOOKUP($B$3:$B$210,Costdrivere!$B$3:$H$211,2,FALSE)</f>
        <v>114950.060843641</v>
      </c>
      <c r="D203" s="46">
        <f>VLOOKUP($B$3:$B$210,Costdrivere!$B$3:$H$211,3,FALSE)</f>
        <v>293882.614</v>
      </c>
      <c r="E203" s="23">
        <f>VLOOKUP($B$3:$B$210,Costdrivere!$B$3:$H$211,4,FALSE)</f>
        <v>127375</v>
      </c>
      <c r="F203" s="46">
        <f>VLOOKUP($B$3:$B$210,Costdrivere!$B$3:$H$211,5,FALSE)</f>
        <v>194256</v>
      </c>
      <c r="G203" s="23">
        <f>VLOOKUP($B$3:$B$210,Costdrivere!$B$3:$H$211,6,FALSE)</f>
        <v>283550.40000000002</v>
      </c>
      <c r="H203" s="93">
        <f>VLOOKUP($B$3:$B$210,Costdrivere!$B$3:$H$211,7,FALSE)</f>
        <v>312782.40000000002</v>
      </c>
      <c r="I203" s="27">
        <v>23.929943177814014</v>
      </c>
      <c r="J203" s="20">
        <f>VLOOKUP($B$3:$B$210,Costdrivere!$B$3:$I$211,8,FALSE)</f>
        <v>4.3499999999999997E-2</v>
      </c>
      <c r="K203" s="74">
        <f t="shared" si="60"/>
        <v>1326796.474843641</v>
      </c>
      <c r="L203" s="89">
        <f t="shared" si="61"/>
        <v>1334410.9295626744</v>
      </c>
      <c r="M203" s="167">
        <f t="shared" si="62"/>
        <v>1725053.0119186079</v>
      </c>
      <c r="N203" s="74">
        <f>K203+VLOOKUP($B$3:$B$210,'Potentialer og krav'!$B$2:$F$209,5,FALSE)</f>
        <v>1326796.474843641</v>
      </c>
      <c r="O203" s="160">
        <f t="shared" si="63"/>
        <v>1334410.9295626744</v>
      </c>
      <c r="P203" s="163">
        <f t="shared" si="64"/>
        <v>1725053.0119186079</v>
      </c>
      <c r="Q203" s="104">
        <f>N203+(0.25*VLOOKUP($B$3:$B$210,'Potentialer og krav'!$B$2:$C$209,2,FALSE))</f>
        <v>1942235.974843641</v>
      </c>
      <c r="R203" s="53">
        <f>O203+(0.25*VLOOKUP($B$3:$B$210,'Potentialer og krav'!$B$2:$C$209,2,FALSE))</f>
        <v>1949850.4295626744</v>
      </c>
      <c r="S203" s="104">
        <f>P203+(0.25*VLOOKUP($B$3:$B$210,'Potentialer og krav'!$B$2:$C$209,2,FALSE))</f>
        <v>2340492.5119186081</v>
      </c>
      <c r="T203" s="84">
        <v>2662479</v>
      </c>
      <c r="U203" s="92">
        <f t="shared" si="65"/>
        <v>2702416.1849999996</v>
      </c>
      <c r="W203" s="70">
        <f t="shared" si="66"/>
        <v>8.6637297447739681E-2</v>
      </c>
      <c r="X203" s="73">
        <f t="shared" si="67"/>
        <v>0.22149788575119117</v>
      </c>
      <c r="Y203" s="62">
        <f t="shared" si="68"/>
        <v>9.6001913190951735E-2</v>
      </c>
      <c r="Z203" s="73">
        <f t="shared" si="69"/>
        <v>0.14640979508397661</v>
      </c>
      <c r="AA203" s="62">
        <f t="shared" si="70"/>
        <v>0.21371054670115519</v>
      </c>
      <c r="AB203" s="64">
        <f t="shared" si="71"/>
        <v>0.23574256182498562</v>
      </c>
      <c r="AC203" s="62"/>
      <c r="AD203" s="145">
        <f t="shared" si="72"/>
        <v>0.44945310852614084</v>
      </c>
      <c r="AF203" s="57">
        <f>W$212-W203</f>
        <v>3.2036108145178155E-2</v>
      </c>
      <c r="AG203" s="60">
        <f>X$212-X203</f>
        <v>6.830011137187697E-2</v>
      </c>
      <c r="AH203" s="83">
        <f>Y$212-Y203</f>
        <v>-4.6807399254613635E-2</v>
      </c>
      <c r="AI203" s="60">
        <f>Z$212-Z203</f>
        <v>8.4929407716304223E-2</v>
      </c>
      <c r="AJ203" s="83">
        <f>AA$212-AA203</f>
        <v>-6.5065633334991768E-2</v>
      </c>
      <c r="AK203" s="76">
        <f>AB$212-AB203</f>
        <v>-7.3392594643754167E-2</v>
      </c>
      <c r="AM203" s="57">
        <f>$AD$212-AD203</f>
        <v>-0.13845822797874585</v>
      </c>
      <c r="AN203" s="106">
        <f>IF(AM203&lt;$AD$215,(AM203-$AD$215)*0.5683,0)</f>
        <v>-1.9010009530108226E-2</v>
      </c>
    </row>
    <row r="204" spans="1:40" x14ac:dyDescent="0.25">
      <c r="A204" s="17" t="s">
        <v>465</v>
      </c>
      <c r="B204" s="90" t="s">
        <v>466</v>
      </c>
      <c r="C204" s="88">
        <f>VLOOKUP($B$3:$B$210,Costdrivere!$B$3:$H$211,2,FALSE)</f>
        <v>278049.42333671602</v>
      </c>
      <c r="D204" s="46">
        <f>VLOOKUP($B$3:$B$210,Costdrivere!$B$3:$H$211,3,FALSE)</f>
        <v>688144.51199999999</v>
      </c>
      <c r="E204" s="23">
        <f>VLOOKUP($B$3:$B$210,Costdrivere!$B$3:$H$211,4,FALSE)</f>
        <v>0</v>
      </c>
      <c r="F204" s="46">
        <f>VLOOKUP($B$3:$B$210,Costdrivere!$B$3:$H$211,5,FALSE)</f>
        <v>615144</v>
      </c>
      <c r="G204" s="23">
        <f>VLOOKUP($B$3:$B$210,Costdrivere!$B$3:$H$211,6,FALSE)</f>
        <v>275674</v>
      </c>
      <c r="H204" s="93">
        <f>VLOOKUP($B$3:$B$210,Costdrivere!$B$3:$H$211,7,FALSE)</f>
        <v>304094</v>
      </c>
      <c r="I204" s="27">
        <v>26.475395810310552</v>
      </c>
      <c r="J204" s="20">
        <f>VLOOKUP($B$3:$B$210,Costdrivere!$B$3:$I$211,8,FALSE)</f>
        <v>1.3355263157894736E-2</v>
      </c>
      <c r="K204" s="74">
        <f t="shared" si="60"/>
        <v>2161105.935336716</v>
      </c>
      <c r="L204" s="89">
        <f t="shared" si="61"/>
        <v>2272526.343287529</v>
      </c>
      <c r="M204" s="167">
        <f t="shared" si="62"/>
        <v>1927455.1235773454</v>
      </c>
      <c r="N204" s="74">
        <f>K204+VLOOKUP($B$3:$B$210,'Potentialer og krav'!$B$2:$F$209,5,FALSE)</f>
        <v>2161105.935336716</v>
      </c>
      <c r="O204" s="160">
        <f t="shared" si="63"/>
        <v>2272526.343287529</v>
      </c>
      <c r="P204" s="163">
        <f t="shared" si="64"/>
        <v>1927455.1235773454</v>
      </c>
      <c r="Q204" s="104">
        <f>N204+(0.25*VLOOKUP($B$3:$B$210,'Potentialer og krav'!$B$2:$C$209,2,FALSE))</f>
        <v>2583335.185336716</v>
      </c>
      <c r="R204" s="53">
        <f>O204+(0.25*VLOOKUP($B$3:$B$210,'Potentialer og krav'!$B$2:$C$209,2,FALSE))</f>
        <v>2694755.593287529</v>
      </c>
      <c r="S204" s="104">
        <f>P204+(0.25*VLOOKUP($B$3:$B$210,'Potentialer og krav'!$B$2:$C$209,2,FALSE))</f>
        <v>2349684.3735773452</v>
      </c>
      <c r="T204" s="84">
        <v>1489080</v>
      </c>
      <c r="U204" s="92">
        <f t="shared" si="65"/>
        <v>1511416.2</v>
      </c>
      <c r="W204" s="70">
        <f t="shared" si="66"/>
        <v>0.12866070968121879</v>
      </c>
      <c r="X204" s="73">
        <f t="shared" si="67"/>
        <v>0.31842238769881592</v>
      </c>
      <c r="Y204" s="62">
        <f t="shared" si="68"/>
        <v>0</v>
      </c>
      <c r="Z204" s="73">
        <f t="shared" si="69"/>
        <v>0.28464314957524567</v>
      </c>
      <c r="AA204" s="62">
        <f t="shared" si="70"/>
        <v>0.12756153943793042</v>
      </c>
      <c r="AB204" s="64">
        <f t="shared" si="71"/>
        <v>0.14071221360678923</v>
      </c>
      <c r="AC204" s="62"/>
      <c r="AD204" s="145">
        <f t="shared" si="72"/>
        <v>0.26827375304471968</v>
      </c>
      <c r="AF204" s="57">
        <f>W$212-W204</f>
        <v>-9.9873040883009523E-3</v>
      </c>
      <c r="AG204" s="60">
        <f>X$212-X204</f>
        <v>-2.8624390575747782E-2</v>
      </c>
      <c r="AH204" s="83">
        <f>Y$212-Y204</f>
        <v>4.91945139363381E-2</v>
      </c>
      <c r="AI204" s="60">
        <f>Z$212-Z204</f>
        <v>-5.3303946774964833E-2</v>
      </c>
      <c r="AJ204" s="83">
        <f>AA$212-AA204</f>
        <v>2.1083373928233007E-2</v>
      </c>
      <c r="AK204" s="76">
        <f>AB$212-AB204</f>
        <v>2.1637753574442226E-2</v>
      </c>
      <c r="AM204" s="57">
        <f>$AD$212-AD204</f>
        <v>4.2721127502675316E-2</v>
      </c>
      <c r="AN204" s="106">
        <f>IF(AM204&lt;$AD$215,(AM204-$AD$215)*0.5683,0)</f>
        <v>0</v>
      </c>
    </row>
    <row r="205" spans="1:40" x14ac:dyDescent="0.25">
      <c r="A205" s="17" t="s">
        <v>467</v>
      </c>
      <c r="B205" s="90" t="s">
        <v>468</v>
      </c>
      <c r="C205" s="88">
        <f>VLOOKUP($B$3:$B$210,Costdrivere!$B$3:$H$211,2,FALSE)</f>
        <v>278240.80141314986</v>
      </c>
      <c r="D205" s="46">
        <f>VLOOKUP($B$3:$B$210,Costdrivere!$B$3:$H$211,3,FALSE)</f>
        <v>0</v>
      </c>
      <c r="E205" s="23">
        <f>VLOOKUP($B$3:$B$210,Costdrivere!$B$3:$H$211,4,FALSE)</f>
        <v>35453</v>
      </c>
      <c r="F205" s="46">
        <f>VLOOKUP($B$3:$B$210,Costdrivere!$B$3:$H$211,5,FALSE)</f>
        <v>0</v>
      </c>
      <c r="G205" s="23">
        <f>VLOOKUP($B$3:$B$210,Costdrivere!$B$3:$H$211,6,FALSE)</f>
        <v>0</v>
      </c>
      <c r="H205" s="93">
        <f>VLOOKUP($B$3:$B$210,Costdrivere!$B$3:$H$211,7,FALSE)</f>
        <v>1048.6000000000001</v>
      </c>
      <c r="I205" s="27">
        <v>6.4</v>
      </c>
      <c r="J205" s="20">
        <f>VLOOKUP($B$3:$B$210,Costdrivere!$B$3:$I$211,8,FALSE)</f>
        <v>0</v>
      </c>
      <c r="K205" s="74">
        <f t="shared" si="60"/>
        <v>314742.40141314984</v>
      </c>
      <c r="L205" s="89">
        <f t="shared" si="61"/>
        <v>217235.20545535599</v>
      </c>
      <c r="M205" s="167">
        <f t="shared" si="62"/>
        <v>314742.40141314984</v>
      </c>
      <c r="N205" s="74">
        <f>K205+VLOOKUP($B$3:$B$210,'Potentialer og krav'!$B$2:$F$209,5,FALSE)</f>
        <v>314742.40141314984</v>
      </c>
      <c r="O205" s="160">
        <f t="shared" si="63"/>
        <v>217235.20545535599</v>
      </c>
      <c r="P205" s="163">
        <f t="shared" si="64"/>
        <v>314742.40141314984</v>
      </c>
      <c r="Q205" s="104">
        <f>N205+(0.25*VLOOKUP($B$3:$B$210,'Potentialer og krav'!$B$2:$C$209,2,FALSE))</f>
        <v>382135.40141314984</v>
      </c>
      <c r="R205" s="53">
        <f>O205+(0.25*VLOOKUP($B$3:$B$210,'Potentialer og krav'!$B$2:$C$209,2,FALSE))</f>
        <v>284628.20545535599</v>
      </c>
      <c r="S205" s="104">
        <f>P205+(0.25*VLOOKUP($B$3:$B$210,'Potentialer og krav'!$B$2:$C$209,2,FALSE))</f>
        <v>382135.40141314984</v>
      </c>
      <c r="T205" s="84">
        <v>267833</v>
      </c>
      <c r="U205" s="92">
        <f t="shared" si="65"/>
        <v>271850.495</v>
      </c>
      <c r="W205" s="70">
        <f t="shared" si="66"/>
        <v>0.88402706519327279</v>
      </c>
      <c r="X205" s="73">
        <f t="shared" si="67"/>
        <v>0</v>
      </c>
      <c r="Y205" s="62">
        <f t="shared" si="68"/>
        <v>0.11264132141338737</v>
      </c>
      <c r="Z205" s="73">
        <f t="shared" si="69"/>
        <v>0</v>
      </c>
      <c r="AA205" s="62">
        <f t="shared" si="70"/>
        <v>0</v>
      </c>
      <c r="AB205" s="64">
        <f t="shared" si="71"/>
        <v>3.3316133933398587E-3</v>
      </c>
      <c r="AC205" s="62"/>
      <c r="AD205" s="145">
        <f t="shared" si="72"/>
        <v>3.3316133933398587E-3</v>
      </c>
      <c r="AF205" s="57">
        <f>W$212-W205</f>
        <v>-0.76535365960035495</v>
      </c>
      <c r="AG205" s="60">
        <f>X$212-X205</f>
        <v>0.28979799712306814</v>
      </c>
      <c r="AH205" s="83">
        <f>Y$212-Y205</f>
        <v>-6.3446807477049269E-2</v>
      </c>
      <c r="AI205" s="60">
        <f>Z$212-Z205</f>
        <v>0.23133920280028084</v>
      </c>
      <c r="AJ205" s="83">
        <f>AA$212-AA205</f>
        <v>0.14864491336616342</v>
      </c>
      <c r="AK205" s="76">
        <f>AB$212-AB205</f>
        <v>0.15901835378789159</v>
      </c>
      <c r="AM205" s="57">
        <f>$AD$212-AD205</f>
        <v>0.30766326715405512</v>
      </c>
      <c r="AN205" s="106">
        <f>IF(AM205&lt;$AD$215,(AM205-$AD$215)*0.5683,0)</f>
        <v>0</v>
      </c>
    </row>
    <row r="206" spans="1:40" x14ac:dyDescent="0.25">
      <c r="A206" s="17" t="s">
        <v>469</v>
      </c>
      <c r="B206" s="90" t="s">
        <v>470</v>
      </c>
      <c r="C206" s="88">
        <f>VLOOKUP($B$3:$B$210,Costdrivere!$B$3:$H$211,2,FALSE)</f>
        <v>297071.05175755371</v>
      </c>
      <c r="D206" s="46">
        <f>VLOOKUP($B$3:$B$210,Costdrivere!$B$3:$H$211,3,FALSE)</f>
        <v>765860.46499999997</v>
      </c>
      <c r="E206" s="23">
        <f>VLOOKUP($B$3:$B$210,Costdrivere!$B$3:$H$211,4,FALSE)</f>
        <v>0</v>
      </c>
      <c r="F206" s="46">
        <f>VLOOKUP($B$3:$B$210,Costdrivere!$B$3:$H$211,5,FALSE)</f>
        <v>607050</v>
      </c>
      <c r="G206" s="23">
        <f>VLOOKUP($B$3:$B$210,Costdrivere!$B$3:$H$211,6,FALSE)</f>
        <v>383635.00000000006</v>
      </c>
      <c r="H206" s="93">
        <f>VLOOKUP($B$3:$B$210,Costdrivere!$B$3:$H$211,7,FALSE)</f>
        <v>423185.00000000006</v>
      </c>
      <c r="I206" s="27">
        <v>32.137760662375335</v>
      </c>
      <c r="J206" s="20">
        <f>VLOOKUP($B$3:$B$210,Costdrivere!$B$3:$I$211,8,FALSE)</f>
        <v>1.8833333333333334E-2</v>
      </c>
      <c r="K206" s="74">
        <f t="shared" si="60"/>
        <v>2476801.5167575539</v>
      </c>
      <c r="L206" s="89">
        <f t="shared" si="61"/>
        <v>2856940.2505033179</v>
      </c>
      <c r="M206" s="167">
        <f t="shared" si="62"/>
        <v>2392785.1069071153</v>
      </c>
      <c r="N206" s="74">
        <f>K206+VLOOKUP($B$3:$B$210,'Potentialer og krav'!$B$2:$F$209,5,FALSE)</f>
        <v>2476801.5167575539</v>
      </c>
      <c r="O206" s="160">
        <f t="shared" si="63"/>
        <v>2856940.2505033179</v>
      </c>
      <c r="P206" s="163">
        <f t="shared" si="64"/>
        <v>2392785.1069071153</v>
      </c>
      <c r="Q206" s="104">
        <f>N206+(0.25*VLOOKUP($B$3:$B$210,'Potentialer og krav'!$B$2:$C$209,2,FALSE))</f>
        <v>3007522.0167575539</v>
      </c>
      <c r="R206" s="53">
        <f>O206+(0.25*VLOOKUP($B$3:$B$210,'Potentialer og krav'!$B$2:$C$209,2,FALSE))</f>
        <v>3387660.7505033179</v>
      </c>
      <c r="S206" s="104">
        <f>P206+(0.25*VLOOKUP($B$3:$B$210,'Potentialer og krav'!$B$2:$C$209,2,FALSE))</f>
        <v>2923505.6069071153</v>
      </c>
      <c r="T206" s="84">
        <v>1846596</v>
      </c>
      <c r="U206" s="92">
        <f t="shared" si="65"/>
        <v>1874294.9399999997</v>
      </c>
      <c r="W206" s="70">
        <f t="shared" si="66"/>
        <v>0.11994140416485906</v>
      </c>
      <c r="X206" s="73">
        <f t="shared" si="67"/>
        <v>0.30921349967623085</v>
      </c>
      <c r="Y206" s="62">
        <f t="shared" si="68"/>
        <v>0</v>
      </c>
      <c r="Z206" s="73">
        <f t="shared" si="69"/>
        <v>0.24509432665186073</v>
      </c>
      <c r="AA206" s="62">
        <f t="shared" si="70"/>
        <v>0.1548912972656068</v>
      </c>
      <c r="AB206" s="64">
        <f t="shared" si="71"/>
        <v>0.17085947224144254</v>
      </c>
      <c r="AC206" s="62"/>
      <c r="AD206" s="145">
        <f t="shared" si="72"/>
        <v>0.32575076950704934</v>
      </c>
      <c r="AF206" s="57">
        <f>W$212-W206</f>
        <v>-1.2679985719412229E-3</v>
      </c>
      <c r="AG206" s="60">
        <f>X$212-X206</f>
        <v>-1.9415502553162711E-2</v>
      </c>
      <c r="AH206" s="83">
        <f>Y$212-Y206</f>
        <v>4.91945139363381E-2</v>
      </c>
      <c r="AI206" s="60">
        <f>Z$212-Z206</f>
        <v>-1.3755123851579898E-2</v>
      </c>
      <c r="AJ206" s="83">
        <f>AA$212-AA206</f>
        <v>-6.2463838994433751E-3</v>
      </c>
      <c r="AK206" s="76">
        <f>AB$212-AB206</f>
        <v>-8.5095050602110867E-3</v>
      </c>
      <c r="AM206" s="57">
        <f>$AD$212-AD206</f>
        <v>-1.4755888959654351E-2</v>
      </c>
      <c r="AN206" s="106">
        <f>IF(AM206&lt;$AD$215,(AM206-$AD$215)*0.5683,0)</f>
        <v>0</v>
      </c>
    </row>
    <row r="207" spans="1:40" x14ac:dyDescent="0.25">
      <c r="A207" s="17" t="s">
        <v>71</v>
      </c>
      <c r="B207" s="90" t="s">
        <v>471</v>
      </c>
      <c r="C207" s="88">
        <f>VLOOKUP($B$3:$B$210,Costdrivere!$B$3:$H$211,2,FALSE)</f>
        <v>3725847.4014287139</v>
      </c>
      <c r="D207" s="46">
        <f>VLOOKUP($B$3:$B$210,Costdrivere!$B$3:$H$211,3,FALSE)</f>
        <v>9064471.8279999997</v>
      </c>
      <c r="E207" s="23">
        <f>VLOOKUP($B$3:$B$210,Costdrivere!$B$3:$H$211,4,FALSE)</f>
        <v>1538934</v>
      </c>
      <c r="F207" s="46">
        <f>VLOOKUP($B$3:$B$210,Costdrivere!$B$3:$H$211,5,FALSE)</f>
        <v>9863484</v>
      </c>
      <c r="G207" s="23">
        <f>VLOOKUP($B$3:$B$210,Costdrivere!$B$3:$H$211,6,FALSE)</f>
        <v>6243193.1999999993</v>
      </c>
      <c r="H207" s="93">
        <f>VLOOKUP($B$3:$B$210,Costdrivere!$B$3:$H$211,7,FALSE)</f>
        <v>3290506.8000000003</v>
      </c>
      <c r="I207" s="27">
        <v>32.999616132646672</v>
      </c>
      <c r="J207" s="20">
        <f>VLOOKUP($B$3:$B$210,Costdrivere!$B$3:$I$211,8,FALSE)</f>
        <v>3.1880986937590713E-2</v>
      </c>
      <c r="K207" s="74">
        <f t="shared" si="60"/>
        <v>33726437.229428716</v>
      </c>
      <c r="L207" s="89">
        <f t="shared" si="61"/>
        <v>39425972.08459463</v>
      </c>
      <c r="M207" s="167">
        <f t="shared" si="62"/>
        <v>38542440.497032404</v>
      </c>
      <c r="N207" s="74">
        <f>K207+VLOOKUP($B$3:$B$210,'Potentialer og krav'!$B$2:$F$209,5,FALSE)</f>
        <v>33726437.229428716</v>
      </c>
      <c r="O207" s="160">
        <f t="shared" si="63"/>
        <v>39425972.08459463</v>
      </c>
      <c r="P207" s="163">
        <f t="shared" si="64"/>
        <v>38542440.497032404</v>
      </c>
      <c r="Q207" s="104">
        <f>N207+(0.25*VLOOKUP($B$3:$B$210,'Potentialer og krav'!$B$2:$C$209,2,FALSE))</f>
        <v>42134743.229428716</v>
      </c>
      <c r="R207" s="53">
        <f>O207+(0.25*VLOOKUP($B$3:$B$210,'Potentialer og krav'!$B$2:$C$209,2,FALSE))</f>
        <v>47834278.08459463</v>
      </c>
      <c r="S207" s="104">
        <f>P207+(0.25*VLOOKUP($B$3:$B$210,'Potentialer og krav'!$B$2:$C$209,2,FALSE))</f>
        <v>46950746.497032404</v>
      </c>
      <c r="T207" s="84">
        <v>29399449</v>
      </c>
      <c r="U207" s="92">
        <f t="shared" si="65"/>
        <v>29840440.734999996</v>
      </c>
      <c r="W207" s="70">
        <f t="shared" si="66"/>
        <v>0.11047260569158628</v>
      </c>
      <c r="X207" s="73">
        <f t="shared" si="67"/>
        <v>0.26876458270221926</v>
      </c>
      <c r="Y207" s="62">
        <f t="shared" si="68"/>
        <v>4.5629901241307828E-2</v>
      </c>
      <c r="Z207" s="73">
        <f t="shared" si="69"/>
        <v>0.29245555742820672</v>
      </c>
      <c r="AA207" s="62">
        <f t="shared" si="70"/>
        <v>0.18511273982276341</v>
      </c>
      <c r="AB207" s="64">
        <f t="shared" si="71"/>
        <v>9.7564613113916426E-2</v>
      </c>
      <c r="AC207" s="62"/>
      <c r="AD207" s="145">
        <f t="shared" si="72"/>
        <v>0.28267735293667984</v>
      </c>
      <c r="AF207" s="57">
        <f>W$212-W207</f>
        <v>8.2007999013315597E-3</v>
      </c>
      <c r="AG207" s="60">
        <f>X$212-X207</f>
        <v>2.1033414420848884E-2</v>
      </c>
      <c r="AH207" s="83">
        <f>Y$212-Y207</f>
        <v>3.5646126950302712E-3</v>
      </c>
      <c r="AI207" s="60">
        <f>Z$212-Z207</f>
        <v>-6.111635462792589E-2</v>
      </c>
      <c r="AJ207" s="83">
        <f>AA$212-AA207</f>
        <v>-3.6467826456599989E-2</v>
      </c>
      <c r="AK207" s="76">
        <f>AB$212-AB207</f>
        <v>6.4785354067315032E-2</v>
      </c>
      <c r="AM207" s="57">
        <f>$AD$212-AD207</f>
        <v>2.8317527610715154E-2</v>
      </c>
      <c r="AN207" s="106">
        <f>IF(AM207&lt;$AD$215,(AM207-$AD$215)*0.5683,0)</f>
        <v>0</v>
      </c>
    </row>
    <row r="208" spans="1:40" x14ac:dyDescent="0.25">
      <c r="A208" s="17" t="s">
        <v>72</v>
      </c>
      <c r="B208" s="90" t="s">
        <v>472</v>
      </c>
      <c r="C208" s="88">
        <f>VLOOKUP($B$3:$B$210,Costdrivere!$B$3:$H$211,2,FALSE)</f>
        <v>142116.85713619646</v>
      </c>
      <c r="D208" s="46">
        <f>VLOOKUP($B$3:$B$210,Costdrivere!$B$3:$H$211,3,FALSE)</f>
        <v>347659.56799999997</v>
      </c>
      <c r="E208" s="23">
        <f>VLOOKUP($B$3:$B$210,Costdrivere!$B$3:$H$211,4,FALSE)</f>
        <v>35453</v>
      </c>
      <c r="F208" s="46">
        <f>VLOOKUP($B$3:$B$210,Costdrivere!$B$3:$H$211,5,FALSE)</f>
        <v>169974</v>
      </c>
      <c r="G208" s="23">
        <f>VLOOKUP($B$3:$B$210,Costdrivere!$B$3:$H$211,6,FALSE)</f>
        <v>195552.00000000003</v>
      </c>
      <c r="H208" s="93">
        <f>VLOOKUP($B$3:$B$210,Costdrivere!$B$3:$H$211,7,FALSE)</f>
        <v>218408.40000000002</v>
      </c>
      <c r="I208" s="27">
        <v>24.547640035851305</v>
      </c>
      <c r="J208" s="20">
        <f>VLOOKUP($B$3:$B$210,Costdrivere!$B$3:$I$211,8,FALSE)</f>
        <v>3.4714285714285711E-2</v>
      </c>
      <c r="K208" s="74">
        <f t="shared" si="60"/>
        <v>1109163.8251361963</v>
      </c>
      <c r="L208" s="89">
        <f t="shared" si="61"/>
        <v>1127861.5772174757</v>
      </c>
      <c r="M208" s="167">
        <f t="shared" si="62"/>
        <v>1310111.3522400709</v>
      </c>
      <c r="N208" s="74">
        <f>K208+VLOOKUP($B$3:$B$210,'Potentialer og krav'!$B$2:$F$209,5,FALSE)</f>
        <v>1109163.8251361963</v>
      </c>
      <c r="O208" s="160">
        <f t="shared" si="63"/>
        <v>1127861.5772174757</v>
      </c>
      <c r="P208" s="163">
        <f t="shared" si="64"/>
        <v>1310111.3522400709</v>
      </c>
      <c r="Q208" s="104">
        <f>N208+(0.25*VLOOKUP($B$3:$B$210,'Potentialer og krav'!$B$2:$C$209,2,FALSE))</f>
        <v>1488608.3251361963</v>
      </c>
      <c r="R208" s="53">
        <f>O208+(0.25*VLOOKUP($B$3:$B$210,'Potentialer og krav'!$B$2:$C$209,2,FALSE))</f>
        <v>1507306.0772174757</v>
      </c>
      <c r="S208" s="104">
        <f>P208+(0.25*VLOOKUP($B$3:$B$210,'Potentialer og krav'!$B$2:$C$209,2,FALSE))</f>
        <v>1689555.8522400709</v>
      </c>
      <c r="T208" s="84">
        <v>1170479</v>
      </c>
      <c r="U208" s="92">
        <f t="shared" si="65"/>
        <v>1188036.1849999998</v>
      </c>
      <c r="W208" s="70">
        <f t="shared" si="66"/>
        <v>0.12812972611935453</v>
      </c>
      <c r="X208" s="73">
        <f t="shared" si="67"/>
        <v>0.31344293793327616</v>
      </c>
      <c r="Y208" s="62">
        <f t="shared" si="68"/>
        <v>3.1963718250229319E-2</v>
      </c>
      <c r="Z208" s="73">
        <f t="shared" si="69"/>
        <v>0.15324517095491152</v>
      </c>
      <c r="AA208" s="62">
        <f t="shared" si="70"/>
        <v>0.17630578600594715</v>
      </c>
      <c r="AB208" s="64">
        <f t="shared" si="71"/>
        <v>0.19691266073628144</v>
      </c>
      <c r="AC208" s="62"/>
      <c r="AD208" s="145">
        <f t="shared" si="72"/>
        <v>0.37321844674222859</v>
      </c>
      <c r="AF208" s="57">
        <f>W$212-W208</f>
        <v>-9.4563205264366901E-3</v>
      </c>
      <c r="AG208" s="60">
        <f>X$212-X208</f>
        <v>-2.3644940810208015E-2</v>
      </c>
      <c r="AH208" s="83">
        <f>Y$212-Y208</f>
        <v>1.7230795686108781E-2</v>
      </c>
      <c r="AI208" s="60">
        <f>Z$212-Z208</f>
        <v>7.8094031845369311E-2</v>
      </c>
      <c r="AJ208" s="83">
        <f>AA$212-AA208</f>
        <v>-2.7660872639783729E-2</v>
      </c>
      <c r="AK208" s="76">
        <f>AB$212-AB208</f>
        <v>-3.4562693555049984E-2</v>
      </c>
      <c r="AM208" s="57">
        <f>$AD$212-AD208</f>
        <v>-6.2223566194833602E-2</v>
      </c>
      <c r="AN208" s="106">
        <f>IF(AM208&lt;$AD$215,(AM208-$AD$215)*0.5683,0)</f>
        <v>0</v>
      </c>
    </row>
    <row r="209" spans="1:40" x14ac:dyDescent="0.25">
      <c r="A209" s="17" t="s">
        <v>73</v>
      </c>
      <c r="B209" s="90" t="s">
        <v>473</v>
      </c>
      <c r="C209" s="88">
        <f>VLOOKUP($B$3:$B$210,Costdrivere!$B$3:$H$211,2,FALSE)</f>
        <v>7852269.721323194</v>
      </c>
      <c r="D209" s="46">
        <f>VLOOKUP($B$3:$B$210,Costdrivere!$B$3:$H$211,3,FALSE)</f>
        <v>24573596.908</v>
      </c>
      <c r="E209" s="23">
        <f>VLOOKUP($B$3:$B$210,Costdrivere!$B$3:$H$211,4,FALSE)</f>
        <v>1760988</v>
      </c>
      <c r="F209" s="46">
        <f>VLOOKUP($B$3:$B$210,Costdrivere!$B$3:$H$211,5,FALSE)</f>
        <v>28435091</v>
      </c>
      <c r="G209" s="23">
        <f>VLOOKUP($B$3:$B$210,Costdrivere!$B$3:$H$211,6,FALSE)</f>
        <v>14075250.800000001</v>
      </c>
      <c r="H209" s="93">
        <f>VLOOKUP($B$3:$B$210,Costdrivere!$B$3:$H$211,7,FALSE)</f>
        <v>9087467.2000000011</v>
      </c>
      <c r="I209" s="27">
        <v>28.967485684568771</v>
      </c>
      <c r="J209" s="20">
        <f>VLOOKUP($B$3:$B$210,Costdrivere!$B$3:$I$211,8,FALSE)</f>
        <v>4.1550684931506848E-2</v>
      </c>
      <c r="K209" s="74">
        <f t="shared" si="60"/>
        <v>85784663.629323199</v>
      </c>
      <c r="L209" s="89">
        <f t="shared" si="61"/>
        <v>94055569.868344232</v>
      </c>
      <c r="M209" s="167">
        <f t="shared" si="62"/>
        <v>109269285.60842074</v>
      </c>
      <c r="N209" s="74">
        <f>K209+VLOOKUP($B$3:$B$210,'Potentialer og krav'!$B$2:$F$209,5,FALSE)</f>
        <v>85784663.629323199</v>
      </c>
      <c r="O209" s="160">
        <f t="shared" si="63"/>
        <v>94055569.868344232</v>
      </c>
      <c r="P209" s="163">
        <f t="shared" si="64"/>
        <v>109269285.60842074</v>
      </c>
      <c r="Q209" s="104">
        <f>N209+(0.25*VLOOKUP($B$3:$B$210,'Potentialer og krav'!$B$2:$C$209,2,FALSE))</f>
        <v>109075333.6293232</v>
      </c>
      <c r="R209" s="53">
        <f>O209+(0.25*VLOOKUP($B$3:$B$210,'Potentialer og krav'!$B$2:$C$209,2,FALSE))</f>
        <v>117346239.86834423</v>
      </c>
      <c r="S209" s="104">
        <f>P209+(0.25*VLOOKUP($B$3:$B$210,'Potentialer og krav'!$B$2:$C$209,2,FALSE))</f>
        <v>132559955.60842074</v>
      </c>
      <c r="T209" s="84">
        <v>80873398</v>
      </c>
      <c r="U209" s="92">
        <f t="shared" si="65"/>
        <v>82086498.969999999</v>
      </c>
      <c r="W209" s="70">
        <f t="shared" si="66"/>
        <v>9.1534656535496459E-2</v>
      </c>
      <c r="X209" s="73">
        <f t="shared" si="67"/>
        <v>0.28645676124794145</v>
      </c>
      <c r="Y209" s="62">
        <f t="shared" si="68"/>
        <v>2.052800495446663E-2</v>
      </c>
      <c r="Z209" s="73">
        <f t="shared" si="69"/>
        <v>0.33147056591453744</v>
      </c>
      <c r="AA209" s="62">
        <f t="shared" si="70"/>
        <v>0.16407654007736591</v>
      </c>
      <c r="AB209" s="64">
        <f t="shared" si="71"/>
        <v>0.10593347127019209</v>
      </c>
      <c r="AC209" s="62"/>
      <c r="AD209" s="145">
        <f t="shared" si="72"/>
        <v>0.27001001134755798</v>
      </c>
      <c r="AF209" s="57">
        <f>W$212-W209</f>
        <v>2.7138749057421377E-2</v>
      </c>
      <c r="AG209" s="60">
        <f>X$212-X209</f>
        <v>3.3412358751266913E-3</v>
      </c>
      <c r="AH209" s="83">
        <f>Y$212-Y209</f>
        <v>2.866650898187147E-2</v>
      </c>
      <c r="AI209" s="60">
        <f>Z$212-Z209</f>
        <v>-0.10013136311425661</v>
      </c>
      <c r="AJ209" s="83">
        <f>AA$212-AA209</f>
        <v>-1.543162671120249E-2</v>
      </c>
      <c r="AK209" s="76">
        <f>AB$212-AB209</f>
        <v>5.6416495911039366E-2</v>
      </c>
      <c r="AM209" s="57">
        <f>$AD$212-AD209</f>
        <v>4.0984869199837015E-2</v>
      </c>
      <c r="AN209" s="106">
        <f>IF(AM209&lt;$AD$215,(AM209-$AD$215)*0.5683,0)</f>
        <v>0</v>
      </c>
    </row>
    <row r="210" spans="1:40" ht="15.75" thickBot="1" x14ac:dyDescent="0.3">
      <c r="A210" s="111" t="s">
        <v>75</v>
      </c>
      <c r="B210" s="49" t="s">
        <v>474</v>
      </c>
      <c r="C210" s="68">
        <f>VLOOKUP($B$3:$B$210,Costdrivere!$B$3:$H$211,2,FALSE)</f>
        <v>328752.68584595708</v>
      </c>
      <c r="D210" s="85">
        <f>VLOOKUP($B$3:$B$210,Costdrivere!$B$3:$H$211,3,FALSE)</f>
        <v>824147.83299999998</v>
      </c>
      <c r="E210" s="42">
        <f>VLOOKUP($B$3:$B$210,Costdrivere!$B$3:$H$211,4,FALSE)</f>
        <v>141812</v>
      </c>
      <c r="F210" s="85">
        <f>VLOOKUP($B$3:$B$210,Costdrivere!$B$3:$H$211,5,FALSE)</f>
        <v>404700</v>
      </c>
      <c r="G210" s="42">
        <f>VLOOKUP($B$3:$B$210,Costdrivere!$B$3:$H$211,6,FALSE)</f>
        <v>369511.80000000005</v>
      </c>
      <c r="H210" s="56">
        <f>VLOOKUP($B$3:$B$210,Costdrivere!$B$3:$H$211,7,FALSE)</f>
        <v>622718.60000000009</v>
      </c>
      <c r="I210" s="71">
        <v>30.025986646728832</v>
      </c>
      <c r="J210" s="16">
        <f>VLOOKUP($B$3:$B$210,Costdrivere!$B$3:$I$211,8,FALSE)</f>
        <v>4.1570000000000003E-2</v>
      </c>
      <c r="K210" s="30">
        <f t="shared" si="60"/>
        <v>2691642.9188459571</v>
      </c>
      <c r="L210" s="105">
        <f t="shared" si="61"/>
        <v>3002440.8964389819</v>
      </c>
      <c r="M210" s="168">
        <f t="shared" si="62"/>
        <v>3429217.8933712351</v>
      </c>
      <c r="N210" s="30">
        <f>K210+VLOOKUP($B$3:$B$210,'Potentialer og krav'!$B$2:$F$209,5,FALSE)</f>
        <v>2691642.9188459571</v>
      </c>
      <c r="O210" s="161">
        <f t="shared" si="63"/>
        <v>3002440.8964389819</v>
      </c>
      <c r="P210" s="164">
        <f t="shared" si="64"/>
        <v>3429217.8933712351</v>
      </c>
      <c r="Q210" s="69">
        <f>N210+(0.25*VLOOKUP($B$3:$B$210,'Potentialer og krav'!$B$2:$C$209,2,FALSE))</f>
        <v>3882257.6688459571</v>
      </c>
      <c r="R210" s="52">
        <f>O210+(0.25*VLOOKUP($B$3:$B$210,'Potentialer og krav'!$B$2:$C$209,2,FALSE))</f>
        <v>4193055.6464389819</v>
      </c>
      <c r="S210" s="69">
        <f>P210+(0.25*VLOOKUP($B$3:$B$210,'Potentialer og krav'!$B$2:$C$209,2,FALSE))</f>
        <v>4619832.6433712356</v>
      </c>
      <c r="T210" s="38">
        <v>3243041</v>
      </c>
      <c r="U210" s="34">
        <f t="shared" si="65"/>
        <v>3291686.6149999998</v>
      </c>
      <c r="W210" s="86">
        <f t="shared" si="66"/>
        <v>0.12213829833970322</v>
      </c>
      <c r="X210" s="43">
        <f t="shared" si="67"/>
        <v>0.30618765484440769</v>
      </c>
      <c r="Y210" s="67">
        <f t="shared" si="68"/>
        <v>5.2686037589563306E-2</v>
      </c>
      <c r="Z210" s="43">
        <f t="shared" si="69"/>
        <v>0.15035426771004054</v>
      </c>
      <c r="AA210" s="67">
        <f t="shared" si="70"/>
        <v>0.13728113688959467</v>
      </c>
      <c r="AB210" s="96">
        <f t="shared" si="71"/>
        <v>0.23135260462669058</v>
      </c>
      <c r="AC210" s="62"/>
      <c r="AD210" s="170">
        <f t="shared" si="72"/>
        <v>0.36863374151628525</v>
      </c>
      <c r="AF210" s="39">
        <f>W$212-W210</f>
        <v>-3.4648927467853807E-3</v>
      </c>
      <c r="AG210" s="91">
        <f>X$212-X210</f>
        <v>-1.6389657721339546E-2</v>
      </c>
      <c r="AH210" s="114">
        <f>Y$212-Y210</f>
        <v>-3.4915236532252064E-3</v>
      </c>
      <c r="AI210" s="91">
        <f>Z$212-Z210</f>
        <v>8.0984935090240295E-2</v>
      </c>
      <c r="AJ210" s="114">
        <f>AA$212-AA210</f>
        <v>1.1363776476568749E-2</v>
      </c>
      <c r="AK210" s="50">
        <f>AB$212-AB210</f>
        <v>-6.900263744545912E-2</v>
      </c>
      <c r="AM210" s="39">
        <f>$AD$212-AD210</f>
        <v>-5.763886096889026E-2</v>
      </c>
      <c r="AN210" s="72">
        <f>IF(AM210&lt;$AD$215,(AM210-$AD$215)*0.5683,0)</f>
        <v>0</v>
      </c>
    </row>
    <row r="211" spans="1:40" x14ac:dyDescent="0.25">
      <c r="A211" s="5"/>
      <c r="B211" s="5"/>
      <c r="E211" s="5"/>
      <c r="H211" s="5"/>
      <c r="K211" s="5"/>
      <c r="L211" s="6"/>
      <c r="M211" s="6"/>
      <c r="N211" s="5"/>
      <c r="O211" s="6"/>
      <c r="P211" s="6"/>
      <c r="Q211" s="5"/>
      <c r="R211" s="6"/>
      <c r="S211" s="6"/>
      <c r="T211" s="5"/>
      <c r="W211" s="5"/>
      <c r="Z211" s="5"/>
      <c r="AE211" s="5"/>
      <c r="AH211" s="5"/>
      <c r="AK211" s="5"/>
      <c r="AN211" s="5"/>
    </row>
    <row r="212" spans="1:40" x14ac:dyDescent="0.25">
      <c r="A212" s="5"/>
      <c r="B212" s="5"/>
      <c r="E212" s="5"/>
      <c r="H212" s="5"/>
      <c r="K212" s="5"/>
      <c r="L212" s="6"/>
      <c r="M212" s="6"/>
      <c r="N212" s="5"/>
      <c r="O212" s="6"/>
      <c r="P212" s="6"/>
      <c r="V212" s="6" t="s">
        <v>95</v>
      </c>
      <c r="W212" s="172">
        <v>0.11867340559291784</v>
      </c>
      <c r="X212" s="172">
        <v>0.28979799712306814</v>
      </c>
      <c r="Y212" s="172">
        <v>4.91945139363381E-2</v>
      </c>
      <c r="Z212" s="172">
        <v>0.23133920280028084</v>
      </c>
      <c r="AA212" s="172">
        <v>0.14864491336616342</v>
      </c>
      <c r="AB212" s="172">
        <v>0.16234996718123146</v>
      </c>
      <c r="AC212" s="172"/>
      <c r="AD212" s="172">
        <v>0.31099488054739499</v>
      </c>
    </row>
    <row r="213" spans="1:40" x14ac:dyDescent="0.25">
      <c r="A213" s="5"/>
      <c r="B213" s="5"/>
      <c r="V213" s="6" t="s">
        <v>96</v>
      </c>
      <c r="W213" s="172">
        <v>5.3746879146080806E-3</v>
      </c>
      <c r="X213" s="172">
        <v>1.4718498288436752E-2</v>
      </c>
      <c r="Y213" s="172">
        <v>5.0008819671941082E-3</v>
      </c>
      <c r="Z213" s="172">
        <v>9.7918939542974582E-3</v>
      </c>
      <c r="AA213" s="172">
        <v>2.5496102112217769E-3</v>
      </c>
      <c r="AB213" s="172">
        <v>3.5128022936494374E-3</v>
      </c>
      <c r="AC213" s="171"/>
      <c r="AD213" s="172">
        <v>1.1026589535284214E-2</v>
      </c>
    </row>
    <row r="214" spans="1:40" x14ac:dyDescent="0.25">
      <c r="A214" s="5"/>
      <c r="B214" s="5"/>
      <c r="V214" s="6" t="s">
        <v>97</v>
      </c>
      <c r="W214" s="172">
        <v>7.3312263057472724E-2</v>
      </c>
      <c r="X214" s="172">
        <v>0.12131981820146596</v>
      </c>
      <c r="Y214" s="172">
        <v>7.0716914293499175E-2</v>
      </c>
      <c r="Z214" s="172">
        <v>9.8953999182940844E-2</v>
      </c>
      <c r="AA214" s="172">
        <v>5.0493665060300161E-2</v>
      </c>
      <c r="AB214" s="172">
        <v>5.926889819837583E-2</v>
      </c>
      <c r="AC214" s="171"/>
      <c r="AD214" s="172">
        <v>0.10500756894283485</v>
      </c>
    </row>
    <row r="215" spans="1:40" x14ac:dyDescent="0.25">
      <c r="A215" s="5"/>
      <c r="B215" s="5"/>
      <c r="V215" s="6" t="s">
        <v>98</v>
      </c>
      <c r="W215" s="172">
        <v>-7.3312263057472724E-2</v>
      </c>
      <c r="X215" s="172">
        <v>-0.12131981820146596</v>
      </c>
      <c r="Y215" s="172">
        <v>-7.0716914293499175E-2</v>
      </c>
      <c r="Z215" s="172">
        <v>-9.8953999182940844E-2</v>
      </c>
      <c r="AA215" s="172">
        <v>-5.0493665060300161E-2</v>
      </c>
      <c r="AB215" s="172">
        <v>-5.926889819837583E-2</v>
      </c>
      <c r="AC215" s="171"/>
      <c r="AD215" s="172">
        <v>-0.10500756894283485</v>
      </c>
    </row>
    <row r="216" spans="1:40" x14ac:dyDescent="0.25">
      <c r="A216" s="5"/>
      <c r="B216" s="5"/>
    </row>
    <row r="217" spans="1:40" x14ac:dyDescent="0.25">
      <c r="A217" s="5"/>
      <c r="B217" s="5"/>
      <c r="V217" s="206"/>
      <c r="W217" s="172"/>
      <c r="X217" s="172"/>
      <c r="Y217" s="172"/>
      <c r="Z217" s="172"/>
      <c r="AA217" s="172"/>
      <c r="AB217" s="172"/>
      <c r="AC217" s="172"/>
      <c r="AD217" s="172"/>
      <c r="AE217" s="206"/>
    </row>
    <row r="218" spans="1:40" x14ac:dyDescent="0.25">
      <c r="A218" s="5"/>
      <c r="B218" s="5"/>
      <c r="V218" s="206"/>
      <c r="W218" s="172"/>
      <c r="X218" s="172"/>
      <c r="Y218" s="172"/>
      <c r="Z218" s="172"/>
      <c r="AA218" s="172"/>
      <c r="AB218" s="172"/>
      <c r="AC218" s="172"/>
      <c r="AD218" s="172"/>
      <c r="AE218" s="206"/>
    </row>
    <row r="219" spans="1:40" x14ac:dyDescent="0.25">
      <c r="A219" s="5"/>
      <c r="B219" s="5"/>
      <c r="V219" s="206"/>
      <c r="W219" s="172"/>
      <c r="X219" s="172"/>
      <c r="Y219" s="172"/>
      <c r="Z219" s="172"/>
      <c r="AA219" s="172"/>
      <c r="AB219" s="172"/>
      <c r="AC219" s="172"/>
      <c r="AD219" s="172"/>
      <c r="AE219" s="206"/>
    </row>
    <row r="220" spans="1:40" x14ac:dyDescent="0.25">
      <c r="A220" s="5"/>
      <c r="B220" s="5"/>
      <c r="V220" s="206"/>
      <c r="W220" s="172"/>
      <c r="X220" s="172"/>
      <c r="Y220" s="172"/>
      <c r="Z220" s="172"/>
      <c r="AA220" s="172"/>
      <c r="AB220" s="172"/>
      <c r="AC220" s="172"/>
      <c r="AD220" s="172"/>
      <c r="AE220" s="206"/>
    </row>
    <row r="221" spans="1:40" x14ac:dyDescent="0.25">
      <c r="A221" s="5"/>
      <c r="B221" s="5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</row>
    <row r="222" spans="1:40" x14ac:dyDescent="0.25">
      <c r="A222" s="5"/>
      <c r="B222" s="5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</row>
    <row r="223" spans="1:40" x14ac:dyDescent="0.25">
      <c r="A223" s="5"/>
      <c r="B223" s="5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</row>
    <row r="224" spans="1:40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  <row r="270" spans="1:2" x14ac:dyDescent="0.25">
      <c r="A270" s="5"/>
      <c r="B270" s="5"/>
    </row>
    <row r="271" spans="1:2" x14ac:dyDescent="0.25">
      <c r="A271" s="5"/>
      <c r="B271" s="5"/>
    </row>
    <row r="272" spans="1:2" x14ac:dyDescent="0.25">
      <c r="A272" s="5"/>
      <c r="B272" s="5"/>
    </row>
    <row r="273" spans="1:2" x14ac:dyDescent="0.25">
      <c r="A273" s="5"/>
      <c r="B273" s="5"/>
    </row>
    <row r="274" spans="1:2" x14ac:dyDescent="0.25">
      <c r="A274" s="5"/>
      <c r="B274" s="5"/>
    </row>
    <row r="275" spans="1:2" x14ac:dyDescent="0.25">
      <c r="A275" s="5"/>
      <c r="B275" s="5"/>
    </row>
    <row r="276" spans="1:2" x14ac:dyDescent="0.25">
      <c r="A276" s="5"/>
      <c r="B276" s="5"/>
    </row>
    <row r="277" spans="1:2" x14ac:dyDescent="0.25">
      <c r="A277" s="5"/>
      <c r="B277" s="5"/>
    </row>
    <row r="278" spans="1:2" x14ac:dyDescent="0.25">
      <c r="A278" s="5"/>
      <c r="B278" s="5"/>
    </row>
    <row r="279" spans="1:2" x14ac:dyDescent="0.25">
      <c r="A279" s="5"/>
      <c r="B279" s="5"/>
    </row>
    <row r="280" spans="1:2" x14ac:dyDescent="0.25">
      <c r="A280" s="5"/>
      <c r="B280" s="5"/>
    </row>
    <row r="281" spans="1:2" x14ac:dyDescent="0.25">
      <c r="A281" s="5"/>
      <c r="B281" s="5"/>
    </row>
    <row r="282" spans="1:2" x14ac:dyDescent="0.25">
      <c r="A282" s="5"/>
      <c r="B282" s="5"/>
    </row>
    <row r="283" spans="1:2" x14ac:dyDescent="0.25">
      <c r="A283" s="5"/>
      <c r="B283" s="5"/>
    </row>
    <row r="284" spans="1:2" x14ac:dyDescent="0.25">
      <c r="A284" s="5"/>
      <c r="B284" s="5"/>
    </row>
    <row r="285" spans="1:2" x14ac:dyDescent="0.25">
      <c r="A285" s="5"/>
      <c r="B285" s="5"/>
    </row>
    <row r="286" spans="1:2" x14ac:dyDescent="0.25">
      <c r="A286" s="5"/>
      <c r="B286" s="5"/>
    </row>
    <row r="287" spans="1:2" x14ac:dyDescent="0.25">
      <c r="A287" s="5"/>
      <c r="B287" s="5"/>
    </row>
    <row r="288" spans="1:2" x14ac:dyDescent="0.25">
      <c r="A288" s="5"/>
      <c r="B288" s="5"/>
    </row>
    <row r="289" spans="1:2" x14ac:dyDescent="0.25">
      <c r="A289" s="5"/>
      <c r="B289" s="5"/>
    </row>
    <row r="290" spans="1:2" x14ac:dyDescent="0.25">
      <c r="A290" s="5"/>
      <c r="B290" s="5"/>
    </row>
    <row r="291" spans="1:2" x14ac:dyDescent="0.25">
      <c r="A291" s="5"/>
      <c r="B291" s="5"/>
    </row>
  </sheetData>
  <sortState ref="A3:AK89">
    <sortCondition ref="A3:A89"/>
  </sortState>
  <customSheetViews>
    <customSheetView guid="{FEEC711D-7441-45C2-BE37-0D81F72CC105}" scale="85">
      <pane xSplit="2" ySplit="2" topLeftCell="C3" activePane="bottomRight" state="frozen"/>
      <selection pane="bottomRight" activeCell="I3" sqref="I3:I211"/>
      <pageMargins left="0.7" right="0.7" top="0.75" bottom="0.75" header="0.3" footer="0.3"/>
      <pageSetup paperSize="9" orientation="portrait" r:id="rId1"/>
    </customSheetView>
    <customSheetView guid="{78FE0F1E-5FAE-4FF8-8A21-26E2BBE4E4B0}" scale="85">
      <pane xSplit="1" ySplit="2" topLeftCell="B37" activePane="bottomRight" state="frozen"/>
      <selection pane="bottomRight" activeCell="J5" sqref="J5:R6"/>
      <pageMargins left="0.7" right="0.7" top="0.75" bottom="0.75" header="0.3" footer="0.3"/>
      <pageSetup paperSize="9" orientation="portrait" r:id="rId2"/>
    </customSheetView>
    <customSheetView guid="{937D496E-72A5-40F1-952C-5E35A20ED697}" scale="85">
      <pane xSplit="1" ySplit="2" topLeftCell="B43" activePane="bottomRight" state="frozen"/>
      <selection pane="bottomRight" activeCell="J43" sqref="J43:R43"/>
      <pageMargins left="0.7" right="0.7" top="0.75" bottom="0.75" header="0.3" footer="0.3"/>
      <pageSetup paperSize="9" orientation="portrait" r:id="rId3"/>
    </customSheetView>
    <customSheetView guid="{082EB568-E16F-479D-9194-FC30FECA5931}" scale="85">
      <pane xSplit="1" ySplit="2" topLeftCell="E37" activePane="bottomRight" state="frozen"/>
      <selection pane="bottomRight" activeCell="J42" sqref="J42:R42"/>
      <pageMargins left="0.7" right="0.7" top="0.75" bottom="0.75" header="0.3" footer="0.3"/>
      <pageSetup paperSize="9" orientation="portrait" r:id="rId4"/>
    </customSheetView>
    <customSheetView guid="{2AFD09B4-3A91-4FAA-89A0-6904C5D29F07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5"/>
    </customSheetView>
    <customSheetView guid="{91CAE626-C22B-43EE-8559-3D995B6A9B34}" scale="85">
      <pane xSplit="1" ySplit="2" topLeftCell="B72" activePane="bottomRight" state="frozen"/>
      <selection pane="bottomRight" activeCell="C79" sqref="C79"/>
      <pageMargins left="0.7" right="0.7" top="0.75" bottom="0.75" header="0.3" footer="0.3"/>
      <pageSetup paperSize="9" orientation="portrait" r:id="rId6"/>
    </customSheetView>
    <customSheetView guid="{68BED3F3-B66D-4BDF-B289-CEB7B90BD70C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7"/>
    </customSheetView>
    <customSheetView guid="{66AAE60A-A1F0-42D3-9B00-B3E131221C26}" scale="85">
      <pane xSplit="1" ySplit="2" topLeftCell="B36" activePane="bottomRight" state="frozen"/>
      <selection pane="bottomRight" activeCell="M36" sqref="M36:R36"/>
      <pageMargins left="0.7" right="0.7" top="0.75" bottom="0.75" header="0.3" footer="0.3"/>
      <pageSetup paperSize="9" orientation="portrait" r:id="rId8"/>
    </customSheetView>
    <customSheetView guid="{4DF14E47-3879-4E88-BE38-529244598D27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9"/>
    </customSheetView>
    <customSheetView guid="{BB5CC8CF-3004-46A6-928F-22EA17328835}" scale="85">
      <pane xSplit="1" ySplit="2" topLeftCell="B171" activePane="bottomRight" state="frozen"/>
      <selection pane="bottomRight" activeCell="M177" sqref="M177"/>
      <pageMargins left="0.7" right="0.7" top="0.75" bottom="0.75" header="0.3" footer="0.3"/>
      <pageSetup paperSize="9" orientation="portrait" r:id="rId10"/>
    </customSheetView>
    <customSheetView guid="{63D1720F-4071-49FA-85F9-136B4284D4AA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11"/>
    </customSheetView>
    <customSheetView guid="{F1F3E055-B5A3-4FD4-BADC-A75DAF105B15}" scale="85">
      <pane xSplit="1" ySplit="2" topLeftCell="R198" activePane="bottomRight" state="frozen"/>
      <selection pane="bottomRight" activeCell="B224" sqref="B224:AL224"/>
      <pageMargins left="0.7" right="0.7" top="0.75" bottom="0.75" header="0.3" footer="0.3"/>
      <pageSetup paperSize="9" orientation="portrait" r:id="rId12"/>
    </customSheetView>
  </customSheetViews>
  <mergeCells count="7">
    <mergeCell ref="AF1:AK1"/>
    <mergeCell ref="C1:H1"/>
    <mergeCell ref="K1:M1"/>
    <mergeCell ref="W1:AB1"/>
    <mergeCell ref="N1:P1"/>
    <mergeCell ref="Q1:S1"/>
    <mergeCell ref="T1:U1"/>
  </mergeCells>
  <conditionalFormatting sqref="AN3:AN210">
    <cfRule type="cellIs" dxfId="1" priority="1" operator="lessThan">
      <formula>0</formula>
    </cfRule>
  </conditionalFormatting>
  <conditionalFormatting sqref="AF3:AK210">
    <cfRule type="cellIs" dxfId="0" priority="200" operator="between">
      <formula>$W$96</formula>
      <formula>$W$97</formula>
    </cfRule>
  </conditionalFormatting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"/>
  <sheetViews>
    <sheetView zoomScale="9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9" sqref="J19"/>
    </sheetView>
  </sheetViews>
  <sheetFormatPr defaultRowHeight="15" x14ac:dyDescent="0.25"/>
  <cols>
    <col min="1" max="1" width="41.7109375" style="54" customWidth="1"/>
    <col min="2" max="2" width="11.5703125" style="54" customWidth="1"/>
    <col min="3" max="4" width="11.42578125" style="1" bestFit="1" customWidth="1"/>
    <col min="5" max="5" width="12.42578125" style="1" bestFit="1" customWidth="1"/>
    <col min="6" max="8" width="11.42578125" style="1" bestFit="1" customWidth="1"/>
    <col min="9" max="9" width="9.140625" style="1" bestFit="1" customWidth="1"/>
    <col min="10" max="10" width="17.28515625" style="4" customWidth="1"/>
    <col min="11" max="11" width="12.5703125" style="4" bestFit="1" customWidth="1"/>
    <col min="12" max="12" width="11.140625" style="4" customWidth="1"/>
    <col min="13" max="13" width="12.5703125" style="4" bestFit="1" customWidth="1"/>
    <col min="14" max="14" width="8.7109375" style="4" bestFit="1" customWidth="1"/>
    <col min="15" max="16" width="9.85546875" style="4" bestFit="1" customWidth="1"/>
    <col min="17" max="17" width="10.28515625" style="4" bestFit="1" customWidth="1"/>
    <col min="18" max="19" width="10.42578125" style="4" customWidth="1"/>
    <col min="20" max="21" width="10.5703125" style="4" customWidth="1"/>
    <col min="22" max="22" width="10.42578125" style="4" customWidth="1"/>
    <col min="23" max="23" width="10.28515625" style="4" bestFit="1" customWidth="1"/>
    <col min="24" max="25" width="11" style="4" customWidth="1"/>
    <col min="26" max="34" width="9.140625" style="4" customWidth="1"/>
    <col min="35" max="16384" width="9.140625" style="4"/>
  </cols>
  <sheetData>
    <row r="1" spans="1:34" ht="18.75" customHeight="1" thickBot="1" x14ac:dyDescent="0.35">
      <c r="A1" s="199" t="s">
        <v>0</v>
      </c>
      <c r="B1" s="204" t="s">
        <v>123</v>
      </c>
      <c r="C1" s="201" t="s">
        <v>80</v>
      </c>
      <c r="D1" s="202"/>
      <c r="E1" s="202"/>
      <c r="F1" s="202"/>
      <c r="G1" s="202"/>
      <c r="H1" s="203"/>
      <c r="I1" s="31"/>
      <c r="J1" s="186" t="s">
        <v>1</v>
      </c>
      <c r="K1" s="196" t="s">
        <v>2</v>
      </c>
      <c r="L1" s="197"/>
      <c r="M1" s="198"/>
      <c r="N1" s="196" t="s">
        <v>3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8"/>
      <c r="Z1" s="196" t="s">
        <v>495</v>
      </c>
      <c r="AA1" s="197"/>
      <c r="AB1" s="197"/>
      <c r="AC1" s="198"/>
      <c r="AD1" s="196" t="s">
        <v>4</v>
      </c>
      <c r="AE1" s="197"/>
      <c r="AF1" s="197"/>
      <c r="AG1" s="198"/>
      <c r="AH1" s="58" t="s">
        <v>5</v>
      </c>
    </row>
    <row r="2" spans="1:34" ht="60.75" thickBot="1" x14ac:dyDescent="0.3">
      <c r="A2" s="200"/>
      <c r="B2" s="205"/>
      <c r="C2" s="116" t="s">
        <v>81</v>
      </c>
      <c r="D2" s="13" t="s">
        <v>82</v>
      </c>
      <c r="E2" s="13" t="s">
        <v>83</v>
      </c>
      <c r="F2" s="13" t="s">
        <v>84</v>
      </c>
      <c r="G2" s="13" t="s">
        <v>4</v>
      </c>
      <c r="H2" s="110" t="s">
        <v>5</v>
      </c>
      <c r="I2" s="109" t="s">
        <v>91</v>
      </c>
      <c r="J2" s="182" t="s">
        <v>6</v>
      </c>
      <c r="K2" s="183" t="s">
        <v>7</v>
      </c>
      <c r="L2" s="184" t="s">
        <v>8</v>
      </c>
      <c r="M2" s="185" t="s">
        <v>9</v>
      </c>
      <c r="N2" s="116" t="s">
        <v>477</v>
      </c>
      <c r="O2" s="13" t="s">
        <v>10</v>
      </c>
      <c r="P2" s="13" t="s">
        <v>478</v>
      </c>
      <c r="Q2" s="13" t="s">
        <v>11</v>
      </c>
      <c r="R2" s="13" t="s">
        <v>479</v>
      </c>
      <c r="S2" s="13" t="s">
        <v>12</v>
      </c>
      <c r="T2" s="13" t="s">
        <v>480</v>
      </c>
      <c r="U2" s="13" t="s">
        <v>13</v>
      </c>
      <c r="V2" s="13" t="s">
        <v>481</v>
      </c>
      <c r="W2" s="13" t="s">
        <v>14</v>
      </c>
      <c r="X2" s="13" t="s">
        <v>482</v>
      </c>
      <c r="Y2" s="110" t="s">
        <v>15</v>
      </c>
      <c r="Z2" s="183" t="s">
        <v>16</v>
      </c>
      <c r="AA2" s="184" t="s">
        <v>17</v>
      </c>
      <c r="AB2" s="184" t="s">
        <v>18</v>
      </c>
      <c r="AC2" s="185" t="s">
        <v>19</v>
      </c>
      <c r="AD2" s="183" t="s">
        <v>16</v>
      </c>
      <c r="AE2" s="184" t="s">
        <v>17</v>
      </c>
      <c r="AF2" s="184" t="s">
        <v>18</v>
      </c>
      <c r="AG2" s="185" t="s">
        <v>19</v>
      </c>
      <c r="AH2" s="77" t="s">
        <v>20</v>
      </c>
    </row>
    <row r="3" spans="1:34" s="2" customFormat="1" x14ac:dyDescent="0.25">
      <c r="A3" s="36" t="s">
        <v>132</v>
      </c>
      <c r="B3" s="75" t="s">
        <v>133</v>
      </c>
      <c r="C3" s="47">
        <f>1.518*J3^0.9321</f>
        <v>179380.74509576737</v>
      </c>
      <c r="D3" s="26">
        <f>0.748*K3+1.613*L3+1.774*M3</f>
        <v>446325.16499999998</v>
      </c>
      <c r="E3" s="26">
        <f>35453*N3+56469*P3+144773*R3+178851*(T3+V3)+440*Y3</f>
        <v>35453</v>
      </c>
      <c r="F3" s="26">
        <f>4047*(Z3+AA3)+85370*(AB3+AC3)</f>
        <v>279243</v>
      </c>
      <c r="G3" s="26">
        <f>135.8*(AD3+AE3)+430.2*AF3+1208.1*AG3</f>
        <v>251909.00000000003</v>
      </c>
      <c r="H3" s="148">
        <f>149.8*AH3</f>
        <v>275781.80000000005</v>
      </c>
      <c r="I3" s="156">
        <f>IF(SUM(Z3:AC3)&gt;0,(AH3/(SUM(Z3:AC3)*1000)),0)</f>
        <v>2.6681159420289854E-2</v>
      </c>
      <c r="J3" s="152">
        <v>276705</v>
      </c>
      <c r="K3" s="124">
        <v>0</v>
      </c>
      <c r="L3" s="125">
        <v>276705</v>
      </c>
      <c r="M3" s="126">
        <v>0</v>
      </c>
      <c r="N3" s="124">
        <v>1</v>
      </c>
      <c r="O3" s="125">
        <v>50</v>
      </c>
      <c r="P3" s="132">
        <v>0</v>
      </c>
      <c r="Q3" s="125">
        <v>0</v>
      </c>
      <c r="R3" s="125">
        <v>0</v>
      </c>
      <c r="S3" s="125">
        <v>0</v>
      </c>
      <c r="T3" s="125">
        <v>0</v>
      </c>
      <c r="U3" s="125">
        <v>0</v>
      </c>
      <c r="V3" s="125">
        <v>0</v>
      </c>
      <c r="W3" s="125">
        <v>0</v>
      </c>
      <c r="X3" s="125">
        <v>0</v>
      </c>
      <c r="Y3" s="126">
        <v>0</v>
      </c>
      <c r="Z3" s="124">
        <v>31</v>
      </c>
      <c r="AA3" s="132">
        <v>38</v>
      </c>
      <c r="AB3" s="125">
        <v>0</v>
      </c>
      <c r="AC3" s="134">
        <v>0</v>
      </c>
      <c r="AD3" s="124">
        <v>227</v>
      </c>
      <c r="AE3" s="125">
        <v>1628</v>
      </c>
      <c r="AF3" s="125">
        <v>0</v>
      </c>
      <c r="AG3" s="126">
        <v>0</v>
      </c>
      <c r="AH3" s="121">
        <v>1841</v>
      </c>
    </row>
    <row r="4" spans="1:34" s="2" customFormat="1" x14ac:dyDescent="0.25">
      <c r="A4" s="17" t="s">
        <v>134</v>
      </c>
      <c r="B4" s="90" t="s">
        <v>135</v>
      </c>
      <c r="C4" s="8">
        <f t="shared" ref="C4:C62" si="0">1.518*J4^0.9321</f>
        <v>169767.27585644519</v>
      </c>
      <c r="D4" s="7">
        <f t="shared" ref="D4:D63" si="1">0.748*K4+1.613*L4+1.774*M4</f>
        <v>420713.951</v>
      </c>
      <c r="E4" s="7">
        <f t="shared" ref="E4:E63" si="2">35453*N4+56469*P4+144773*R4+178851*(T4+V4)+440*Y4</f>
        <v>35453</v>
      </c>
      <c r="F4" s="7">
        <f t="shared" ref="F4:F63" si="3">4047*(Z4+AA4)+85370*(AB4+AC4)</f>
        <v>230679</v>
      </c>
      <c r="G4" s="7">
        <f t="shared" ref="G4:G63" si="4">135.8*(AD4+AE4)+430.2*AF4+1208.1*AG4</f>
        <v>192021.2</v>
      </c>
      <c r="H4" s="149">
        <f t="shared" ref="H4:H63" si="5">149.8*AH4</f>
        <v>202529.6</v>
      </c>
      <c r="I4" s="157">
        <f t="shared" ref="I4:I63" si="6">IF(SUM(Z4:AC4)&gt;0,(AH4/(SUM(Z4:AC4)*1000)),0)</f>
        <v>2.3719298245614036E-2</v>
      </c>
      <c r="J4" s="153">
        <v>260827</v>
      </c>
      <c r="K4" s="127">
        <v>0</v>
      </c>
      <c r="L4" s="118">
        <v>260827</v>
      </c>
      <c r="M4" s="128">
        <v>0</v>
      </c>
      <c r="N4" s="127">
        <v>1</v>
      </c>
      <c r="O4" s="118">
        <v>6</v>
      </c>
      <c r="P4" s="120">
        <v>0</v>
      </c>
      <c r="Q4" s="118">
        <v>0</v>
      </c>
      <c r="R4" s="118">
        <v>0</v>
      </c>
      <c r="S4" s="118">
        <v>0</v>
      </c>
      <c r="T4" s="118">
        <v>0</v>
      </c>
      <c r="U4" s="118">
        <v>0</v>
      </c>
      <c r="V4" s="118">
        <v>0</v>
      </c>
      <c r="W4" s="118">
        <v>0</v>
      </c>
      <c r="X4" s="118">
        <v>0</v>
      </c>
      <c r="Y4" s="128">
        <v>0</v>
      </c>
      <c r="Z4" s="127">
        <v>23</v>
      </c>
      <c r="AA4" s="120">
        <v>34</v>
      </c>
      <c r="AB4" s="118">
        <v>0</v>
      </c>
      <c r="AC4" s="119">
        <v>0</v>
      </c>
      <c r="AD4" s="127">
        <v>0</v>
      </c>
      <c r="AE4" s="118">
        <v>1414</v>
      </c>
      <c r="AF4" s="118">
        <v>0</v>
      </c>
      <c r="AG4" s="128">
        <v>0</v>
      </c>
      <c r="AH4" s="122">
        <v>1352</v>
      </c>
    </row>
    <row r="5" spans="1:34" s="2" customFormat="1" x14ac:dyDescent="0.25">
      <c r="A5" s="17" t="s">
        <v>136</v>
      </c>
      <c r="B5" s="90" t="s">
        <v>137</v>
      </c>
      <c r="C5" s="8">
        <f t="shared" si="0"/>
        <v>455440.84072831849</v>
      </c>
      <c r="D5" s="7">
        <f t="shared" si="1"/>
        <v>1166376.43</v>
      </c>
      <c r="E5" s="7">
        <f t="shared" si="2"/>
        <v>141812</v>
      </c>
      <c r="F5" s="7">
        <f t="shared" si="3"/>
        <v>736554</v>
      </c>
      <c r="G5" s="7">
        <f t="shared" si="4"/>
        <v>517262.20000000007</v>
      </c>
      <c r="H5" s="149">
        <f t="shared" si="5"/>
        <v>570588.20000000007</v>
      </c>
      <c r="I5" s="157">
        <f t="shared" si="6"/>
        <v>2.0928571428571428E-2</v>
      </c>
      <c r="J5" s="153">
        <v>751884</v>
      </c>
      <c r="K5" s="127">
        <v>0</v>
      </c>
      <c r="L5" s="118">
        <v>723110</v>
      </c>
      <c r="M5" s="128">
        <v>0</v>
      </c>
      <c r="N5" s="127">
        <v>4</v>
      </c>
      <c r="O5" s="118">
        <v>20</v>
      </c>
      <c r="P5" s="120">
        <v>0</v>
      </c>
      <c r="Q5" s="118">
        <v>0</v>
      </c>
      <c r="R5" s="118">
        <v>0</v>
      </c>
      <c r="S5" s="118">
        <v>0</v>
      </c>
      <c r="T5" s="118">
        <v>0</v>
      </c>
      <c r="U5" s="118">
        <v>0</v>
      </c>
      <c r="V5" s="118">
        <v>0</v>
      </c>
      <c r="W5" s="118">
        <v>0</v>
      </c>
      <c r="X5" s="118">
        <v>0</v>
      </c>
      <c r="Y5" s="128">
        <v>0</v>
      </c>
      <c r="Z5" s="127">
        <v>157</v>
      </c>
      <c r="AA5" s="120">
        <v>25</v>
      </c>
      <c r="AB5" s="118">
        <v>0</v>
      </c>
      <c r="AC5" s="119">
        <v>0</v>
      </c>
      <c r="AD5" s="127">
        <v>1835</v>
      </c>
      <c r="AE5" s="118">
        <v>1974</v>
      </c>
      <c r="AF5" s="118">
        <v>0</v>
      </c>
      <c r="AG5" s="128">
        <v>0</v>
      </c>
      <c r="AH5" s="122">
        <v>3809</v>
      </c>
    </row>
    <row r="6" spans="1:34" s="2" customFormat="1" x14ac:dyDescent="0.25">
      <c r="A6" s="17" t="s">
        <v>138</v>
      </c>
      <c r="B6" s="90" t="s">
        <v>139</v>
      </c>
      <c r="C6" s="8">
        <f t="shared" si="0"/>
        <v>146463.99877285099</v>
      </c>
      <c r="D6" s="7">
        <f t="shared" si="1"/>
        <v>411403.01799999998</v>
      </c>
      <c r="E6" s="7">
        <f t="shared" si="2"/>
        <v>91922</v>
      </c>
      <c r="F6" s="7">
        <f t="shared" si="3"/>
        <v>303525</v>
      </c>
      <c r="G6" s="7">
        <f t="shared" si="4"/>
        <v>225835.40000000002</v>
      </c>
      <c r="H6" s="149">
        <f t="shared" si="5"/>
        <v>282223.2</v>
      </c>
      <c r="I6" s="157">
        <f t="shared" si="6"/>
        <v>2.512E-2</v>
      </c>
      <c r="J6" s="153">
        <v>222617</v>
      </c>
      <c r="K6" s="127">
        <v>0</v>
      </c>
      <c r="L6" s="118">
        <v>0</v>
      </c>
      <c r="M6" s="128">
        <v>231907</v>
      </c>
      <c r="N6" s="127">
        <v>1</v>
      </c>
      <c r="O6" s="118">
        <v>25</v>
      </c>
      <c r="P6" s="120">
        <v>1</v>
      </c>
      <c r="Q6" s="118">
        <v>55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28">
        <v>0</v>
      </c>
      <c r="Z6" s="127">
        <v>28</v>
      </c>
      <c r="AA6" s="120">
        <v>47</v>
      </c>
      <c r="AB6" s="118">
        <v>0</v>
      </c>
      <c r="AC6" s="119">
        <v>0</v>
      </c>
      <c r="AD6" s="127">
        <v>85</v>
      </c>
      <c r="AE6" s="118">
        <v>1578</v>
      </c>
      <c r="AF6" s="118">
        <v>0</v>
      </c>
      <c r="AG6" s="128">
        <v>0</v>
      </c>
      <c r="AH6" s="122">
        <v>1884</v>
      </c>
    </row>
    <row r="7" spans="1:34" s="2" customFormat="1" x14ac:dyDescent="0.25">
      <c r="A7" s="17" t="s">
        <v>140</v>
      </c>
      <c r="B7" s="90" t="s">
        <v>141</v>
      </c>
      <c r="C7" s="8">
        <f t="shared" si="0"/>
        <v>147740.98676675628</v>
      </c>
      <c r="D7" s="7">
        <f t="shared" si="1"/>
        <v>385481.33</v>
      </c>
      <c r="E7" s="7">
        <f t="shared" si="2"/>
        <v>0</v>
      </c>
      <c r="F7" s="7">
        <f t="shared" si="3"/>
        <v>437076</v>
      </c>
      <c r="G7" s="7">
        <f t="shared" si="4"/>
        <v>202749.40000000002</v>
      </c>
      <c r="H7" s="149">
        <f t="shared" si="5"/>
        <v>253012.2</v>
      </c>
      <c r="I7" s="157">
        <f t="shared" si="6"/>
        <v>1.563888888888889E-2</v>
      </c>
      <c r="J7" s="153">
        <v>224700</v>
      </c>
      <c r="K7" s="127">
        <v>0</v>
      </c>
      <c r="L7" s="118">
        <v>0</v>
      </c>
      <c r="M7" s="128">
        <v>217295</v>
      </c>
      <c r="N7" s="127">
        <v>0</v>
      </c>
      <c r="O7" s="118">
        <v>0</v>
      </c>
      <c r="P7" s="120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28">
        <v>0</v>
      </c>
      <c r="Z7" s="127">
        <v>73</v>
      </c>
      <c r="AA7" s="120">
        <v>35</v>
      </c>
      <c r="AB7" s="118">
        <v>0</v>
      </c>
      <c r="AC7" s="119">
        <v>0</v>
      </c>
      <c r="AD7" s="127">
        <v>281</v>
      </c>
      <c r="AE7" s="118">
        <v>1212</v>
      </c>
      <c r="AF7" s="118">
        <v>0</v>
      </c>
      <c r="AG7" s="128">
        <v>0</v>
      </c>
      <c r="AH7" s="122">
        <v>1689</v>
      </c>
    </row>
    <row r="8" spans="1:34" s="2" customFormat="1" x14ac:dyDescent="0.25">
      <c r="A8" s="17" t="s">
        <v>142</v>
      </c>
      <c r="B8" s="90" t="s">
        <v>143</v>
      </c>
      <c r="C8" s="8">
        <f t="shared" si="0"/>
        <v>496715.15639376541</v>
      </c>
      <c r="D8" s="7">
        <f t="shared" si="1"/>
        <v>1214600.291</v>
      </c>
      <c r="E8" s="7">
        <f t="shared" si="2"/>
        <v>35453</v>
      </c>
      <c r="F8" s="7">
        <f t="shared" si="3"/>
        <v>530157</v>
      </c>
      <c r="G8" s="7">
        <f t="shared" si="4"/>
        <v>543607.4</v>
      </c>
      <c r="H8" s="149">
        <f t="shared" si="5"/>
        <v>599649.4</v>
      </c>
      <c r="I8" s="157">
        <f t="shared" si="6"/>
        <v>3.0557251908396945E-2</v>
      </c>
      <c r="J8" s="153">
        <v>825222</v>
      </c>
      <c r="K8" s="127">
        <v>0</v>
      </c>
      <c r="L8" s="118">
        <v>753007</v>
      </c>
      <c r="M8" s="128">
        <v>0</v>
      </c>
      <c r="N8" s="127">
        <v>1</v>
      </c>
      <c r="O8" s="118">
        <v>7</v>
      </c>
      <c r="P8" s="120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28">
        <v>0</v>
      </c>
      <c r="Z8" s="127">
        <v>127</v>
      </c>
      <c r="AA8" s="120">
        <v>4</v>
      </c>
      <c r="AB8" s="118">
        <v>0</v>
      </c>
      <c r="AC8" s="119">
        <v>0</v>
      </c>
      <c r="AD8" s="127">
        <v>3073</v>
      </c>
      <c r="AE8" s="118">
        <v>930</v>
      </c>
      <c r="AF8" s="118">
        <v>0</v>
      </c>
      <c r="AG8" s="128">
        <v>0</v>
      </c>
      <c r="AH8" s="122">
        <v>4003</v>
      </c>
    </row>
    <row r="9" spans="1:34" s="2" customFormat="1" x14ac:dyDescent="0.25">
      <c r="A9" s="17" t="s">
        <v>114</v>
      </c>
      <c r="B9" s="90" t="s">
        <v>144</v>
      </c>
      <c r="C9" s="8">
        <f t="shared" si="0"/>
        <v>146884.02878148237</v>
      </c>
      <c r="D9" s="7">
        <f t="shared" si="1"/>
        <v>346919.201</v>
      </c>
      <c r="E9" s="7">
        <f t="shared" si="2"/>
        <v>0</v>
      </c>
      <c r="F9" s="7">
        <f t="shared" si="3"/>
        <v>631332</v>
      </c>
      <c r="G9" s="7">
        <f t="shared" si="4"/>
        <v>800269.4</v>
      </c>
      <c r="H9" s="149">
        <f t="shared" si="5"/>
        <v>795438.00000000012</v>
      </c>
      <c r="I9" s="157">
        <f t="shared" si="6"/>
        <v>3.4038461538461538E-2</v>
      </c>
      <c r="J9" s="153">
        <v>223302</v>
      </c>
      <c r="K9" s="127">
        <v>0</v>
      </c>
      <c r="L9" s="118">
        <v>215077</v>
      </c>
      <c r="M9" s="128">
        <v>0</v>
      </c>
      <c r="N9" s="127">
        <v>0</v>
      </c>
      <c r="O9" s="118">
        <v>0</v>
      </c>
      <c r="P9" s="120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28">
        <v>0</v>
      </c>
      <c r="Z9" s="127">
        <v>156</v>
      </c>
      <c r="AA9" s="120">
        <v>0</v>
      </c>
      <c r="AB9" s="118">
        <v>0</v>
      </c>
      <c r="AC9" s="119">
        <v>0</v>
      </c>
      <c r="AD9" s="127">
        <v>5893</v>
      </c>
      <c r="AE9" s="118">
        <v>0</v>
      </c>
      <c r="AF9" s="118">
        <v>0</v>
      </c>
      <c r="AG9" s="128">
        <v>0</v>
      </c>
      <c r="AH9" s="122">
        <v>5310</v>
      </c>
    </row>
    <row r="10" spans="1:34" s="2" customFormat="1" x14ac:dyDescent="0.25">
      <c r="A10" s="17" t="s">
        <v>145</v>
      </c>
      <c r="B10" s="90" t="s">
        <v>146</v>
      </c>
      <c r="C10" s="8">
        <f t="shared" si="0"/>
        <v>0</v>
      </c>
      <c r="D10" s="7">
        <f t="shared" si="1"/>
        <v>0</v>
      </c>
      <c r="E10" s="7">
        <f t="shared" si="2"/>
        <v>0</v>
      </c>
      <c r="F10" s="7">
        <f t="shared" si="3"/>
        <v>242820</v>
      </c>
      <c r="G10" s="7">
        <f t="shared" si="4"/>
        <v>316549.80000000005</v>
      </c>
      <c r="H10" s="149">
        <f t="shared" si="5"/>
        <v>355625.2</v>
      </c>
      <c r="I10" s="157">
        <f t="shared" si="6"/>
        <v>3.9566666666666667E-2</v>
      </c>
      <c r="J10" s="153">
        <v>0</v>
      </c>
      <c r="K10" s="127">
        <v>0</v>
      </c>
      <c r="L10" s="118">
        <v>0</v>
      </c>
      <c r="M10" s="128">
        <v>0</v>
      </c>
      <c r="N10" s="127">
        <v>0</v>
      </c>
      <c r="O10" s="118">
        <v>0</v>
      </c>
      <c r="P10" s="120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28">
        <v>0</v>
      </c>
      <c r="Z10" s="127">
        <v>6</v>
      </c>
      <c r="AA10" s="120">
        <v>54</v>
      </c>
      <c r="AB10" s="118">
        <v>0</v>
      </c>
      <c r="AC10" s="119">
        <v>0</v>
      </c>
      <c r="AD10" s="127">
        <v>8</v>
      </c>
      <c r="AE10" s="118">
        <v>2323</v>
      </c>
      <c r="AF10" s="118">
        <v>0</v>
      </c>
      <c r="AG10" s="128">
        <v>0</v>
      </c>
      <c r="AH10" s="122">
        <v>2374</v>
      </c>
    </row>
    <row r="11" spans="1:34" s="2" customFormat="1" x14ac:dyDescent="0.25">
      <c r="A11" s="17" t="s">
        <v>115</v>
      </c>
      <c r="B11" s="90" t="s">
        <v>147</v>
      </c>
      <c r="C11" s="8">
        <f t="shared" si="0"/>
        <v>331249.69333888224</v>
      </c>
      <c r="D11" s="7">
        <f t="shared" si="1"/>
        <v>861858.16</v>
      </c>
      <c r="E11" s="7">
        <f t="shared" si="2"/>
        <v>204860</v>
      </c>
      <c r="F11" s="7">
        <f t="shared" si="3"/>
        <v>1153561</v>
      </c>
      <c r="G11" s="7">
        <f t="shared" si="4"/>
        <v>529125.79999999993</v>
      </c>
      <c r="H11" s="149">
        <f t="shared" si="5"/>
        <v>418241.60000000003</v>
      </c>
      <c r="I11" s="157">
        <f t="shared" si="6"/>
        <v>4.3624999999999997E-2</v>
      </c>
      <c r="J11" s="153">
        <v>534320</v>
      </c>
      <c r="K11" s="127">
        <v>0</v>
      </c>
      <c r="L11" s="118">
        <v>534320</v>
      </c>
      <c r="M11" s="128">
        <v>0</v>
      </c>
      <c r="N11" s="127">
        <v>1</v>
      </c>
      <c r="O11" s="118">
        <v>40</v>
      </c>
      <c r="P11" s="120">
        <v>3</v>
      </c>
      <c r="Q11" s="118">
        <v>225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28">
        <v>0</v>
      </c>
      <c r="Z11" s="127">
        <v>0</v>
      </c>
      <c r="AA11" s="120">
        <v>53</v>
      </c>
      <c r="AB11" s="118">
        <v>10</v>
      </c>
      <c r="AC11" s="119">
        <v>1</v>
      </c>
      <c r="AD11" s="127">
        <v>14</v>
      </c>
      <c r="AE11" s="118">
        <v>2264</v>
      </c>
      <c r="AF11" s="118">
        <v>421</v>
      </c>
      <c r="AG11" s="128">
        <v>32</v>
      </c>
      <c r="AH11" s="122">
        <v>2792</v>
      </c>
    </row>
    <row r="12" spans="1:34" s="2" customFormat="1" x14ac:dyDescent="0.25">
      <c r="A12" s="17" t="s">
        <v>148</v>
      </c>
      <c r="B12" s="90" t="s">
        <v>149</v>
      </c>
      <c r="C12" s="8">
        <f t="shared" si="0"/>
        <v>217777.82658844712</v>
      </c>
      <c r="D12" s="7">
        <f t="shared" si="1"/>
        <v>549573.29500000004</v>
      </c>
      <c r="E12" s="7">
        <f t="shared" si="2"/>
        <v>0</v>
      </c>
      <c r="F12" s="7">
        <f t="shared" si="3"/>
        <v>169974</v>
      </c>
      <c r="G12" s="7">
        <f t="shared" si="4"/>
        <v>160923</v>
      </c>
      <c r="H12" s="149">
        <f t="shared" si="5"/>
        <v>179460.40000000002</v>
      </c>
      <c r="I12" s="157">
        <f t="shared" si="6"/>
        <v>2.8523809523809524E-2</v>
      </c>
      <c r="J12" s="153">
        <v>340715</v>
      </c>
      <c r="K12" s="127">
        <v>0</v>
      </c>
      <c r="L12" s="118">
        <v>340715</v>
      </c>
      <c r="M12" s="128">
        <v>0</v>
      </c>
      <c r="N12" s="127">
        <v>0</v>
      </c>
      <c r="O12" s="118">
        <v>0</v>
      </c>
      <c r="P12" s="120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28">
        <v>0</v>
      </c>
      <c r="Z12" s="127">
        <v>22</v>
      </c>
      <c r="AA12" s="120">
        <v>20</v>
      </c>
      <c r="AB12" s="118">
        <v>0</v>
      </c>
      <c r="AC12" s="119">
        <v>0</v>
      </c>
      <c r="AD12" s="127">
        <v>63</v>
      </c>
      <c r="AE12" s="118">
        <v>1122</v>
      </c>
      <c r="AF12" s="118">
        <v>0</v>
      </c>
      <c r="AG12" s="128">
        <v>0</v>
      </c>
      <c r="AH12" s="122">
        <v>1198</v>
      </c>
    </row>
    <row r="13" spans="1:34" s="2" customFormat="1" x14ac:dyDescent="0.25">
      <c r="A13" s="17" t="s">
        <v>116</v>
      </c>
      <c r="B13" s="90" t="s">
        <v>150</v>
      </c>
      <c r="C13" s="8">
        <f t="shared" si="0"/>
        <v>158234.74933155961</v>
      </c>
      <c r="D13" s="7">
        <f t="shared" si="1"/>
        <v>390129.85800000001</v>
      </c>
      <c r="E13" s="7">
        <f t="shared" si="2"/>
        <v>35453</v>
      </c>
      <c r="F13" s="7">
        <f t="shared" si="3"/>
        <v>129504</v>
      </c>
      <c r="G13" s="7">
        <f t="shared" si="4"/>
        <v>121948.40000000001</v>
      </c>
      <c r="H13" s="149">
        <f t="shared" si="5"/>
        <v>134520.40000000002</v>
      </c>
      <c r="I13" s="157">
        <f t="shared" si="6"/>
        <v>2.8062500000000001E-2</v>
      </c>
      <c r="J13" s="153">
        <v>241866</v>
      </c>
      <c r="K13" s="127">
        <v>0</v>
      </c>
      <c r="L13" s="118">
        <v>241866</v>
      </c>
      <c r="M13" s="128">
        <v>0</v>
      </c>
      <c r="N13" s="127">
        <v>1</v>
      </c>
      <c r="O13" s="118">
        <v>10</v>
      </c>
      <c r="P13" s="120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28">
        <v>0</v>
      </c>
      <c r="Z13" s="127">
        <v>15</v>
      </c>
      <c r="AA13" s="120">
        <v>17</v>
      </c>
      <c r="AB13" s="118">
        <v>0</v>
      </c>
      <c r="AC13" s="119">
        <v>0</v>
      </c>
      <c r="AD13" s="127">
        <v>146</v>
      </c>
      <c r="AE13" s="118">
        <v>752</v>
      </c>
      <c r="AF13" s="118">
        <v>0</v>
      </c>
      <c r="AG13" s="128">
        <v>0</v>
      </c>
      <c r="AH13" s="122">
        <v>898</v>
      </c>
    </row>
    <row r="14" spans="1:34" s="2" customFormat="1" x14ac:dyDescent="0.25">
      <c r="A14" s="17" t="s">
        <v>151</v>
      </c>
      <c r="B14" s="90" t="s">
        <v>152</v>
      </c>
      <c r="C14" s="8">
        <f t="shared" si="0"/>
        <v>350399.95419133682</v>
      </c>
      <c r="D14" s="7">
        <f t="shared" si="1"/>
        <v>860246.77300000004</v>
      </c>
      <c r="E14" s="7">
        <f t="shared" si="2"/>
        <v>35453</v>
      </c>
      <c r="F14" s="7">
        <f t="shared" si="3"/>
        <v>643473</v>
      </c>
      <c r="G14" s="7">
        <f t="shared" si="4"/>
        <v>187404.00000000003</v>
      </c>
      <c r="H14" s="149">
        <f t="shared" si="5"/>
        <v>213315.20000000001</v>
      </c>
      <c r="I14" s="157">
        <f t="shared" si="6"/>
        <v>8.9559748427672954E-3</v>
      </c>
      <c r="J14" s="153">
        <v>567529</v>
      </c>
      <c r="K14" s="127">
        <v>0</v>
      </c>
      <c r="L14" s="118">
        <v>533321</v>
      </c>
      <c r="M14" s="128">
        <v>0</v>
      </c>
      <c r="N14" s="127">
        <v>1</v>
      </c>
      <c r="O14" s="118">
        <v>30</v>
      </c>
      <c r="P14" s="120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28">
        <v>0</v>
      </c>
      <c r="Z14" s="127">
        <v>144</v>
      </c>
      <c r="AA14" s="120">
        <v>15</v>
      </c>
      <c r="AB14" s="118">
        <v>0</v>
      </c>
      <c r="AC14" s="119">
        <v>0</v>
      </c>
      <c r="AD14" s="127">
        <v>305</v>
      </c>
      <c r="AE14" s="118">
        <v>1075</v>
      </c>
      <c r="AF14" s="118">
        <v>0</v>
      </c>
      <c r="AG14" s="128">
        <v>0</v>
      </c>
      <c r="AH14" s="122">
        <v>1424</v>
      </c>
    </row>
    <row r="15" spans="1:34" s="2" customFormat="1" x14ac:dyDescent="0.25">
      <c r="A15" s="17" t="s">
        <v>153</v>
      </c>
      <c r="B15" s="90" t="s">
        <v>154</v>
      </c>
      <c r="C15" s="8">
        <f t="shared" si="0"/>
        <v>134022.15157849583</v>
      </c>
      <c r="D15" s="7">
        <f t="shared" si="1"/>
        <v>322780.65600000002</v>
      </c>
      <c r="E15" s="7">
        <f t="shared" si="2"/>
        <v>35453</v>
      </c>
      <c r="F15" s="7">
        <f t="shared" si="3"/>
        <v>424935</v>
      </c>
      <c r="G15" s="7">
        <f t="shared" si="4"/>
        <v>235205.6</v>
      </c>
      <c r="H15" s="149">
        <f t="shared" si="5"/>
        <v>260352.40000000002</v>
      </c>
      <c r="I15" s="157">
        <f t="shared" si="6"/>
        <v>1.6552380952380954E-2</v>
      </c>
      <c r="J15" s="153">
        <v>202393</v>
      </c>
      <c r="K15" s="127">
        <v>0</v>
      </c>
      <c r="L15" s="118">
        <v>200112</v>
      </c>
      <c r="M15" s="128">
        <v>0</v>
      </c>
      <c r="N15" s="127">
        <v>1</v>
      </c>
      <c r="O15" s="118">
        <v>11</v>
      </c>
      <c r="P15" s="120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28">
        <v>0</v>
      </c>
      <c r="Z15" s="127">
        <v>81</v>
      </c>
      <c r="AA15" s="120">
        <v>24</v>
      </c>
      <c r="AB15" s="118">
        <v>0</v>
      </c>
      <c r="AC15" s="119">
        <v>0</v>
      </c>
      <c r="AD15" s="127">
        <v>611</v>
      </c>
      <c r="AE15" s="118">
        <v>1121</v>
      </c>
      <c r="AF15" s="118">
        <v>0</v>
      </c>
      <c r="AG15" s="128">
        <v>0</v>
      </c>
      <c r="AH15" s="122">
        <v>1738</v>
      </c>
    </row>
    <row r="16" spans="1:34" s="2" customFormat="1" x14ac:dyDescent="0.25">
      <c r="A16" s="17" t="s">
        <v>155</v>
      </c>
      <c r="B16" s="90" t="s">
        <v>156</v>
      </c>
      <c r="C16" s="8">
        <f t="shared" si="0"/>
        <v>759186.11168942356</v>
      </c>
      <c r="D16" s="7">
        <f t="shared" si="1"/>
        <v>2066490.111</v>
      </c>
      <c r="E16" s="7">
        <f t="shared" si="2"/>
        <v>1026412</v>
      </c>
      <c r="F16" s="7">
        <f t="shared" si="3"/>
        <v>1044126</v>
      </c>
      <c r="G16" s="7">
        <f t="shared" si="4"/>
        <v>991204.20000000007</v>
      </c>
      <c r="H16" s="149">
        <f t="shared" si="5"/>
        <v>1047551.4</v>
      </c>
      <c r="I16" s="157">
        <f t="shared" si="6"/>
        <v>2.7104651162790698E-2</v>
      </c>
      <c r="J16" s="153">
        <v>1300867</v>
      </c>
      <c r="K16" s="127">
        <v>0</v>
      </c>
      <c r="L16" s="118">
        <v>1281147</v>
      </c>
      <c r="M16" s="128">
        <v>0</v>
      </c>
      <c r="N16" s="127">
        <v>10</v>
      </c>
      <c r="O16" s="118">
        <v>242</v>
      </c>
      <c r="P16" s="120">
        <v>3</v>
      </c>
      <c r="Q16" s="118">
        <v>0</v>
      </c>
      <c r="R16" s="118">
        <v>1</v>
      </c>
      <c r="S16" s="118">
        <v>180</v>
      </c>
      <c r="T16" s="118">
        <v>2</v>
      </c>
      <c r="U16" s="118">
        <v>510</v>
      </c>
      <c r="V16" s="118">
        <v>0</v>
      </c>
      <c r="W16" s="118">
        <v>0</v>
      </c>
      <c r="X16" s="118">
        <v>0</v>
      </c>
      <c r="Y16" s="128">
        <v>0</v>
      </c>
      <c r="Z16" s="127">
        <v>104</v>
      </c>
      <c r="AA16" s="120">
        <v>154</v>
      </c>
      <c r="AB16" s="118">
        <v>0</v>
      </c>
      <c r="AC16" s="119">
        <v>0</v>
      </c>
      <c r="AD16" s="127">
        <v>1433</v>
      </c>
      <c r="AE16" s="118">
        <v>5866</v>
      </c>
      <c r="AF16" s="118">
        <v>0</v>
      </c>
      <c r="AG16" s="128">
        <v>0</v>
      </c>
      <c r="AH16" s="122">
        <v>6993</v>
      </c>
    </row>
    <row r="17" spans="1:34" s="2" customFormat="1" x14ac:dyDescent="0.25">
      <c r="A17" s="17" t="s">
        <v>157</v>
      </c>
      <c r="B17" s="90" t="s">
        <v>158</v>
      </c>
      <c r="C17" s="8">
        <f t="shared" si="0"/>
        <v>157459.55119695858</v>
      </c>
      <c r="D17" s="7">
        <f t="shared" si="1"/>
        <v>375909.65</v>
      </c>
      <c r="E17" s="7">
        <f t="shared" si="2"/>
        <v>505225</v>
      </c>
      <c r="F17" s="7">
        <f t="shared" si="3"/>
        <v>343995</v>
      </c>
      <c r="G17" s="7">
        <f t="shared" si="4"/>
        <v>254625.00000000003</v>
      </c>
      <c r="H17" s="149">
        <f t="shared" si="5"/>
        <v>280725.2</v>
      </c>
      <c r="I17" s="157">
        <f t="shared" si="6"/>
        <v>2.2047058823529413E-2</v>
      </c>
      <c r="J17" s="153">
        <v>240595</v>
      </c>
      <c r="K17" s="127">
        <v>0</v>
      </c>
      <c r="L17" s="118">
        <v>233050</v>
      </c>
      <c r="M17" s="128">
        <v>0</v>
      </c>
      <c r="N17" s="127">
        <v>2</v>
      </c>
      <c r="O17" s="118">
        <v>24</v>
      </c>
      <c r="P17" s="120">
        <v>0</v>
      </c>
      <c r="Q17" s="118">
        <v>0</v>
      </c>
      <c r="R17" s="118">
        <v>3</v>
      </c>
      <c r="S17" s="118">
        <v>303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28">
        <v>0</v>
      </c>
      <c r="Z17" s="127">
        <v>51</v>
      </c>
      <c r="AA17" s="120">
        <v>34</v>
      </c>
      <c r="AB17" s="118">
        <v>0</v>
      </c>
      <c r="AC17" s="119">
        <v>0</v>
      </c>
      <c r="AD17" s="127">
        <v>404</v>
      </c>
      <c r="AE17" s="118">
        <v>1471</v>
      </c>
      <c r="AF17" s="118">
        <v>0</v>
      </c>
      <c r="AG17" s="128">
        <v>0</v>
      </c>
      <c r="AH17" s="122">
        <v>1874</v>
      </c>
    </row>
    <row r="18" spans="1:34" s="2" customFormat="1" x14ac:dyDescent="0.25">
      <c r="A18" s="17" t="s">
        <v>159</v>
      </c>
      <c r="B18" s="90" t="s">
        <v>160</v>
      </c>
      <c r="C18" s="8">
        <f t="shared" si="0"/>
        <v>452793.41755508166</v>
      </c>
      <c r="D18" s="7">
        <f t="shared" si="1"/>
        <v>1106666.3959999999</v>
      </c>
      <c r="E18" s="7">
        <f t="shared" si="2"/>
        <v>254750</v>
      </c>
      <c r="F18" s="7">
        <f t="shared" si="3"/>
        <v>562533</v>
      </c>
      <c r="G18" s="7">
        <f t="shared" si="4"/>
        <v>510608.00000000006</v>
      </c>
      <c r="H18" s="149">
        <f t="shared" si="5"/>
        <v>563248</v>
      </c>
      <c r="I18" s="157">
        <f t="shared" si="6"/>
        <v>2.7050359712230215E-2</v>
      </c>
      <c r="J18" s="153">
        <v>747196</v>
      </c>
      <c r="K18" s="127">
        <v>0</v>
      </c>
      <c r="L18" s="118">
        <v>686092</v>
      </c>
      <c r="M18" s="128">
        <v>0</v>
      </c>
      <c r="N18" s="127">
        <v>4</v>
      </c>
      <c r="O18" s="118">
        <v>72</v>
      </c>
      <c r="P18" s="120">
        <v>2</v>
      </c>
      <c r="Q18" s="118">
        <v>130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28">
        <v>0</v>
      </c>
      <c r="Z18" s="127">
        <v>70</v>
      </c>
      <c r="AA18" s="120">
        <v>69</v>
      </c>
      <c r="AB18" s="118">
        <v>0</v>
      </c>
      <c r="AC18" s="119">
        <v>0</v>
      </c>
      <c r="AD18" s="127">
        <v>760</v>
      </c>
      <c r="AE18" s="118">
        <v>3000</v>
      </c>
      <c r="AF18" s="118">
        <v>0</v>
      </c>
      <c r="AG18" s="128">
        <v>0</v>
      </c>
      <c r="AH18" s="122">
        <v>3760</v>
      </c>
    </row>
    <row r="19" spans="1:34" s="2" customFormat="1" x14ac:dyDescent="0.25">
      <c r="A19" s="17" t="s">
        <v>161</v>
      </c>
      <c r="B19" s="90" t="s">
        <v>162</v>
      </c>
      <c r="C19" s="8">
        <f t="shared" si="0"/>
        <v>202767.99489947534</v>
      </c>
      <c r="D19" s="7">
        <f t="shared" si="1"/>
        <v>500931.66700000002</v>
      </c>
      <c r="E19" s="7">
        <f t="shared" si="2"/>
        <v>106359</v>
      </c>
      <c r="F19" s="7">
        <f t="shared" si="3"/>
        <v>493734</v>
      </c>
      <c r="G19" s="7">
        <f t="shared" si="4"/>
        <v>247291.80000000002</v>
      </c>
      <c r="H19" s="149">
        <f t="shared" si="5"/>
        <v>289863</v>
      </c>
      <c r="I19" s="157">
        <f t="shared" si="6"/>
        <v>1.5860655737704919E-2</v>
      </c>
      <c r="J19" s="153">
        <v>315586</v>
      </c>
      <c r="K19" s="127">
        <v>0</v>
      </c>
      <c r="L19" s="118">
        <v>310559</v>
      </c>
      <c r="M19" s="128">
        <v>0</v>
      </c>
      <c r="N19" s="127">
        <v>3</v>
      </c>
      <c r="O19" s="118">
        <v>38</v>
      </c>
      <c r="P19" s="120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28">
        <v>0</v>
      </c>
      <c r="Z19" s="127">
        <v>83</v>
      </c>
      <c r="AA19" s="120">
        <v>39</v>
      </c>
      <c r="AB19" s="118">
        <v>0</v>
      </c>
      <c r="AC19" s="119">
        <v>0</v>
      </c>
      <c r="AD19" s="127">
        <v>255</v>
      </c>
      <c r="AE19" s="118">
        <v>1566</v>
      </c>
      <c r="AF19" s="118">
        <v>0</v>
      </c>
      <c r="AG19" s="128">
        <v>0</v>
      </c>
      <c r="AH19" s="122">
        <v>1935</v>
      </c>
    </row>
    <row r="20" spans="1:34" s="2" customFormat="1" x14ac:dyDescent="0.25">
      <c r="A20" s="17" t="s">
        <v>163</v>
      </c>
      <c r="B20" s="90" t="s">
        <v>164</v>
      </c>
      <c r="C20" s="8">
        <f t="shared" si="0"/>
        <v>161231.70497136933</v>
      </c>
      <c r="D20" s="7">
        <f t="shared" si="1"/>
        <v>455333.77</v>
      </c>
      <c r="E20" s="7">
        <f t="shared" si="2"/>
        <v>35453</v>
      </c>
      <c r="F20" s="7">
        <f t="shared" si="3"/>
        <v>667755</v>
      </c>
      <c r="G20" s="7">
        <f t="shared" si="4"/>
        <v>398437.2</v>
      </c>
      <c r="H20" s="149">
        <f t="shared" si="5"/>
        <v>433970.60000000003</v>
      </c>
      <c r="I20" s="157">
        <f t="shared" si="6"/>
        <v>1.7557575757575758E-2</v>
      </c>
      <c r="J20" s="153">
        <v>246784</v>
      </c>
      <c r="K20" s="127">
        <v>0</v>
      </c>
      <c r="L20" s="118">
        <v>282290</v>
      </c>
      <c r="M20" s="128">
        <v>0</v>
      </c>
      <c r="N20" s="127">
        <v>1</v>
      </c>
      <c r="O20" s="118">
        <v>20</v>
      </c>
      <c r="P20" s="120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28">
        <v>0</v>
      </c>
      <c r="Z20" s="127">
        <v>116</v>
      </c>
      <c r="AA20" s="120">
        <v>49</v>
      </c>
      <c r="AB20" s="118">
        <v>0</v>
      </c>
      <c r="AC20" s="119">
        <v>0</v>
      </c>
      <c r="AD20" s="127">
        <v>2176</v>
      </c>
      <c r="AE20" s="118">
        <v>758</v>
      </c>
      <c r="AF20" s="118">
        <v>0</v>
      </c>
      <c r="AG20" s="128">
        <v>0</v>
      </c>
      <c r="AH20" s="122">
        <v>2897</v>
      </c>
    </row>
    <row r="21" spans="1:34" s="2" customFormat="1" x14ac:dyDescent="0.25">
      <c r="A21" s="17" t="s">
        <v>165</v>
      </c>
      <c r="B21" s="90" t="s">
        <v>166</v>
      </c>
      <c r="C21" s="8">
        <f t="shared" si="0"/>
        <v>435348.30383743742</v>
      </c>
      <c r="D21" s="7">
        <f t="shared" si="1"/>
        <v>1155480.615</v>
      </c>
      <c r="E21" s="7">
        <f t="shared" si="2"/>
        <v>493031</v>
      </c>
      <c r="F21" s="7">
        <f t="shared" si="3"/>
        <v>663708</v>
      </c>
      <c r="G21" s="7">
        <f t="shared" si="4"/>
        <v>521472.00000000006</v>
      </c>
      <c r="H21" s="149">
        <f t="shared" si="5"/>
        <v>548867.20000000007</v>
      </c>
      <c r="I21" s="157">
        <f t="shared" si="6"/>
        <v>2.2341463414634145E-2</v>
      </c>
      <c r="J21" s="153">
        <v>716355</v>
      </c>
      <c r="K21" s="127">
        <v>0</v>
      </c>
      <c r="L21" s="118">
        <v>716355</v>
      </c>
      <c r="M21" s="128">
        <v>0</v>
      </c>
      <c r="N21" s="127">
        <v>0</v>
      </c>
      <c r="O21" s="118">
        <v>0</v>
      </c>
      <c r="P21" s="120">
        <v>3</v>
      </c>
      <c r="Q21" s="118">
        <v>180</v>
      </c>
      <c r="R21" s="118">
        <v>1</v>
      </c>
      <c r="S21" s="118">
        <v>180</v>
      </c>
      <c r="T21" s="118">
        <v>0</v>
      </c>
      <c r="U21" s="118">
        <v>0</v>
      </c>
      <c r="V21" s="118">
        <v>1</v>
      </c>
      <c r="W21" s="118">
        <v>410</v>
      </c>
      <c r="X21" s="118">
        <v>0</v>
      </c>
      <c r="Y21" s="128">
        <v>0</v>
      </c>
      <c r="Z21" s="127">
        <v>72</v>
      </c>
      <c r="AA21" s="120">
        <v>92</v>
      </c>
      <c r="AB21" s="118">
        <v>0</v>
      </c>
      <c r="AC21" s="119">
        <v>0</v>
      </c>
      <c r="AD21" s="127">
        <v>170</v>
      </c>
      <c r="AE21" s="118">
        <v>3670</v>
      </c>
      <c r="AF21" s="118">
        <v>0</v>
      </c>
      <c r="AG21" s="128">
        <v>0</v>
      </c>
      <c r="AH21" s="122">
        <v>3664</v>
      </c>
    </row>
    <row r="22" spans="1:34" s="2" customFormat="1" x14ac:dyDescent="0.25">
      <c r="A22" s="17" t="s">
        <v>167</v>
      </c>
      <c r="B22" s="90" t="s">
        <v>168</v>
      </c>
      <c r="C22" s="8">
        <f t="shared" si="0"/>
        <v>746290.26702421438</v>
      </c>
      <c r="D22" s="7">
        <f t="shared" si="1"/>
        <v>2052350.5530000001</v>
      </c>
      <c r="E22" s="7">
        <f t="shared" si="2"/>
        <v>183844</v>
      </c>
      <c r="F22" s="7">
        <f t="shared" si="3"/>
        <v>586815</v>
      </c>
      <c r="G22" s="7">
        <f t="shared" si="4"/>
        <v>823491.20000000007</v>
      </c>
      <c r="H22" s="149">
        <f t="shared" si="5"/>
        <v>908387.20000000007</v>
      </c>
      <c r="I22" s="157">
        <f t="shared" si="6"/>
        <v>4.1820689655172411E-2</v>
      </c>
      <c r="J22" s="153">
        <v>1277175</v>
      </c>
      <c r="K22" s="127">
        <v>0</v>
      </c>
      <c r="L22" s="118">
        <v>1272381</v>
      </c>
      <c r="M22" s="128">
        <v>0</v>
      </c>
      <c r="N22" s="127">
        <v>2</v>
      </c>
      <c r="O22" s="118">
        <v>88</v>
      </c>
      <c r="P22" s="120">
        <v>2</v>
      </c>
      <c r="Q22" s="118">
        <v>150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28">
        <v>0</v>
      </c>
      <c r="Z22" s="127">
        <v>27</v>
      </c>
      <c r="AA22" s="120">
        <v>118</v>
      </c>
      <c r="AB22" s="118">
        <v>0</v>
      </c>
      <c r="AC22" s="119">
        <v>0</v>
      </c>
      <c r="AD22" s="127">
        <v>461</v>
      </c>
      <c r="AE22" s="118">
        <v>5603</v>
      </c>
      <c r="AF22" s="118">
        <v>0</v>
      </c>
      <c r="AG22" s="128">
        <v>0</v>
      </c>
      <c r="AH22" s="122">
        <v>6064</v>
      </c>
    </row>
    <row r="23" spans="1:34" s="2" customFormat="1" x14ac:dyDescent="0.25">
      <c r="A23" s="17" t="s">
        <v>169</v>
      </c>
      <c r="B23" s="90" t="s">
        <v>170</v>
      </c>
      <c r="C23" s="8">
        <f t="shared" si="0"/>
        <v>330237.76192009507</v>
      </c>
      <c r="D23" s="7">
        <f t="shared" si="1"/>
        <v>859033.79700000002</v>
      </c>
      <c r="E23" s="7">
        <f t="shared" si="2"/>
        <v>251132</v>
      </c>
      <c r="F23" s="7">
        <f t="shared" si="3"/>
        <v>335901</v>
      </c>
      <c r="G23" s="7">
        <f t="shared" si="4"/>
        <v>420165.2</v>
      </c>
      <c r="H23" s="149">
        <f t="shared" si="5"/>
        <v>468574.4</v>
      </c>
      <c r="I23" s="157">
        <f t="shared" si="6"/>
        <v>3.7686746987951804E-2</v>
      </c>
      <c r="J23" s="153">
        <v>532569</v>
      </c>
      <c r="K23" s="127">
        <v>0</v>
      </c>
      <c r="L23" s="118">
        <v>532569</v>
      </c>
      <c r="M23" s="128">
        <v>0</v>
      </c>
      <c r="N23" s="127">
        <v>3</v>
      </c>
      <c r="O23" s="118">
        <v>140</v>
      </c>
      <c r="P23" s="120">
        <v>0</v>
      </c>
      <c r="Q23" s="118">
        <v>0</v>
      </c>
      <c r="R23" s="118">
        <v>1</v>
      </c>
      <c r="S23" s="118">
        <v>200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28">
        <v>0</v>
      </c>
      <c r="Z23" s="127">
        <v>5</v>
      </c>
      <c r="AA23" s="120">
        <v>78</v>
      </c>
      <c r="AB23" s="118">
        <v>0</v>
      </c>
      <c r="AC23" s="119">
        <v>0</v>
      </c>
      <c r="AD23" s="127">
        <v>232</v>
      </c>
      <c r="AE23" s="118">
        <v>2862</v>
      </c>
      <c r="AF23" s="118">
        <v>0</v>
      </c>
      <c r="AG23" s="128">
        <v>0</v>
      </c>
      <c r="AH23" s="122">
        <v>3128</v>
      </c>
    </row>
    <row r="24" spans="1:34" s="2" customFormat="1" x14ac:dyDescent="0.25">
      <c r="A24" s="17" t="s">
        <v>171</v>
      </c>
      <c r="B24" s="90" t="s">
        <v>172</v>
      </c>
      <c r="C24" s="8">
        <f t="shared" si="0"/>
        <v>291944.5443668486</v>
      </c>
      <c r="D24" s="7">
        <f t="shared" si="1"/>
        <v>741410.61100000003</v>
      </c>
      <c r="E24" s="7">
        <f t="shared" si="2"/>
        <v>141812</v>
      </c>
      <c r="F24" s="7">
        <f t="shared" si="3"/>
        <v>44517</v>
      </c>
      <c r="G24" s="7">
        <f t="shared" si="4"/>
        <v>0</v>
      </c>
      <c r="H24" s="149">
        <f t="shared" si="5"/>
        <v>1797.6000000000001</v>
      </c>
      <c r="I24" s="157">
        <f t="shared" si="6"/>
        <v>1.090909090909091E-3</v>
      </c>
      <c r="J24" s="153">
        <v>466606</v>
      </c>
      <c r="K24" s="127">
        <v>0</v>
      </c>
      <c r="L24" s="118">
        <v>459647</v>
      </c>
      <c r="M24" s="128">
        <v>0</v>
      </c>
      <c r="N24" s="127">
        <v>4</v>
      </c>
      <c r="O24" s="118">
        <v>40</v>
      </c>
      <c r="P24" s="120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28">
        <v>0</v>
      </c>
      <c r="Z24" s="127">
        <v>11</v>
      </c>
      <c r="AA24" s="120">
        <v>0</v>
      </c>
      <c r="AB24" s="118">
        <v>0</v>
      </c>
      <c r="AC24" s="119">
        <v>0</v>
      </c>
      <c r="AD24" s="127">
        <v>0</v>
      </c>
      <c r="AE24" s="118">
        <v>0</v>
      </c>
      <c r="AF24" s="118">
        <v>0</v>
      </c>
      <c r="AG24" s="128">
        <v>0</v>
      </c>
      <c r="AH24" s="122">
        <v>12</v>
      </c>
    </row>
    <row r="25" spans="1:34" s="2" customFormat="1" x14ac:dyDescent="0.25">
      <c r="A25" s="17" t="s">
        <v>173</v>
      </c>
      <c r="B25" s="90" t="s">
        <v>174</v>
      </c>
      <c r="C25" s="8">
        <f t="shared" si="0"/>
        <v>167345.94213450051</v>
      </c>
      <c r="D25" s="7">
        <f t="shared" si="1"/>
        <v>406756.66200000001</v>
      </c>
      <c r="E25" s="7">
        <f t="shared" si="2"/>
        <v>0</v>
      </c>
      <c r="F25" s="7">
        <f t="shared" si="3"/>
        <v>238773</v>
      </c>
      <c r="G25" s="7">
        <f t="shared" si="4"/>
        <v>247970.80000000002</v>
      </c>
      <c r="H25" s="149">
        <f t="shared" si="5"/>
        <v>277879</v>
      </c>
      <c r="I25" s="157">
        <f t="shared" si="6"/>
        <v>3.1440677966101692E-2</v>
      </c>
      <c r="J25" s="153">
        <v>256838</v>
      </c>
      <c r="K25" s="127">
        <v>0</v>
      </c>
      <c r="L25" s="118">
        <v>252174</v>
      </c>
      <c r="M25" s="128">
        <v>0</v>
      </c>
      <c r="N25" s="127">
        <v>0</v>
      </c>
      <c r="O25" s="118">
        <v>0</v>
      </c>
      <c r="P25" s="120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28">
        <v>0</v>
      </c>
      <c r="Z25" s="127">
        <v>29</v>
      </c>
      <c r="AA25" s="120">
        <v>30</v>
      </c>
      <c r="AB25" s="118">
        <v>0</v>
      </c>
      <c r="AC25" s="119">
        <v>0</v>
      </c>
      <c r="AD25" s="127">
        <v>300</v>
      </c>
      <c r="AE25" s="118">
        <v>1526</v>
      </c>
      <c r="AF25" s="118">
        <v>0</v>
      </c>
      <c r="AG25" s="128">
        <v>0</v>
      </c>
      <c r="AH25" s="122">
        <v>1855</v>
      </c>
    </row>
    <row r="26" spans="1:34" s="2" customFormat="1" x14ac:dyDescent="0.25">
      <c r="A26" s="17" t="s">
        <v>175</v>
      </c>
      <c r="B26" s="90" t="s">
        <v>176</v>
      </c>
      <c r="C26" s="8">
        <f t="shared" si="0"/>
        <v>164041.54578633644</v>
      </c>
      <c r="D26" s="7">
        <f t="shared" si="1"/>
        <v>405509.81300000002</v>
      </c>
      <c r="E26" s="7">
        <f t="shared" si="2"/>
        <v>35453</v>
      </c>
      <c r="F26" s="7">
        <f t="shared" si="3"/>
        <v>259008</v>
      </c>
      <c r="G26" s="7">
        <f t="shared" si="4"/>
        <v>101985.8</v>
      </c>
      <c r="H26" s="149">
        <f t="shared" si="5"/>
        <v>112649.60000000001</v>
      </c>
      <c r="I26" s="157">
        <f t="shared" si="6"/>
        <v>1.175E-2</v>
      </c>
      <c r="J26" s="153">
        <v>251401</v>
      </c>
      <c r="K26" s="127">
        <v>0</v>
      </c>
      <c r="L26" s="118">
        <v>251401</v>
      </c>
      <c r="M26" s="128">
        <v>0</v>
      </c>
      <c r="N26" s="127">
        <v>1</v>
      </c>
      <c r="O26" s="118">
        <v>12</v>
      </c>
      <c r="P26" s="120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28">
        <v>0</v>
      </c>
      <c r="Z26" s="127">
        <v>39</v>
      </c>
      <c r="AA26" s="120">
        <v>25</v>
      </c>
      <c r="AB26" s="118">
        <v>0</v>
      </c>
      <c r="AC26" s="119">
        <v>0</v>
      </c>
      <c r="AD26" s="127">
        <v>114</v>
      </c>
      <c r="AE26" s="118">
        <v>637</v>
      </c>
      <c r="AF26" s="118">
        <v>0</v>
      </c>
      <c r="AG26" s="128">
        <v>0</v>
      </c>
      <c r="AH26" s="122">
        <v>752</v>
      </c>
    </row>
    <row r="27" spans="1:34" s="2" customFormat="1" x14ac:dyDescent="0.25">
      <c r="A27" s="17" t="s">
        <v>177</v>
      </c>
      <c r="B27" s="90" t="s">
        <v>178</v>
      </c>
      <c r="C27" s="8">
        <f t="shared" si="0"/>
        <v>205354.58436122883</v>
      </c>
      <c r="D27" s="7">
        <f t="shared" si="1"/>
        <v>500981.67</v>
      </c>
      <c r="E27" s="7">
        <f t="shared" si="2"/>
        <v>70906</v>
      </c>
      <c r="F27" s="7">
        <f t="shared" si="3"/>
        <v>527405.03999999992</v>
      </c>
      <c r="G27" s="7">
        <f t="shared" si="4"/>
        <v>224884.80000000002</v>
      </c>
      <c r="H27" s="149">
        <f t="shared" si="5"/>
        <v>261850.40000000002</v>
      </c>
      <c r="I27" s="157">
        <f t="shared" si="6"/>
        <v>1.3413136893799877E-2</v>
      </c>
      <c r="J27" s="153">
        <v>319907</v>
      </c>
      <c r="K27" s="127">
        <v>0</v>
      </c>
      <c r="L27" s="118">
        <v>310590</v>
      </c>
      <c r="M27" s="128">
        <v>0</v>
      </c>
      <c r="N27" s="127">
        <v>2</v>
      </c>
      <c r="O27" s="118">
        <v>40</v>
      </c>
      <c r="P27" s="120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28">
        <v>0</v>
      </c>
      <c r="Z27" s="127">
        <v>108</v>
      </c>
      <c r="AA27" s="120">
        <v>22.32</v>
      </c>
      <c r="AB27" s="118">
        <v>0</v>
      </c>
      <c r="AC27" s="119">
        <v>0</v>
      </c>
      <c r="AD27" s="127">
        <v>607</v>
      </c>
      <c r="AE27" s="118">
        <v>1049</v>
      </c>
      <c r="AF27" s="118">
        <v>0</v>
      </c>
      <c r="AG27" s="128">
        <v>0</v>
      </c>
      <c r="AH27" s="122">
        <v>1748</v>
      </c>
    </row>
    <row r="28" spans="1:34" s="2" customFormat="1" x14ac:dyDescent="0.25">
      <c r="A28" s="17" t="s">
        <v>21</v>
      </c>
      <c r="B28" s="90" t="s">
        <v>179</v>
      </c>
      <c r="C28" s="8">
        <f t="shared" si="0"/>
        <v>856071.57332672935</v>
      </c>
      <c r="D28" s="7">
        <f t="shared" si="1"/>
        <v>2386870.6230000001</v>
      </c>
      <c r="E28" s="7">
        <f t="shared" si="2"/>
        <v>375546</v>
      </c>
      <c r="F28" s="7">
        <f t="shared" si="3"/>
        <v>2743866</v>
      </c>
      <c r="G28" s="7">
        <f t="shared" si="4"/>
        <v>1477096.6</v>
      </c>
      <c r="H28" s="149">
        <f t="shared" si="5"/>
        <v>1628326.0000000002</v>
      </c>
      <c r="I28" s="157">
        <f t="shared" si="6"/>
        <v>1.603244837758112E-2</v>
      </c>
      <c r="J28" s="153">
        <v>1479771</v>
      </c>
      <c r="K28" s="127">
        <v>0</v>
      </c>
      <c r="L28" s="118">
        <v>1479771</v>
      </c>
      <c r="M28" s="128">
        <v>0</v>
      </c>
      <c r="N28" s="127">
        <v>9</v>
      </c>
      <c r="O28" s="118">
        <v>105</v>
      </c>
      <c r="P28" s="120">
        <v>1</v>
      </c>
      <c r="Q28" s="118">
        <v>75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28">
        <v>0</v>
      </c>
      <c r="Z28" s="127">
        <v>466</v>
      </c>
      <c r="AA28" s="120">
        <v>212</v>
      </c>
      <c r="AB28" s="118">
        <v>0</v>
      </c>
      <c r="AC28" s="119">
        <v>0</v>
      </c>
      <c r="AD28" s="127">
        <v>8433</v>
      </c>
      <c r="AE28" s="118">
        <v>2444</v>
      </c>
      <c r="AF28" s="118">
        <v>0</v>
      </c>
      <c r="AG28" s="128">
        <v>0</v>
      </c>
      <c r="AH28" s="122">
        <v>10870</v>
      </c>
    </row>
    <row r="29" spans="1:34" s="2" customFormat="1" x14ac:dyDescent="0.25">
      <c r="A29" s="139" t="s">
        <v>180</v>
      </c>
      <c r="B29" s="140" t="s">
        <v>181</v>
      </c>
      <c r="C29" s="141">
        <f t="shared" si="0"/>
        <v>172153.97491986013</v>
      </c>
      <c r="D29" s="142">
        <f t="shared" si="1"/>
        <v>427062.71899999998</v>
      </c>
      <c r="E29" s="142">
        <f t="shared" si="2"/>
        <v>106359</v>
      </c>
      <c r="F29" s="142">
        <f t="shared" si="3"/>
        <v>343995</v>
      </c>
      <c r="G29" s="142">
        <f t="shared" si="4"/>
        <v>217008.40000000002</v>
      </c>
      <c r="H29" s="150">
        <f t="shared" si="5"/>
        <v>236833.80000000002</v>
      </c>
      <c r="I29" s="157">
        <f t="shared" si="6"/>
        <v>1.8599999999999998E-2</v>
      </c>
      <c r="J29" s="153">
        <v>264763</v>
      </c>
      <c r="K29" s="127"/>
      <c r="L29" s="118">
        <v>264763</v>
      </c>
      <c r="M29" s="128"/>
      <c r="N29" s="127">
        <v>3</v>
      </c>
      <c r="O29" s="118"/>
      <c r="P29" s="120"/>
      <c r="Q29" s="118"/>
      <c r="R29" s="118"/>
      <c r="S29" s="118"/>
      <c r="T29" s="118"/>
      <c r="U29" s="118"/>
      <c r="V29" s="118"/>
      <c r="W29" s="118"/>
      <c r="X29" s="118"/>
      <c r="Y29" s="128"/>
      <c r="Z29" s="127">
        <v>36</v>
      </c>
      <c r="AA29" s="120">
        <v>49</v>
      </c>
      <c r="AB29" s="118"/>
      <c r="AC29" s="119"/>
      <c r="AD29" s="127">
        <v>750</v>
      </c>
      <c r="AE29" s="118">
        <v>848</v>
      </c>
      <c r="AF29" s="118"/>
      <c r="AG29" s="128"/>
      <c r="AH29" s="122">
        <v>1581</v>
      </c>
    </row>
    <row r="30" spans="1:34" s="2" customFormat="1" x14ac:dyDescent="0.25">
      <c r="A30" s="17" t="s">
        <v>22</v>
      </c>
      <c r="B30" s="90" t="s">
        <v>182</v>
      </c>
      <c r="C30" s="8">
        <f t="shared" si="0"/>
        <v>552311.13316536346</v>
      </c>
      <c r="D30" s="7">
        <f t="shared" si="1"/>
        <v>1378479.4779999999</v>
      </c>
      <c r="E30" s="7">
        <f t="shared" si="2"/>
        <v>141812</v>
      </c>
      <c r="F30" s="7">
        <f t="shared" si="3"/>
        <v>692037</v>
      </c>
      <c r="G30" s="7">
        <f t="shared" si="4"/>
        <v>373721.60000000003</v>
      </c>
      <c r="H30" s="149">
        <f t="shared" si="5"/>
        <v>412249.60000000003</v>
      </c>
      <c r="I30" s="157">
        <f t="shared" si="6"/>
        <v>1.609356725146199E-2</v>
      </c>
      <c r="J30" s="153">
        <v>924706</v>
      </c>
      <c r="K30" s="127">
        <v>0</v>
      </c>
      <c r="L30" s="118">
        <v>854606</v>
      </c>
      <c r="M30" s="128">
        <v>0</v>
      </c>
      <c r="N30" s="127">
        <v>4</v>
      </c>
      <c r="O30" s="118">
        <v>40</v>
      </c>
      <c r="P30" s="120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28">
        <v>0</v>
      </c>
      <c r="Z30" s="127">
        <v>78</v>
      </c>
      <c r="AA30" s="120">
        <v>93</v>
      </c>
      <c r="AB30" s="118">
        <v>0</v>
      </c>
      <c r="AC30" s="119">
        <v>0</v>
      </c>
      <c r="AD30" s="127">
        <v>241</v>
      </c>
      <c r="AE30" s="118">
        <v>2511</v>
      </c>
      <c r="AF30" s="118">
        <v>0</v>
      </c>
      <c r="AG30" s="128">
        <v>0</v>
      </c>
      <c r="AH30" s="122">
        <v>2752</v>
      </c>
    </row>
    <row r="31" spans="1:34" s="2" customFormat="1" x14ac:dyDescent="0.25">
      <c r="A31" s="17" t="s">
        <v>183</v>
      </c>
      <c r="B31" s="90" t="s">
        <v>184</v>
      </c>
      <c r="C31" s="8">
        <f t="shared" si="0"/>
        <v>233354.66218761518</v>
      </c>
      <c r="D31" s="7">
        <f t="shared" si="1"/>
        <v>572795.57631779998</v>
      </c>
      <c r="E31" s="7">
        <f t="shared" si="2"/>
        <v>35453</v>
      </c>
      <c r="F31" s="7">
        <f t="shared" si="3"/>
        <v>117363</v>
      </c>
      <c r="G31" s="7">
        <f t="shared" si="4"/>
        <v>34221.600000000006</v>
      </c>
      <c r="H31" s="149">
        <f t="shared" si="5"/>
        <v>35802.200000000004</v>
      </c>
      <c r="I31" s="157">
        <f t="shared" si="6"/>
        <v>8.241379310344828E-3</v>
      </c>
      <c r="J31" s="153">
        <v>366927</v>
      </c>
      <c r="K31" s="127">
        <v>0</v>
      </c>
      <c r="L31" s="118">
        <f>J31*0.9678</f>
        <v>355111.95059999998</v>
      </c>
      <c r="M31" s="128">
        <v>0</v>
      </c>
      <c r="N31" s="127">
        <v>1</v>
      </c>
      <c r="O31" s="118">
        <v>0</v>
      </c>
      <c r="P31" s="120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28">
        <v>0</v>
      </c>
      <c r="Z31" s="127">
        <v>22</v>
      </c>
      <c r="AA31" s="120">
        <v>7</v>
      </c>
      <c r="AB31" s="118">
        <v>0</v>
      </c>
      <c r="AC31" s="119">
        <v>0</v>
      </c>
      <c r="AD31" s="127">
        <v>111</v>
      </c>
      <c r="AE31" s="118">
        <v>141</v>
      </c>
      <c r="AF31" s="118">
        <v>0</v>
      </c>
      <c r="AG31" s="128">
        <v>0</v>
      </c>
      <c r="AH31" s="122">
        <v>239</v>
      </c>
    </row>
    <row r="32" spans="1:34" s="2" customFormat="1" x14ac:dyDescent="0.25">
      <c r="A32" s="17" t="s">
        <v>185</v>
      </c>
      <c r="B32" s="90" t="s">
        <v>186</v>
      </c>
      <c r="C32" s="8">
        <f t="shared" si="0"/>
        <v>146470.74447289473</v>
      </c>
      <c r="D32" s="7">
        <f t="shared" si="1"/>
        <v>350048.42099999997</v>
      </c>
      <c r="E32" s="7">
        <f t="shared" si="2"/>
        <v>0</v>
      </c>
      <c r="F32" s="7">
        <f t="shared" si="3"/>
        <v>211253.4</v>
      </c>
      <c r="G32" s="7">
        <f t="shared" si="4"/>
        <v>120183.00000000001</v>
      </c>
      <c r="H32" s="149">
        <f t="shared" si="5"/>
        <v>143059</v>
      </c>
      <c r="I32" s="157">
        <f t="shared" si="6"/>
        <v>1.8295019157088126E-2</v>
      </c>
      <c r="J32" s="153">
        <v>222628</v>
      </c>
      <c r="K32" s="127">
        <v>0</v>
      </c>
      <c r="L32" s="118">
        <v>217017</v>
      </c>
      <c r="M32" s="128">
        <v>0</v>
      </c>
      <c r="N32" s="127">
        <v>0</v>
      </c>
      <c r="O32" s="118">
        <v>0</v>
      </c>
      <c r="P32" s="120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28">
        <v>0</v>
      </c>
      <c r="Z32" s="127">
        <v>35.799999999999997</v>
      </c>
      <c r="AA32" s="120">
        <v>16.399999999999999</v>
      </c>
      <c r="AB32" s="118">
        <v>0</v>
      </c>
      <c r="AC32" s="119">
        <v>0</v>
      </c>
      <c r="AD32" s="127">
        <v>232</v>
      </c>
      <c r="AE32" s="118">
        <v>653</v>
      </c>
      <c r="AF32" s="118">
        <v>0</v>
      </c>
      <c r="AG32" s="128">
        <v>0</v>
      </c>
      <c r="AH32" s="122">
        <v>955</v>
      </c>
    </row>
    <row r="33" spans="1:34" s="2" customFormat="1" x14ac:dyDescent="0.25">
      <c r="A33" s="17" t="s">
        <v>187</v>
      </c>
      <c r="B33" s="90" t="s">
        <v>188</v>
      </c>
      <c r="C33" s="8">
        <f t="shared" si="0"/>
        <v>187455.65886252135</v>
      </c>
      <c r="D33" s="7">
        <f t="shared" si="1"/>
        <v>446717.12400000001</v>
      </c>
      <c r="E33" s="7">
        <f t="shared" si="2"/>
        <v>178851</v>
      </c>
      <c r="F33" s="7">
        <f t="shared" si="3"/>
        <v>226632</v>
      </c>
      <c r="G33" s="7">
        <f t="shared" si="4"/>
        <v>229909.40000000002</v>
      </c>
      <c r="H33" s="149">
        <f t="shared" si="5"/>
        <v>253311.80000000002</v>
      </c>
      <c r="I33" s="157">
        <f t="shared" si="6"/>
        <v>3.0196428571428572E-2</v>
      </c>
      <c r="J33" s="153">
        <v>290090</v>
      </c>
      <c r="K33" s="127">
        <v>0</v>
      </c>
      <c r="L33" s="118">
        <v>276948</v>
      </c>
      <c r="M33" s="128">
        <v>0</v>
      </c>
      <c r="N33" s="127">
        <v>0</v>
      </c>
      <c r="O33" s="118">
        <v>0</v>
      </c>
      <c r="P33" s="120">
        <v>0</v>
      </c>
      <c r="Q33" s="118">
        <v>0</v>
      </c>
      <c r="R33" s="118">
        <v>0</v>
      </c>
      <c r="S33" s="118">
        <v>0</v>
      </c>
      <c r="T33" s="118">
        <v>1</v>
      </c>
      <c r="U33" s="118">
        <v>0</v>
      </c>
      <c r="V33" s="118">
        <v>0</v>
      </c>
      <c r="W33" s="118">
        <v>0</v>
      </c>
      <c r="X33" s="118">
        <v>0</v>
      </c>
      <c r="Y33" s="128">
        <v>0</v>
      </c>
      <c r="Z33" s="127">
        <v>26</v>
      </c>
      <c r="AA33" s="120">
        <v>30</v>
      </c>
      <c r="AB33" s="118">
        <v>0</v>
      </c>
      <c r="AC33" s="119">
        <v>0</v>
      </c>
      <c r="AD33" s="127">
        <v>245</v>
      </c>
      <c r="AE33" s="118">
        <v>1448</v>
      </c>
      <c r="AF33" s="118">
        <v>0</v>
      </c>
      <c r="AG33" s="128">
        <v>0</v>
      </c>
      <c r="AH33" s="122">
        <v>1691</v>
      </c>
    </row>
    <row r="34" spans="1:34" s="2" customFormat="1" x14ac:dyDescent="0.25">
      <c r="A34" s="17" t="s">
        <v>189</v>
      </c>
      <c r="B34" s="90" t="s">
        <v>190</v>
      </c>
      <c r="C34" s="8">
        <f t="shared" si="0"/>
        <v>546540.67709255242</v>
      </c>
      <c r="D34" s="7">
        <f t="shared" si="1"/>
        <v>1468636.5</v>
      </c>
      <c r="E34" s="7">
        <f t="shared" si="2"/>
        <v>254750</v>
      </c>
      <c r="F34" s="7">
        <f t="shared" si="3"/>
        <v>1136357.1299999999</v>
      </c>
      <c r="G34" s="7">
        <f t="shared" si="4"/>
        <v>763467.60000000009</v>
      </c>
      <c r="H34" s="149">
        <f t="shared" si="5"/>
        <v>842325.4</v>
      </c>
      <c r="I34" s="157">
        <f t="shared" si="6"/>
        <v>2.0025641938815487E-2</v>
      </c>
      <c r="J34" s="153">
        <v>914345</v>
      </c>
      <c r="K34" s="127">
        <v>0</v>
      </c>
      <c r="L34" s="118">
        <v>910500</v>
      </c>
      <c r="M34" s="128">
        <v>0</v>
      </c>
      <c r="N34" s="127">
        <v>4</v>
      </c>
      <c r="O34" s="118">
        <v>94</v>
      </c>
      <c r="P34" s="120">
        <v>2</v>
      </c>
      <c r="Q34" s="118">
        <v>300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28">
        <v>0</v>
      </c>
      <c r="Z34" s="127">
        <v>130.75</v>
      </c>
      <c r="AA34" s="120">
        <v>150.04</v>
      </c>
      <c r="AB34" s="118">
        <v>0</v>
      </c>
      <c r="AC34" s="119">
        <v>0</v>
      </c>
      <c r="AD34" s="127">
        <v>562</v>
      </c>
      <c r="AE34" s="118">
        <v>5060</v>
      </c>
      <c r="AF34" s="118">
        <v>0</v>
      </c>
      <c r="AG34" s="128">
        <v>0</v>
      </c>
      <c r="AH34" s="122">
        <v>5623</v>
      </c>
    </row>
    <row r="35" spans="1:34" s="2" customFormat="1" x14ac:dyDescent="0.25">
      <c r="A35" s="17" t="s">
        <v>191</v>
      </c>
      <c r="B35" s="90" t="s">
        <v>192</v>
      </c>
      <c r="C35" s="8">
        <f t="shared" si="0"/>
        <v>308829.19989119208</v>
      </c>
      <c r="D35" s="7">
        <f t="shared" si="1"/>
        <v>823296.16899999999</v>
      </c>
      <c r="E35" s="7">
        <f t="shared" si="2"/>
        <v>0</v>
      </c>
      <c r="F35" s="7">
        <f t="shared" si="3"/>
        <v>303525</v>
      </c>
      <c r="G35" s="7">
        <f t="shared" si="4"/>
        <v>307315.40000000002</v>
      </c>
      <c r="H35" s="149">
        <f t="shared" si="5"/>
        <v>338997.4</v>
      </c>
      <c r="I35" s="157">
        <f t="shared" si="6"/>
        <v>3.0173333333333333E-2</v>
      </c>
      <c r="J35" s="153">
        <v>495618</v>
      </c>
      <c r="K35" s="127">
        <v>0</v>
      </c>
      <c r="L35" s="118">
        <v>510413</v>
      </c>
      <c r="M35" s="128">
        <v>0</v>
      </c>
      <c r="N35" s="127">
        <v>0</v>
      </c>
      <c r="O35" s="118">
        <v>0</v>
      </c>
      <c r="P35" s="120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28">
        <v>0</v>
      </c>
      <c r="Z35" s="127">
        <v>29</v>
      </c>
      <c r="AA35" s="120">
        <v>46</v>
      </c>
      <c r="AB35" s="118">
        <v>0</v>
      </c>
      <c r="AC35" s="119">
        <v>0</v>
      </c>
      <c r="AD35" s="127">
        <v>162</v>
      </c>
      <c r="AE35" s="118">
        <v>2101</v>
      </c>
      <c r="AF35" s="118">
        <v>0</v>
      </c>
      <c r="AG35" s="128">
        <v>0</v>
      </c>
      <c r="AH35" s="122">
        <v>2263</v>
      </c>
    </row>
    <row r="36" spans="1:34" s="2" customFormat="1" x14ac:dyDescent="0.25">
      <c r="A36" s="17" t="s">
        <v>193</v>
      </c>
      <c r="B36" s="90" t="s">
        <v>194</v>
      </c>
      <c r="C36" s="8">
        <f t="shared" si="0"/>
        <v>159237.64418258384</v>
      </c>
      <c r="D36" s="7">
        <f t="shared" si="1"/>
        <v>370549.65100000001</v>
      </c>
      <c r="E36" s="7">
        <f t="shared" si="2"/>
        <v>56469</v>
      </c>
      <c r="F36" s="7">
        <f t="shared" si="3"/>
        <v>228262.94099999999</v>
      </c>
      <c r="G36" s="7">
        <f t="shared" si="4"/>
        <v>251909.00000000003</v>
      </c>
      <c r="H36" s="149">
        <f t="shared" si="5"/>
        <v>274583.40000000002</v>
      </c>
      <c r="I36" s="157">
        <f t="shared" si="6"/>
        <v>3.2498271368544225E-2</v>
      </c>
      <c r="J36" s="153">
        <v>243511</v>
      </c>
      <c r="K36" s="127">
        <v>0</v>
      </c>
      <c r="L36" s="118">
        <v>229727</v>
      </c>
      <c r="M36" s="128">
        <v>0</v>
      </c>
      <c r="N36" s="127">
        <v>0</v>
      </c>
      <c r="O36" s="118">
        <v>0</v>
      </c>
      <c r="P36" s="120">
        <v>1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28">
        <v>0</v>
      </c>
      <c r="Z36" s="127">
        <v>15.134</v>
      </c>
      <c r="AA36" s="120">
        <v>41.268999999999998</v>
      </c>
      <c r="AB36" s="118">
        <v>0</v>
      </c>
      <c r="AC36" s="119">
        <v>0</v>
      </c>
      <c r="AD36" s="127">
        <v>114</v>
      </c>
      <c r="AE36" s="118">
        <v>1741</v>
      </c>
      <c r="AF36" s="118">
        <v>0</v>
      </c>
      <c r="AG36" s="128">
        <v>0</v>
      </c>
      <c r="AH36" s="122">
        <v>1833</v>
      </c>
    </row>
    <row r="37" spans="1:34" s="2" customFormat="1" x14ac:dyDescent="0.25">
      <c r="A37" s="17" t="s">
        <v>23</v>
      </c>
      <c r="B37" s="90" t="s">
        <v>195</v>
      </c>
      <c r="C37" s="8">
        <f t="shared" si="0"/>
        <v>156486.34789634057</v>
      </c>
      <c r="D37" s="7">
        <f t="shared" si="1"/>
        <v>376570.98</v>
      </c>
      <c r="E37" s="7">
        <f t="shared" si="2"/>
        <v>70906</v>
      </c>
      <c r="F37" s="7">
        <f t="shared" si="3"/>
        <v>267102</v>
      </c>
      <c r="G37" s="7">
        <f t="shared" si="4"/>
        <v>175182.00000000003</v>
      </c>
      <c r="H37" s="149">
        <f t="shared" si="5"/>
        <v>193242.00000000003</v>
      </c>
      <c r="I37" s="157">
        <f t="shared" si="6"/>
        <v>1.9545454545454546E-2</v>
      </c>
      <c r="J37" s="153">
        <v>239000</v>
      </c>
      <c r="K37" s="127">
        <v>0</v>
      </c>
      <c r="L37" s="118">
        <v>233460</v>
      </c>
      <c r="M37" s="128">
        <v>0</v>
      </c>
      <c r="N37" s="127">
        <v>2</v>
      </c>
      <c r="O37" s="118">
        <v>42</v>
      </c>
      <c r="P37" s="120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18">
        <v>0</v>
      </c>
      <c r="Y37" s="128">
        <v>0</v>
      </c>
      <c r="Z37" s="127">
        <v>40</v>
      </c>
      <c r="AA37" s="120">
        <v>26</v>
      </c>
      <c r="AB37" s="118">
        <v>0</v>
      </c>
      <c r="AC37" s="119">
        <v>0</v>
      </c>
      <c r="AD37" s="127">
        <v>160</v>
      </c>
      <c r="AE37" s="118">
        <v>1130</v>
      </c>
      <c r="AF37" s="118">
        <v>0</v>
      </c>
      <c r="AG37" s="128">
        <v>0</v>
      </c>
      <c r="AH37" s="122">
        <v>1290</v>
      </c>
    </row>
    <row r="38" spans="1:34" s="2" customFormat="1" x14ac:dyDescent="0.25">
      <c r="A38" s="17" t="s">
        <v>196</v>
      </c>
      <c r="B38" s="90" t="s">
        <v>197</v>
      </c>
      <c r="C38" s="8">
        <f t="shared" si="0"/>
        <v>232515.75736026446</v>
      </c>
      <c r="D38" s="7">
        <f t="shared" si="1"/>
        <v>581644.57400000002</v>
      </c>
      <c r="E38" s="7">
        <f t="shared" si="2"/>
        <v>0</v>
      </c>
      <c r="F38" s="7">
        <f t="shared" si="3"/>
        <v>497781</v>
      </c>
      <c r="G38" s="7">
        <f t="shared" si="4"/>
        <v>327957</v>
      </c>
      <c r="H38" s="149">
        <f t="shared" si="5"/>
        <v>369856.2</v>
      </c>
      <c r="I38" s="157">
        <f t="shared" si="6"/>
        <v>2.0073170731707318E-2</v>
      </c>
      <c r="J38" s="153">
        <v>365512</v>
      </c>
      <c r="K38" s="127">
        <v>0</v>
      </c>
      <c r="L38" s="118">
        <v>360598</v>
      </c>
      <c r="M38" s="128">
        <v>0</v>
      </c>
      <c r="N38" s="127">
        <v>0</v>
      </c>
      <c r="O38" s="118">
        <v>0</v>
      </c>
      <c r="P38" s="120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28">
        <v>0</v>
      </c>
      <c r="Z38" s="127">
        <v>71</v>
      </c>
      <c r="AA38" s="120">
        <v>52</v>
      </c>
      <c r="AB38" s="118">
        <v>0</v>
      </c>
      <c r="AC38" s="119">
        <v>0</v>
      </c>
      <c r="AD38" s="127">
        <v>372</v>
      </c>
      <c r="AE38" s="118">
        <v>2043</v>
      </c>
      <c r="AF38" s="118">
        <v>0</v>
      </c>
      <c r="AG38" s="128">
        <v>0</v>
      </c>
      <c r="AH38" s="122">
        <v>2469</v>
      </c>
    </row>
    <row r="39" spans="1:34" s="2" customFormat="1" x14ac:dyDescent="0.25">
      <c r="A39" s="17" t="s">
        <v>198</v>
      </c>
      <c r="B39" s="90" t="s">
        <v>199</v>
      </c>
      <c r="C39" s="8">
        <f t="shared" si="0"/>
        <v>0</v>
      </c>
      <c r="D39" s="7">
        <f t="shared" si="1"/>
        <v>703224.44900000002</v>
      </c>
      <c r="E39" s="7">
        <f t="shared" si="2"/>
        <v>141812</v>
      </c>
      <c r="F39" s="7">
        <f t="shared" si="3"/>
        <v>659661</v>
      </c>
      <c r="G39" s="7">
        <f t="shared" si="4"/>
        <v>255711.40000000002</v>
      </c>
      <c r="H39" s="149">
        <f t="shared" si="5"/>
        <v>275632</v>
      </c>
      <c r="I39" s="157">
        <f t="shared" si="6"/>
        <v>1.1288343558282208E-2</v>
      </c>
      <c r="J39" s="153">
        <v>0</v>
      </c>
      <c r="K39" s="127">
        <v>0</v>
      </c>
      <c r="L39" s="118">
        <v>435973</v>
      </c>
      <c r="M39" s="128">
        <v>0</v>
      </c>
      <c r="N39" s="127">
        <v>4</v>
      </c>
      <c r="O39" s="118">
        <v>45</v>
      </c>
      <c r="P39" s="120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28">
        <v>0</v>
      </c>
      <c r="Z39" s="127">
        <v>106</v>
      </c>
      <c r="AA39" s="120">
        <v>57</v>
      </c>
      <c r="AB39" s="118">
        <v>0</v>
      </c>
      <c r="AC39" s="119">
        <v>0</v>
      </c>
      <c r="AD39" s="127">
        <v>270</v>
      </c>
      <c r="AE39" s="118">
        <v>1613</v>
      </c>
      <c r="AF39" s="118">
        <v>0</v>
      </c>
      <c r="AG39" s="128">
        <v>0</v>
      </c>
      <c r="AH39" s="122">
        <v>1840</v>
      </c>
    </row>
    <row r="40" spans="1:34" s="2" customFormat="1" x14ac:dyDescent="0.25">
      <c r="A40" s="17" t="s">
        <v>200</v>
      </c>
      <c r="B40" s="90" t="s">
        <v>201</v>
      </c>
      <c r="C40" s="8">
        <f t="shared" si="0"/>
        <v>423256.72148536623</v>
      </c>
      <c r="D40" s="7">
        <f t="shared" si="1"/>
        <v>1064133.199</v>
      </c>
      <c r="E40" s="7">
        <f t="shared" si="2"/>
        <v>35453</v>
      </c>
      <c r="F40" s="7">
        <f t="shared" si="3"/>
        <v>1428374</v>
      </c>
      <c r="G40" s="7">
        <f t="shared" si="4"/>
        <v>952490.20000000007</v>
      </c>
      <c r="H40" s="149">
        <f t="shared" si="5"/>
        <v>851613.00000000012</v>
      </c>
      <c r="I40" s="157">
        <f t="shared" si="6"/>
        <v>3.7401315789473685E-2</v>
      </c>
      <c r="J40" s="153">
        <v>695031</v>
      </c>
      <c r="K40" s="127">
        <v>0</v>
      </c>
      <c r="L40" s="118">
        <v>659723</v>
      </c>
      <c r="M40" s="128">
        <v>0</v>
      </c>
      <c r="N40" s="127">
        <v>1</v>
      </c>
      <c r="O40" s="118">
        <v>15</v>
      </c>
      <c r="P40" s="120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28">
        <v>0</v>
      </c>
      <c r="Z40" s="127">
        <v>43</v>
      </c>
      <c r="AA40" s="120">
        <v>99</v>
      </c>
      <c r="AB40" s="118">
        <v>10</v>
      </c>
      <c r="AC40" s="119">
        <v>0</v>
      </c>
      <c r="AD40" s="127">
        <v>334</v>
      </c>
      <c r="AE40" s="118">
        <v>4738</v>
      </c>
      <c r="AF40" s="118">
        <v>613</v>
      </c>
      <c r="AG40" s="128">
        <v>0</v>
      </c>
      <c r="AH40" s="122">
        <v>5685</v>
      </c>
    </row>
    <row r="41" spans="1:34" s="2" customFormat="1" x14ac:dyDescent="0.25">
      <c r="A41" s="17" t="s">
        <v>202</v>
      </c>
      <c r="B41" s="90" t="s">
        <v>203</v>
      </c>
      <c r="C41" s="8">
        <f t="shared" si="0"/>
        <v>156024.30351613014</v>
      </c>
      <c r="D41" s="7">
        <f>0.748*K41+1.613*L41+1.774*M41</f>
        <v>391700.97399999999</v>
      </c>
      <c r="E41" s="7">
        <f t="shared" si="2"/>
        <v>70906</v>
      </c>
      <c r="F41" s="7">
        <f t="shared" si="3"/>
        <v>178068</v>
      </c>
      <c r="G41" s="7">
        <f t="shared" si="4"/>
        <v>212527.00000000003</v>
      </c>
      <c r="H41" s="149">
        <f t="shared" si="5"/>
        <v>252413.00000000003</v>
      </c>
      <c r="I41" s="157">
        <f t="shared" si="6"/>
        <v>3.8295454545454542E-2</v>
      </c>
      <c r="J41" s="153">
        <v>238243</v>
      </c>
      <c r="K41" s="127">
        <v>0</v>
      </c>
      <c r="L41" s="118">
        <v>0</v>
      </c>
      <c r="M41" s="128">
        <v>220801</v>
      </c>
      <c r="N41" s="127">
        <v>2</v>
      </c>
      <c r="O41" s="118">
        <v>0</v>
      </c>
      <c r="P41" s="120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28">
        <v>0</v>
      </c>
      <c r="Z41" s="127">
        <v>5</v>
      </c>
      <c r="AA41" s="120">
        <v>39</v>
      </c>
      <c r="AB41" s="118">
        <v>0</v>
      </c>
      <c r="AC41" s="119">
        <v>0</v>
      </c>
      <c r="AD41" s="127">
        <v>2</v>
      </c>
      <c r="AE41" s="118">
        <v>1563</v>
      </c>
      <c r="AF41" s="118">
        <v>0</v>
      </c>
      <c r="AG41" s="128">
        <v>0</v>
      </c>
      <c r="AH41" s="122">
        <v>1685</v>
      </c>
    </row>
    <row r="42" spans="1:34" s="2" customFormat="1" x14ac:dyDescent="0.25">
      <c r="A42" s="17" t="s">
        <v>204</v>
      </c>
      <c r="B42" s="90" t="s">
        <v>205</v>
      </c>
      <c r="C42" s="8">
        <f t="shared" si="0"/>
        <v>1819196.3480942666</v>
      </c>
      <c r="D42" s="7">
        <f t="shared" si="1"/>
        <v>4071423.8829999999</v>
      </c>
      <c r="E42" s="7">
        <f t="shared" si="2"/>
        <v>1756834</v>
      </c>
      <c r="F42" s="7">
        <f t="shared" si="3"/>
        <v>5572234</v>
      </c>
      <c r="G42" s="7">
        <f t="shared" si="4"/>
        <v>2069539.4000000001</v>
      </c>
      <c r="H42" s="149">
        <f t="shared" si="5"/>
        <v>2185731.8000000003</v>
      </c>
      <c r="I42" s="157">
        <f t="shared" si="6"/>
        <v>2.6385171790235081E-2</v>
      </c>
      <c r="J42" s="153">
        <v>3322092</v>
      </c>
      <c r="K42" s="127">
        <v>0</v>
      </c>
      <c r="L42" s="118">
        <v>1952073</v>
      </c>
      <c r="M42" s="128">
        <v>520141</v>
      </c>
      <c r="N42" s="127">
        <v>8</v>
      </c>
      <c r="O42" s="118">
        <v>77</v>
      </c>
      <c r="P42" s="120">
        <v>2</v>
      </c>
      <c r="Q42" s="118">
        <v>140</v>
      </c>
      <c r="R42" s="118">
        <v>3</v>
      </c>
      <c r="S42" s="118">
        <v>447</v>
      </c>
      <c r="T42" s="118">
        <v>2</v>
      </c>
      <c r="U42" s="118">
        <v>740</v>
      </c>
      <c r="V42" s="118">
        <v>1</v>
      </c>
      <c r="W42" s="118">
        <v>574</v>
      </c>
      <c r="X42" s="118">
        <v>1</v>
      </c>
      <c r="Y42" s="128">
        <v>885</v>
      </c>
      <c r="Z42" s="127">
        <v>142</v>
      </c>
      <c r="AA42" s="120">
        <v>370</v>
      </c>
      <c r="AB42" s="118">
        <v>41</v>
      </c>
      <c r="AC42" s="119">
        <v>0</v>
      </c>
      <c r="AD42" s="127">
        <v>761</v>
      </c>
      <c r="AE42" s="118">
        <v>12467</v>
      </c>
      <c r="AF42" s="118">
        <v>635</v>
      </c>
      <c r="AG42" s="128">
        <v>0</v>
      </c>
      <c r="AH42" s="122">
        <v>14591</v>
      </c>
    </row>
    <row r="43" spans="1:34" s="2" customFormat="1" x14ac:dyDescent="0.25">
      <c r="A43" s="17" t="s">
        <v>24</v>
      </c>
      <c r="B43" s="90" t="s">
        <v>206</v>
      </c>
      <c r="C43" s="8">
        <f t="shared" si="0"/>
        <v>3883846.6798982783</v>
      </c>
      <c r="D43" s="7">
        <f t="shared" si="1"/>
        <v>11806294.297</v>
      </c>
      <c r="E43" s="7">
        <f t="shared" si="2"/>
        <v>703601</v>
      </c>
      <c r="F43" s="7">
        <f t="shared" si="3"/>
        <v>8003498</v>
      </c>
      <c r="G43" s="7">
        <f t="shared" si="4"/>
        <v>4379846.4000000004</v>
      </c>
      <c r="H43" s="149">
        <f t="shared" si="5"/>
        <v>4910144.4000000004</v>
      </c>
      <c r="I43" s="157">
        <f t="shared" si="6"/>
        <v>3.3009063444108762E-2</v>
      </c>
      <c r="J43" s="153">
        <v>7495290</v>
      </c>
      <c r="K43" s="127">
        <v>0</v>
      </c>
      <c r="L43" s="118">
        <v>3958303</v>
      </c>
      <c r="M43" s="128">
        <v>3056117</v>
      </c>
      <c r="N43" s="127">
        <v>3</v>
      </c>
      <c r="O43" s="118">
        <v>58</v>
      </c>
      <c r="P43" s="120">
        <v>1</v>
      </c>
      <c r="Q43" s="118">
        <v>70</v>
      </c>
      <c r="R43" s="118">
        <v>1</v>
      </c>
      <c r="S43" s="118">
        <v>150</v>
      </c>
      <c r="T43" s="118">
        <v>0</v>
      </c>
      <c r="U43" s="118">
        <v>0</v>
      </c>
      <c r="V43" s="118">
        <v>0</v>
      </c>
      <c r="W43" s="118">
        <v>0</v>
      </c>
      <c r="X43" s="118">
        <v>1</v>
      </c>
      <c r="Y43" s="128">
        <v>900</v>
      </c>
      <c r="Z43" s="127">
        <v>379</v>
      </c>
      <c r="AA43" s="120">
        <v>565</v>
      </c>
      <c r="AB43" s="118">
        <v>49</v>
      </c>
      <c r="AC43" s="119">
        <v>0</v>
      </c>
      <c r="AD43" s="127">
        <v>5658</v>
      </c>
      <c r="AE43" s="118">
        <v>20100</v>
      </c>
      <c r="AF43" s="118">
        <v>2050</v>
      </c>
      <c r="AG43" s="128">
        <v>0</v>
      </c>
      <c r="AH43" s="122">
        <v>32778</v>
      </c>
    </row>
    <row r="44" spans="1:34" s="2" customFormat="1" x14ac:dyDescent="0.25">
      <c r="A44" s="100" t="s">
        <v>207</v>
      </c>
      <c r="B44" s="90" t="s">
        <v>208</v>
      </c>
      <c r="C44" s="8">
        <f t="shared" si="0"/>
        <v>132429.63616422086</v>
      </c>
      <c r="D44" s="7">
        <f t="shared" si="1"/>
        <v>318670.73200000002</v>
      </c>
      <c r="E44" s="7">
        <f t="shared" si="2"/>
        <v>177265</v>
      </c>
      <c r="F44" s="7">
        <f t="shared" si="3"/>
        <v>182115</v>
      </c>
      <c r="G44" s="7">
        <f t="shared" si="4"/>
        <v>181021.40000000002</v>
      </c>
      <c r="H44" s="149">
        <f t="shared" si="5"/>
        <v>226947.00000000003</v>
      </c>
      <c r="I44" s="157">
        <f t="shared" si="6"/>
        <v>3.3666666666666664E-2</v>
      </c>
      <c r="J44" s="153">
        <v>199814</v>
      </c>
      <c r="K44" s="127">
        <v>0</v>
      </c>
      <c r="L44" s="118">
        <v>197564</v>
      </c>
      <c r="M44" s="128">
        <v>0</v>
      </c>
      <c r="N44" s="127">
        <v>5</v>
      </c>
      <c r="O44" s="118">
        <v>0</v>
      </c>
      <c r="P44" s="120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28">
        <v>0</v>
      </c>
      <c r="Z44" s="127">
        <v>5</v>
      </c>
      <c r="AA44" s="120">
        <v>40</v>
      </c>
      <c r="AB44" s="118">
        <v>0</v>
      </c>
      <c r="AC44" s="119">
        <v>0</v>
      </c>
      <c r="AD44" s="127">
        <v>30</v>
      </c>
      <c r="AE44" s="118">
        <v>1303</v>
      </c>
      <c r="AF44" s="118">
        <v>0</v>
      </c>
      <c r="AG44" s="128">
        <v>0</v>
      </c>
      <c r="AH44" s="122">
        <v>1515</v>
      </c>
    </row>
    <row r="45" spans="1:34" s="2" customFormat="1" x14ac:dyDescent="0.25">
      <c r="A45" s="100" t="s">
        <v>25</v>
      </c>
      <c r="B45" s="90" t="s">
        <v>209</v>
      </c>
      <c r="C45" s="8">
        <f t="shared" si="0"/>
        <v>900372.7286771728</v>
      </c>
      <c r="D45" s="7">
        <f t="shared" si="1"/>
        <v>2453555.2689999999</v>
      </c>
      <c r="E45" s="7">
        <f t="shared" si="2"/>
        <v>306226</v>
      </c>
      <c r="F45" s="7">
        <f t="shared" si="3"/>
        <v>1041228</v>
      </c>
      <c r="G45" s="7">
        <f t="shared" si="4"/>
        <v>1120334</v>
      </c>
      <c r="H45" s="149">
        <f t="shared" si="5"/>
        <v>796786.20000000007</v>
      </c>
      <c r="I45" s="157">
        <f t="shared" si="6"/>
        <v>2.7E-2</v>
      </c>
      <c r="J45" s="153">
        <v>1562079</v>
      </c>
      <c r="K45" s="127">
        <v>0</v>
      </c>
      <c r="L45" s="118">
        <v>1521113</v>
      </c>
      <c r="M45" s="128">
        <v>0</v>
      </c>
      <c r="N45" s="127">
        <v>2</v>
      </c>
      <c r="O45" s="118">
        <v>95</v>
      </c>
      <c r="P45" s="120">
        <v>1</v>
      </c>
      <c r="Q45" s="118">
        <v>100</v>
      </c>
      <c r="R45" s="118">
        <v>0</v>
      </c>
      <c r="S45" s="118">
        <v>0</v>
      </c>
      <c r="T45" s="118">
        <v>1</v>
      </c>
      <c r="U45" s="118">
        <v>250</v>
      </c>
      <c r="V45" s="118">
        <v>0</v>
      </c>
      <c r="W45" s="118">
        <v>0</v>
      </c>
      <c r="X45" s="118">
        <v>0</v>
      </c>
      <c r="Y45" s="128">
        <v>0</v>
      </c>
      <c r="Z45" s="127">
        <v>80</v>
      </c>
      <c r="AA45" s="120">
        <v>114</v>
      </c>
      <c r="AB45" s="118">
        <v>3</v>
      </c>
      <c r="AC45" s="119">
        <v>0</v>
      </c>
      <c r="AD45" s="127">
        <v>1402</v>
      </c>
      <c r="AE45" s="118">
        <v>5001</v>
      </c>
      <c r="AF45" s="118">
        <v>583</v>
      </c>
      <c r="AG45" s="128">
        <v>0</v>
      </c>
      <c r="AH45" s="122">
        <v>5319</v>
      </c>
    </row>
    <row r="46" spans="1:34" s="2" customFormat="1" x14ac:dyDescent="0.25">
      <c r="A46" s="17" t="s">
        <v>210</v>
      </c>
      <c r="B46" s="90" t="s">
        <v>211</v>
      </c>
      <c r="C46" s="8">
        <f>1.518*J46^0.9321</f>
        <v>199614.86201705181</v>
      </c>
      <c r="D46" s="7">
        <f t="shared" si="1"/>
        <v>475089.79399999999</v>
      </c>
      <c r="E46" s="7">
        <f t="shared" si="2"/>
        <v>0</v>
      </c>
      <c r="F46" s="7">
        <f t="shared" si="3"/>
        <v>263055</v>
      </c>
      <c r="G46" s="7">
        <f t="shared" si="4"/>
        <v>184552.2</v>
      </c>
      <c r="H46" s="149">
        <f t="shared" si="5"/>
        <v>201630.80000000002</v>
      </c>
      <c r="I46" s="157">
        <f t="shared" si="6"/>
        <v>2.0707692307692309E-2</v>
      </c>
      <c r="J46" s="153">
        <v>310324</v>
      </c>
      <c r="K46" s="127">
        <v>0</v>
      </c>
      <c r="L46" s="118">
        <v>294538</v>
      </c>
      <c r="M46" s="128">
        <v>0</v>
      </c>
      <c r="N46" s="127">
        <v>0</v>
      </c>
      <c r="O46" s="118">
        <v>0</v>
      </c>
      <c r="P46" s="120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28">
        <v>0</v>
      </c>
      <c r="Z46" s="127">
        <v>29</v>
      </c>
      <c r="AA46" s="120">
        <v>36</v>
      </c>
      <c r="AB46" s="118">
        <v>0</v>
      </c>
      <c r="AC46" s="119">
        <v>0</v>
      </c>
      <c r="AD46" s="127">
        <v>197</v>
      </c>
      <c r="AE46" s="118">
        <v>1162</v>
      </c>
      <c r="AF46" s="118">
        <v>0</v>
      </c>
      <c r="AG46" s="128">
        <v>0</v>
      </c>
      <c r="AH46" s="122">
        <v>1346</v>
      </c>
    </row>
    <row r="47" spans="1:34" s="2" customFormat="1" x14ac:dyDescent="0.25">
      <c r="A47" s="17" t="s">
        <v>212</v>
      </c>
      <c r="B47" s="90" t="s">
        <v>213</v>
      </c>
      <c r="C47" s="8">
        <f t="shared" si="0"/>
        <v>140676.32999491118</v>
      </c>
      <c r="D47" s="7">
        <f t="shared" si="1"/>
        <v>378204.38199999998</v>
      </c>
      <c r="E47" s="7">
        <f t="shared" si="2"/>
        <v>91922</v>
      </c>
      <c r="F47" s="7">
        <f t="shared" si="3"/>
        <v>182115</v>
      </c>
      <c r="G47" s="7">
        <f t="shared" si="4"/>
        <v>250958.40000000002</v>
      </c>
      <c r="H47" s="149">
        <f t="shared" si="5"/>
        <v>276830.40000000002</v>
      </c>
      <c r="I47" s="157">
        <f t="shared" si="6"/>
        <v>4.1066666666666668E-2</v>
      </c>
      <c r="J47" s="153">
        <v>213193</v>
      </c>
      <c r="K47" s="127">
        <v>0</v>
      </c>
      <c r="L47" s="118">
        <v>0</v>
      </c>
      <c r="M47" s="128">
        <v>213193</v>
      </c>
      <c r="N47" s="127">
        <v>1</v>
      </c>
      <c r="O47" s="118">
        <v>0</v>
      </c>
      <c r="P47" s="120">
        <v>1</v>
      </c>
      <c r="Q47" s="118">
        <v>76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28">
        <v>0</v>
      </c>
      <c r="Z47" s="127">
        <v>1</v>
      </c>
      <c r="AA47" s="120">
        <v>44</v>
      </c>
      <c r="AB47" s="118">
        <v>0</v>
      </c>
      <c r="AC47" s="119">
        <v>0</v>
      </c>
      <c r="AD47" s="127">
        <v>47</v>
      </c>
      <c r="AE47" s="118">
        <v>1801</v>
      </c>
      <c r="AF47" s="118">
        <v>0</v>
      </c>
      <c r="AG47" s="128">
        <v>0</v>
      </c>
      <c r="AH47" s="122">
        <v>1848</v>
      </c>
    </row>
    <row r="48" spans="1:34" s="2" customFormat="1" x14ac:dyDescent="0.25">
      <c r="A48" s="17" t="s">
        <v>26</v>
      </c>
      <c r="B48" s="90" t="s">
        <v>214</v>
      </c>
      <c r="C48" s="8">
        <f t="shared" si="0"/>
        <v>497389.50136689947</v>
      </c>
      <c r="D48" s="7">
        <f t="shared" si="1"/>
        <v>1329321.69</v>
      </c>
      <c r="E48" s="7">
        <f t="shared" si="2"/>
        <v>290203</v>
      </c>
      <c r="F48" s="7">
        <f t="shared" si="3"/>
        <v>813447</v>
      </c>
      <c r="G48" s="7">
        <f t="shared" si="4"/>
        <v>656593</v>
      </c>
      <c r="H48" s="149">
        <f t="shared" si="5"/>
        <v>759036.60000000009</v>
      </c>
      <c r="I48" s="157">
        <f t="shared" si="6"/>
        <v>2.5208955223880596E-2</v>
      </c>
      <c r="J48" s="153">
        <v>826424</v>
      </c>
      <c r="K48" s="127">
        <v>0</v>
      </c>
      <c r="L48" s="118">
        <v>824130</v>
      </c>
      <c r="M48" s="128">
        <v>0</v>
      </c>
      <c r="N48" s="127">
        <v>5</v>
      </c>
      <c r="O48" s="118">
        <v>89</v>
      </c>
      <c r="P48" s="120">
        <v>2</v>
      </c>
      <c r="Q48" s="118">
        <v>158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28">
        <v>0</v>
      </c>
      <c r="Z48" s="127">
        <v>158</v>
      </c>
      <c r="AA48" s="120">
        <v>43</v>
      </c>
      <c r="AB48" s="118">
        <v>0</v>
      </c>
      <c r="AC48" s="119">
        <v>0</v>
      </c>
      <c r="AD48" s="127">
        <v>2540</v>
      </c>
      <c r="AE48" s="118">
        <v>2295</v>
      </c>
      <c r="AF48" s="118">
        <v>0</v>
      </c>
      <c r="AG48" s="128">
        <v>0</v>
      </c>
      <c r="AH48" s="122">
        <v>5067</v>
      </c>
    </row>
    <row r="49" spans="1:34" s="2" customFormat="1" x14ac:dyDescent="0.25">
      <c r="A49" s="17" t="s">
        <v>215</v>
      </c>
      <c r="B49" s="90" t="s">
        <v>216</v>
      </c>
      <c r="C49" s="8">
        <f t="shared" si="0"/>
        <v>153453.46027280629</v>
      </c>
      <c r="D49" s="7">
        <f t="shared" si="1"/>
        <v>167131.62400000001</v>
      </c>
      <c r="E49" s="7">
        <f t="shared" si="2"/>
        <v>56469</v>
      </c>
      <c r="F49" s="7">
        <f t="shared" si="3"/>
        <v>259008</v>
      </c>
      <c r="G49" s="7">
        <f t="shared" si="4"/>
        <v>290340.40000000002</v>
      </c>
      <c r="H49" s="149">
        <f t="shared" si="5"/>
        <v>322819</v>
      </c>
      <c r="I49" s="157">
        <f t="shared" si="6"/>
        <v>3.3671874999999997E-2</v>
      </c>
      <c r="J49" s="153">
        <v>234034</v>
      </c>
      <c r="K49" s="127">
        <v>223438</v>
      </c>
      <c r="L49" s="118">
        <v>0</v>
      </c>
      <c r="M49" s="128">
        <v>0</v>
      </c>
      <c r="N49" s="127">
        <v>0</v>
      </c>
      <c r="O49" s="118">
        <v>0</v>
      </c>
      <c r="P49" s="120">
        <v>1</v>
      </c>
      <c r="Q49" s="118">
        <v>100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28">
        <v>0</v>
      </c>
      <c r="Z49" s="127">
        <v>10</v>
      </c>
      <c r="AA49" s="120">
        <v>54</v>
      </c>
      <c r="AB49" s="118">
        <v>0</v>
      </c>
      <c r="AC49" s="119">
        <v>0</v>
      </c>
      <c r="AD49" s="127">
        <v>325</v>
      </c>
      <c r="AE49" s="118">
        <v>1813</v>
      </c>
      <c r="AF49" s="118">
        <v>0</v>
      </c>
      <c r="AG49" s="128">
        <v>0</v>
      </c>
      <c r="AH49" s="122">
        <v>2155</v>
      </c>
    </row>
    <row r="50" spans="1:34" s="2" customFormat="1" x14ac:dyDescent="0.25">
      <c r="A50" s="17" t="s">
        <v>217</v>
      </c>
      <c r="B50" s="90" t="s">
        <v>218</v>
      </c>
      <c r="C50" s="8">
        <f t="shared" si="0"/>
        <v>231040.76558668519</v>
      </c>
      <c r="D50" s="7">
        <f t="shared" si="1"/>
        <v>575887.777</v>
      </c>
      <c r="E50" s="7">
        <f t="shared" si="2"/>
        <v>70906</v>
      </c>
      <c r="F50" s="7">
        <f t="shared" si="3"/>
        <v>469452</v>
      </c>
      <c r="G50" s="7">
        <f t="shared" si="4"/>
        <v>325784.2</v>
      </c>
      <c r="H50" s="149">
        <f t="shared" si="5"/>
        <v>414946.00000000006</v>
      </c>
      <c r="I50" s="157">
        <f t="shared" si="6"/>
        <v>2.3879310344827587E-2</v>
      </c>
      <c r="J50" s="153">
        <v>363025</v>
      </c>
      <c r="K50" s="127">
        <v>0</v>
      </c>
      <c r="L50" s="118">
        <v>357029</v>
      </c>
      <c r="M50" s="128">
        <v>0</v>
      </c>
      <c r="N50" s="127">
        <v>2</v>
      </c>
      <c r="O50" s="118">
        <v>14</v>
      </c>
      <c r="P50" s="120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28">
        <v>0</v>
      </c>
      <c r="Z50" s="127">
        <v>60</v>
      </c>
      <c r="AA50" s="120">
        <v>56</v>
      </c>
      <c r="AB50" s="118">
        <v>0</v>
      </c>
      <c r="AC50" s="119">
        <v>0</v>
      </c>
      <c r="AD50" s="127">
        <v>874</v>
      </c>
      <c r="AE50" s="118">
        <v>1525</v>
      </c>
      <c r="AF50" s="118">
        <v>0</v>
      </c>
      <c r="AG50" s="128">
        <v>0</v>
      </c>
      <c r="AH50" s="122">
        <v>2770</v>
      </c>
    </row>
    <row r="51" spans="1:34" s="2" customFormat="1" x14ac:dyDescent="0.25">
      <c r="A51" s="17" t="s">
        <v>30</v>
      </c>
      <c r="B51" s="90" t="s">
        <v>219</v>
      </c>
      <c r="C51" s="8">
        <f t="shared" si="0"/>
        <v>1750694.3621355568</v>
      </c>
      <c r="D51" s="7">
        <f t="shared" si="1"/>
        <v>5287852.7799999993</v>
      </c>
      <c r="E51" s="7">
        <f t="shared" si="2"/>
        <v>395905</v>
      </c>
      <c r="F51" s="7">
        <f t="shared" si="3"/>
        <v>8031559</v>
      </c>
      <c r="G51" s="7">
        <f t="shared" si="4"/>
        <v>3443688.6</v>
      </c>
      <c r="H51" s="149">
        <f t="shared" si="5"/>
        <v>2513344.4000000004</v>
      </c>
      <c r="I51" s="157">
        <f t="shared" si="6"/>
        <v>4.4503978779840851E-2</v>
      </c>
      <c r="J51" s="153">
        <v>3188072</v>
      </c>
      <c r="K51" s="127">
        <v>0</v>
      </c>
      <c r="L51" s="118">
        <v>1374340</v>
      </c>
      <c r="M51" s="128">
        <v>1731140</v>
      </c>
      <c r="N51" s="127">
        <v>3</v>
      </c>
      <c r="O51" s="118">
        <v>23</v>
      </c>
      <c r="P51" s="120">
        <v>0</v>
      </c>
      <c r="Q51" s="118">
        <v>0</v>
      </c>
      <c r="R51" s="118">
        <v>2</v>
      </c>
      <c r="S51" s="118">
        <v>247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28">
        <v>0</v>
      </c>
      <c r="Z51" s="127">
        <v>119</v>
      </c>
      <c r="AA51" s="120">
        <v>178</v>
      </c>
      <c r="AB51" s="118">
        <v>80</v>
      </c>
      <c r="AC51" s="119">
        <v>0</v>
      </c>
      <c r="AD51" s="127">
        <v>1984</v>
      </c>
      <c r="AE51" s="118">
        <v>8666</v>
      </c>
      <c r="AF51" s="118">
        <v>4643</v>
      </c>
      <c r="AG51" s="128">
        <v>0</v>
      </c>
      <c r="AH51" s="122">
        <v>16778</v>
      </c>
    </row>
    <row r="52" spans="1:34" s="2" customFormat="1" x14ac:dyDescent="0.25">
      <c r="A52" s="63" t="s">
        <v>27</v>
      </c>
      <c r="B52" s="90" t="s">
        <v>220</v>
      </c>
      <c r="C52" s="8">
        <f t="shared" si="0"/>
        <v>640736.37333967222</v>
      </c>
      <c r="D52" s="7">
        <f t="shared" si="1"/>
        <v>1711760.764</v>
      </c>
      <c r="E52" s="7">
        <f t="shared" si="2"/>
        <v>183844</v>
      </c>
      <c r="F52" s="7">
        <f t="shared" si="3"/>
        <v>1108878</v>
      </c>
      <c r="G52" s="7">
        <f t="shared" si="4"/>
        <v>1044302.0000000001</v>
      </c>
      <c r="H52" s="149">
        <f t="shared" si="5"/>
        <v>1523016.6</v>
      </c>
      <c r="I52" s="157">
        <f t="shared" si="6"/>
        <v>3.7105839416058391E-2</v>
      </c>
      <c r="J52" s="153">
        <v>1084420</v>
      </c>
      <c r="K52" s="127">
        <v>0</v>
      </c>
      <c r="L52" s="118">
        <v>1061228</v>
      </c>
      <c r="M52" s="128">
        <v>0</v>
      </c>
      <c r="N52" s="127">
        <v>2</v>
      </c>
      <c r="O52" s="118">
        <v>15</v>
      </c>
      <c r="P52" s="120">
        <v>2</v>
      </c>
      <c r="Q52" s="118">
        <v>200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28">
        <v>0</v>
      </c>
      <c r="Z52" s="127">
        <v>90</v>
      </c>
      <c r="AA52" s="120">
        <v>184</v>
      </c>
      <c r="AB52" s="118">
        <v>0</v>
      </c>
      <c r="AC52" s="119">
        <v>0</v>
      </c>
      <c r="AD52" s="127">
        <v>830</v>
      </c>
      <c r="AE52" s="118">
        <v>6860</v>
      </c>
      <c r="AF52" s="118">
        <v>0</v>
      </c>
      <c r="AG52" s="128">
        <v>0</v>
      </c>
      <c r="AH52" s="122">
        <v>10167</v>
      </c>
    </row>
    <row r="53" spans="1:34" s="2" customFormat="1" x14ac:dyDescent="0.25">
      <c r="A53" s="17" t="s">
        <v>221</v>
      </c>
      <c r="B53" s="90" t="s">
        <v>222</v>
      </c>
      <c r="C53" s="8">
        <f t="shared" si="0"/>
        <v>1482091.6971114094</v>
      </c>
      <c r="D53" s="7">
        <f t="shared" si="1"/>
        <v>4535188.4239999996</v>
      </c>
      <c r="E53" s="7">
        <f t="shared" si="2"/>
        <v>715404</v>
      </c>
      <c r="F53" s="7">
        <f t="shared" si="3"/>
        <v>11983793</v>
      </c>
      <c r="G53" s="7">
        <f t="shared" si="4"/>
        <v>3937399.3</v>
      </c>
      <c r="H53" s="149">
        <f t="shared" si="5"/>
        <v>749149.8</v>
      </c>
      <c r="I53" s="157">
        <f t="shared" si="6"/>
        <v>2.9767857142857145E-2</v>
      </c>
      <c r="J53" s="153">
        <v>2666389</v>
      </c>
      <c r="K53" s="127">
        <v>0</v>
      </c>
      <c r="L53" s="118">
        <v>0</v>
      </c>
      <c r="M53" s="128">
        <v>2556476</v>
      </c>
      <c r="N53" s="127">
        <v>0</v>
      </c>
      <c r="O53" s="118">
        <v>0</v>
      </c>
      <c r="P53" s="120">
        <v>0</v>
      </c>
      <c r="Q53" s="118">
        <v>0</v>
      </c>
      <c r="R53" s="118">
        <v>0</v>
      </c>
      <c r="S53" s="118">
        <v>0</v>
      </c>
      <c r="T53" s="118">
        <v>1</v>
      </c>
      <c r="U53" s="118">
        <v>300</v>
      </c>
      <c r="V53" s="118">
        <v>3</v>
      </c>
      <c r="W53" s="118">
        <v>1800</v>
      </c>
      <c r="X53" s="118">
        <v>0</v>
      </c>
      <c r="Y53" s="128">
        <v>0</v>
      </c>
      <c r="Z53" s="127">
        <v>0</v>
      </c>
      <c r="AA53" s="120">
        <v>29</v>
      </c>
      <c r="AB53" s="118">
        <v>65</v>
      </c>
      <c r="AC53" s="119">
        <v>74</v>
      </c>
      <c r="AD53" s="127">
        <v>0</v>
      </c>
      <c r="AE53" s="118">
        <v>956</v>
      </c>
      <c r="AF53" s="118">
        <v>2125</v>
      </c>
      <c r="AG53" s="128">
        <v>2395</v>
      </c>
      <c r="AH53" s="122">
        <v>5001</v>
      </c>
    </row>
    <row r="54" spans="1:34" s="2" customFormat="1" x14ac:dyDescent="0.25">
      <c r="A54" s="17" t="s">
        <v>223</v>
      </c>
      <c r="B54" s="90" t="s">
        <v>224</v>
      </c>
      <c r="C54" s="8">
        <f t="shared" si="0"/>
        <v>147623.92735570626</v>
      </c>
      <c r="D54" s="7">
        <f t="shared" si="1"/>
        <v>344327.11</v>
      </c>
      <c r="E54" s="7">
        <f t="shared" si="2"/>
        <v>70906</v>
      </c>
      <c r="F54" s="7">
        <f t="shared" si="3"/>
        <v>279243</v>
      </c>
      <c r="G54" s="7">
        <f t="shared" si="4"/>
        <v>232489.60000000001</v>
      </c>
      <c r="H54" s="149">
        <f t="shared" si="5"/>
        <v>256757.2</v>
      </c>
      <c r="I54" s="157">
        <f t="shared" si="6"/>
        <v>2.4840579710144927E-2</v>
      </c>
      <c r="J54" s="153">
        <v>224509</v>
      </c>
      <c r="K54" s="127">
        <v>0</v>
      </c>
      <c r="L54" s="118">
        <v>213470</v>
      </c>
      <c r="M54" s="128">
        <v>0</v>
      </c>
      <c r="N54" s="127">
        <v>2</v>
      </c>
      <c r="O54" s="118">
        <v>30</v>
      </c>
      <c r="P54" s="120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28">
        <v>0</v>
      </c>
      <c r="Z54" s="127">
        <v>38</v>
      </c>
      <c r="AA54" s="120">
        <v>31</v>
      </c>
      <c r="AB54" s="118">
        <v>0</v>
      </c>
      <c r="AC54" s="119">
        <v>0</v>
      </c>
      <c r="AD54" s="127">
        <v>1416</v>
      </c>
      <c r="AE54" s="118">
        <v>296</v>
      </c>
      <c r="AF54" s="118">
        <v>0</v>
      </c>
      <c r="AG54" s="128">
        <v>0</v>
      </c>
      <c r="AH54" s="122">
        <v>1714</v>
      </c>
    </row>
    <row r="55" spans="1:34" s="2" customFormat="1" x14ac:dyDescent="0.25">
      <c r="A55" s="17" t="s">
        <v>33</v>
      </c>
      <c r="B55" s="90" t="s">
        <v>225</v>
      </c>
      <c r="C55" s="8">
        <f t="shared" si="0"/>
        <v>2724657.1604093122</v>
      </c>
      <c r="D55" s="7">
        <f t="shared" si="1"/>
        <v>8022283.4719999991</v>
      </c>
      <c r="E55" s="7">
        <f t="shared" si="2"/>
        <v>1024826</v>
      </c>
      <c r="F55" s="7">
        <f t="shared" si="3"/>
        <v>5739961</v>
      </c>
      <c r="G55" s="7">
        <f t="shared" si="4"/>
        <v>3988487.8000000003</v>
      </c>
      <c r="H55" s="149">
        <f t="shared" si="5"/>
        <v>3853605.0000000005</v>
      </c>
      <c r="I55" s="157">
        <f t="shared" si="6"/>
        <v>2.2625329815303429E-2</v>
      </c>
      <c r="J55" s="153">
        <v>5124170</v>
      </c>
      <c r="K55" s="127">
        <v>0</v>
      </c>
      <c r="L55" s="118">
        <v>3243522</v>
      </c>
      <c r="M55" s="128">
        <v>1572989</v>
      </c>
      <c r="N55" s="127">
        <v>15</v>
      </c>
      <c r="O55" s="118">
        <v>298</v>
      </c>
      <c r="P55" s="120">
        <v>3</v>
      </c>
      <c r="Q55" s="118">
        <v>262</v>
      </c>
      <c r="R55" s="118">
        <v>1</v>
      </c>
      <c r="S55" s="118">
        <v>120</v>
      </c>
      <c r="T55" s="118">
        <v>1</v>
      </c>
      <c r="U55" s="118">
        <v>270</v>
      </c>
      <c r="V55" s="118">
        <v>0</v>
      </c>
      <c r="W55" s="118">
        <v>0</v>
      </c>
      <c r="X55" s="118">
        <v>0</v>
      </c>
      <c r="Y55" s="128">
        <v>0</v>
      </c>
      <c r="Z55" s="127">
        <v>721</v>
      </c>
      <c r="AA55" s="120">
        <v>402</v>
      </c>
      <c r="AB55" s="118">
        <v>14</v>
      </c>
      <c r="AC55" s="119">
        <v>0</v>
      </c>
      <c r="AD55" s="127">
        <v>7480</v>
      </c>
      <c r="AE55" s="118">
        <v>19375</v>
      </c>
      <c r="AF55" s="118">
        <v>794</v>
      </c>
      <c r="AG55" s="128">
        <v>0</v>
      </c>
      <c r="AH55" s="122">
        <v>25725</v>
      </c>
    </row>
    <row r="56" spans="1:34" s="2" customFormat="1" x14ac:dyDescent="0.25">
      <c r="A56" s="17" t="s">
        <v>226</v>
      </c>
      <c r="B56" s="90" t="s">
        <v>227</v>
      </c>
      <c r="C56" s="8">
        <f t="shared" si="0"/>
        <v>827059.04728126084</v>
      </c>
      <c r="D56" s="7">
        <f t="shared" si="1"/>
        <v>2276133.3339999998</v>
      </c>
      <c r="E56" s="7">
        <f t="shared" si="2"/>
        <v>523280</v>
      </c>
      <c r="F56" s="7">
        <f t="shared" si="3"/>
        <v>2453797</v>
      </c>
      <c r="G56" s="7">
        <f t="shared" si="4"/>
        <v>1877358</v>
      </c>
      <c r="H56" s="149">
        <f t="shared" si="5"/>
        <v>1601661.6</v>
      </c>
      <c r="I56" s="157">
        <f t="shared" si="6"/>
        <v>3.2898461538461536E-2</v>
      </c>
      <c r="J56" s="153">
        <f>1394635+31400</f>
        <v>1426035</v>
      </c>
      <c r="K56" s="127">
        <v>0</v>
      </c>
      <c r="L56" s="118">
        <f>1379718+31400</f>
        <v>1411118</v>
      </c>
      <c r="M56" s="128">
        <v>0</v>
      </c>
      <c r="N56" s="127">
        <v>5</v>
      </c>
      <c r="O56" s="118">
        <v>230</v>
      </c>
      <c r="P56" s="120">
        <v>1</v>
      </c>
      <c r="Q56" s="118">
        <v>80</v>
      </c>
      <c r="R56" s="118">
        <v>2</v>
      </c>
      <c r="S56" s="118">
        <v>360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28">
        <v>0</v>
      </c>
      <c r="Z56" s="127">
        <v>196</v>
      </c>
      <c r="AA56" s="120">
        <v>115</v>
      </c>
      <c r="AB56" s="118">
        <v>14</v>
      </c>
      <c r="AC56" s="119">
        <v>0</v>
      </c>
      <c r="AD56" s="127">
        <v>5350</v>
      </c>
      <c r="AE56" s="118">
        <v>5636</v>
      </c>
      <c r="AF56" s="118">
        <v>896</v>
      </c>
      <c r="AG56" s="128">
        <v>0</v>
      </c>
      <c r="AH56" s="122">
        <v>10692</v>
      </c>
    </row>
    <row r="57" spans="1:34" s="2" customFormat="1" x14ac:dyDescent="0.25">
      <c r="A57" s="17" t="s">
        <v>28</v>
      </c>
      <c r="B57" s="90" t="s">
        <v>228</v>
      </c>
      <c r="C57" s="8">
        <f t="shared" si="0"/>
        <v>1043913.0392394727</v>
      </c>
      <c r="D57" s="7">
        <f t="shared" si="1"/>
        <v>2952970.716</v>
      </c>
      <c r="E57" s="7">
        <f t="shared" si="2"/>
        <v>415546</v>
      </c>
      <c r="F57" s="7">
        <f t="shared" si="3"/>
        <v>3504434</v>
      </c>
      <c r="G57" s="7">
        <f t="shared" si="4"/>
        <v>1952152.2000000002</v>
      </c>
      <c r="H57" s="149">
        <f t="shared" si="5"/>
        <v>1616641.6</v>
      </c>
      <c r="I57" s="157">
        <f t="shared" si="6"/>
        <v>4.4411522633744857E-2</v>
      </c>
      <c r="J57" s="153">
        <v>1830732</v>
      </c>
      <c r="K57" s="127">
        <v>0</v>
      </c>
      <c r="L57" s="118">
        <v>1830732</v>
      </c>
      <c r="M57" s="128">
        <v>0</v>
      </c>
      <c r="N57" s="127">
        <v>1</v>
      </c>
      <c r="O57" s="118">
        <v>6</v>
      </c>
      <c r="P57" s="120">
        <v>1</v>
      </c>
      <c r="Q57" s="118">
        <v>140</v>
      </c>
      <c r="R57" s="118">
        <v>1</v>
      </c>
      <c r="S57" s="118">
        <v>108</v>
      </c>
      <c r="T57" s="118">
        <v>1</v>
      </c>
      <c r="U57" s="118">
        <v>274</v>
      </c>
      <c r="V57" s="118">
        <v>0</v>
      </c>
      <c r="W57" s="118">
        <v>0</v>
      </c>
      <c r="X57" s="118">
        <v>0</v>
      </c>
      <c r="Y57" s="128">
        <v>0</v>
      </c>
      <c r="Z57" s="127">
        <v>32</v>
      </c>
      <c r="AA57" s="120">
        <v>180</v>
      </c>
      <c r="AB57" s="118">
        <v>31</v>
      </c>
      <c r="AC57" s="119">
        <v>0</v>
      </c>
      <c r="AD57" s="127">
        <v>382</v>
      </c>
      <c r="AE57" s="118">
        <v>8744</v>
      </c>
      <c r="AF57" s="118">
        <v>1657</v>
      </c>
      <c r="AG57" s="128">
        <v>0</v>
      </c>
      <c r="AH57" s="122">
        <v>10792</v>
      </c>
    </row>
    <row r="58" spans="1:34" s="2" customFormat="1" x14ac:dyDescent="0.25">
      <c r="A58" s="17" t="s">
        <v>229</v>
      </c>
      <c r="B58" s="90" t="s">
        <v>230</v>
      </c>
      <c r="C58" s="8">
        <f t="shared" si="0"/>
        <v>183779.45858483354</v>
      </c>
      <c r="D58" s="7">
        <f t="shared" si="1"/>
        <v>469246.06200000003</v>
      </c>
      <c r="E58" s="7">
        <f t="shared" si="2"/>
        <v>198281</v>
      </c>
      <c r="F58" s="7">
        <f t="shared" si="3"/>
        <v>356136</v>
      </c>
      <c r="G58" s="7">
        <f t="shared" si="4"/>
        <v>284908.40000000002</v>
      </c>
      <c r="H58" s="149">
        <f t="shared" si="5"/>
        <v>314280.40000000002</v>
      </c>
      <c r="I58" s="157">
        <f t="shared" si="6"/>
        <v>2.384090909090909E-2</v>
      </c>
      <c r="J58" s="153">
        <v>283991</v>
      </c>
      <c r="K58" s="127">
        <v>0</v>
      </c>
      <c r="L58" s="118">
        <v>0</v>
      </c>
      <c r="M58" s="128">
        <v>264513</v>
      </c>
      <c r="N58" s="127">
        <v>4</v>
      </c>
      <c r="O58" s="118">
        <v>50</v>
      </c>
      <c r="P58" s="120">
        <v>1</v>
      </c>
      <c r="Q58" s="118">
        <v>80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28">
        <v>0</v>
      </c>
      <c r="Z58" s="127">
        <v>31</v>
      </c>
      <c r="AA58" s="120">
        <v>57</v>
      </c>
      <c r="AB58" s="118">
        <v>0</v>
      </c>
      <c r="AC58" s="119">
        <v>0</v>
      </c>
      <c r="AD58" s="127">
        <v>200</v>
      </c>
      <c r="AE58" s="118">
        <v>1898</v>
      </c>
      <c r="AF58" s="118">
        <v>0</v>
      </c>
      <c r="AG58" s="128">
        <v>0</v>
      </c>
      <c r="AH58" s="122">
        <v>2098</v>
      </c>
    </row>
    <row r="59" spans="1:34" s="2" customFormat="1" x14ac:dyDescent="0.25">
      <c r="A59" s="17" t="s">
        <v>29</v>
      </c>
      <c r="B59" s="90" t="s">
        <v>231</v>
      </c>
      <c r="C59" s="8">
        <f t="shared" si="0"/>
        <v>1866762.6674401111</v>
      </c>
      <c r="D59" s="7">
        <f t="shared" si="1"/>
        <v>5285639.7</v>
      </c>
      <c r="E59" s="7">
        <f t="shared" si="2"/>
        <v>418000</v>
      </c>
      <c r="F59" s="7">
        <f t="shared" si="3"/>
        <v>5699006</v>
      </c>
      <c r="G59" s="7">
        <f t="shared" si="4"/>
        <v>2809109.2</v>
      </c>
      <c r="H59" s="149">
        <f t="shared" si="5"/>
        <v>2311863.4000000004</v>
      </c>
      <c r="I59" s="157">
        <f t="shared" si="6"/>
        <v>5.0933993399339933E-2</v>
      </c>
      <c r="J59" s="153">
        <v>3415370</v>
      </c>
      <c r="K59" s="127">
        <v>0</v>
      </c>
      <c r="L59" s="118">
        <v>3276900</v>
      </c>
      <c r="M59" s="128">
        <v>0</v>
      </c>
      <c r="N59" s="127">
        <v>0</v>
      </c>
      <c r="O59" s="118">
        <v>0</v>
      </c>
      <c r="P59" s="120">
        <v>0</v>
      </c>
      <c r="Q59" s="118">
        <v>0</v>
      </c>
      <c r="R59" s="118">
        <v>0</v>
      </c>
      <c r="S59" s="118">
        <v>0</v>
      </c>
      <c r="T59" s="118">
        <v>0</v>
      </c>
      <c r="U59" s="118">
        <v>0</v>
      </c>
      <c r="V59" s="118">
        <v>0</v>
      </c>
      <c r="W59" s="118">
        <v>0</v>
      </c>
      <c r="X59" s="118">
        <v>1</v>
      </c>
      <c r="Y59" s="128">
        <v>950</v>
      </c>
      <c r="Z59" s="127">
        <v>3</v>
      </c>
      <c r="AA59" s="120">
        <v>245</v>
      </c>
      <c r="AB59" s="118">
        <v>55</v>
      </c>
      <c r="AC59" s="119">
        <v>0</v>
      </c>
      <c r="AD59" s="127">
        <v>119</v>
      </c>
      <c r="AE59" s="118">
        <v>12045</v>
      </c>
      <c r="AF59" s="118">
        <v>2690</v>
      </c>
      <c r="AG59" s="128">
        <v>0</v>
      </c>
      <c r="AH59" s="122">
        <v>15433</v>
      </c>
    </row>
    <row r="60" spans="1:34" s="2" customFormat="1" x14ac:dyDescent="0.25">
      <c r="A60" s="17" t="s">
        <v>232</v>
      </c>
      <c r="B60" s="90" t="s">
        <v>233</v>
      </c>
      <c r="C60" s="8">
        <f t="shared" si="0"/>
        <v>305464.39161829662</v>
      </c>
      <c r="D60" s="7">
        <f t="shared" si="1"/>
        <v>788477.951</v>
      </c>
      <c r="E60" s="7">
        <f t="shared" si="2"/>
        <v>70906</v>
      </c>
      <c r="F60" s="7">
        <f t="shared" si="3"/>
        <v>635379</v>
      </c>
      <c r="G60" s="7">
        <f t="shared" si="4"/>
        <v>641247.60000000009</v>
      </c>
      <c r="H60" s="149">
        <f t="shared" si="5"/>
        <v>707805</v>
      </c>
      <c r="I60" s="157">
        <f t="shared" si="6"/>
        <v>3.0095541401273886E-2</v>
      </c>
      <c r="J60" s="153">
        <v>489827</v>
      </c>
      <c r="K60" s="127">
        <v>0</v>
      </c>
      <c r="L60" s="118">
        <v>488827</v>
      </c>
      <c r="M60" s="128">
        <v>0</v>
      </c>
      <c r="N60" s="127">
        <v>2</v>
      </c>
      <c r="O60" s="118">
        <v>60</v>
      </c>
      <c r="P60" s="120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28">
        <v>0</v>
      </c>
      <c r="Z60" s="127">
        <v>58</v>
      </c>
      <c r="AA60" s="120">
        <v>99</v>
      </c>
      <c r="AB60" s="118">
        <v>0</v>
      </c>
      <c r="AC60" s="119">
        <v>0</v>
      </c>
      <c r="AD60" s="127">
        <v>1141</v>
      </c>
      <c r="AE60" s="118">
        <v>3581</v>
      </c>
      <c r="AF60" s="118">
        <v>0</v>
      </c>
      <c r="AG60" s="128">
        <v>0</v>
      </c>
      <c r="AH60" s="122">
        <v>4725</v>
      </c>
    </row>
    <row r="61" spans="1:34" s="2" customFormat="1" x14ac:dyDescent="0.25">
      <c r="A61" s="17" t="s">
        <v>234</v>
      </c>
      <c r="B61" s="90" t="s">
        <v>235</v>
      </c>
      <c r="C61" s="8">
        <f t="shared" si="0"/>
        <v>192487.99257611699</v>
      </c>
      <c r="D61" s="7">
        <f t="shared" si="1"/>
        <v>464305.27600000001</v>
      </c>
      <c r="E61" s="7">
        <f t="shared" si="2"/>
        <v>106359</v>
      </c>
      <c r="F61" s="7">
        <f t="shared" si="3"/>
        <v>307572</v>
      </c>
      <c r="G61" s="7">
        <f t="shared" si="4"/>
        <v>291562.60000000003</v>
      </c>
      <c r="H61" s="149">
        <f t="shared" si="5"/>
        <v>321620.60000000003</v>
      </c>
      <c r="I61" s="157">
        <f t="shared" si="6"/>
        <v>2.8250000000000001E-2</v>
      </c>
      <c r="J61" s="153">
        <v>298453</v>
      </c>
      <c r="K61" s="127">
        <v>0</v>
      </c>
      <c r="L61" s="118">
        <v>287852</v>
      </c>
      <c r="M61" s="128">
        <v>0</v>
      </c>
      <c r="N61" s="127">
        <v>3</v>
      </c>
      <c r="O61" s="118">
        <v>60</v>
      </c>
      <c r="P61" s="120">
        <v>0</v>
      </c>
      <c r="Q61" s="118">
        <v>0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28">
        <v>0</v>
      </c>
      <c r="Z61" s="127">
        <v>37</v>
      </c>
      <c r="AA61" s="120">
        <v>39</v>
      </c>
      <c r="AB61" s="118">
        <v>0</v>
      </c>
      <c r="AC61" s="119">
        <v>0</v>
      </c>
      <c r="AD61" s="127">
        <v>115</v>
      </c>
      <c r="AE61" s="118">
        <v>2032</v>
      </c>
      <c r="AF61" s="118">
        <v>0</v>
      </c>
      <c r="AG61" s="128">
        <v>0</v>
      </c>
      <c r="AH61" s="122">
        <v>2147</v>
      </c>
    </row>
    <row r="62" spans="1:34" s="2" customFormat="1" x14ac:dyDescent="0.25">
      <c r="A62" s="17" t="s">
        <v>236</v>
      </c>
      <c r="B62" s="90" t="s">
        <v>237</v>
      </c>
      <c r="C62" s="8">
        <f t="shared" si="0"/>
        <v>179128.75723997719</v>
      </c>
      <c r="D62" s="7">
        <f t="shared" si="1"/>
        <v>442426.54399999999</v>
      </c>
      <c r="E62" s="7">
        <f t="shared" si="2"/>
        <v>0</v>
      </c>
      <c r="F62" s="7">
        <f t="shared" si="3"/>
        <v>219792.57</v>
      </c>
      <c r="G62" s="7">
        <f t="shared" si="4"/>
        <v>282735.60000000003</v>
      </c>
      <c r="H62" s="149">
        <f t="shared" si="5"/>
        <v>311883.60000000003</v>
      </c>
      <c r="I62" s="157">
        <f t="shared" si="6"/>
        <v>3.8335481495120602E-2</v>
      </c>
      <c r="J62" s="153">
        <v>276288</v>
      </c>
      <c r="K62" s="127">
        <v>0</v>
      </c>
      <c r="L62" s="118">
        <v>274288</v>
      </c>
      <c r="M62" s="128">
        <v>0</v>
      </c>
      <c r="N62" s="127">
        <v>0</v>
      </c>
      <c r="O62" s="118">
        <v>0</v>
      </c>
      <c r="P62" s="120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28">
        <v>0</v>
      </c>
      <c r="Z62" s="127">
        <v>11</v>
      </c>
      <c r="AA62" s="120">
        <v>43.31</v>
      </c>
      <c r="AB62" s="118">
        <v>0</v>
      </c>
      <c r="AC62" s="119">
        <v>0</v>
      </c>
      <c r="AD62" s="127">
        <v>62</v>
      </c>
      <c r="AE62" s="118">
        <v>2020</v>
      </c>
      <c r="AF62" s="118">
        <v>0</v>
      </c>
      <c r="AG62" s="128">
        <v>0</v>
      </c>
      <c r="AH62" s="122">
        <v>2082</v>
      </c>
    </row>
    <row r="63" spans="1:34" s="2" customFormat="1" x14ac:dyDescent="0.25">
      <c r="A63" s="17" t="s">
        <v>238</v>
      </c>
      <c r="B63" s="90" t="s">
        <v>239</v>
      </c>
      <c r="C63" s="8">
        <f t="shared" ref="C63:C123" si="7">1.518*J63^0.9321</f>
        <v>446989.1899996369</v>
      </c>
      <c r="D63" s="7">
        <f t="shared" si="1"/>
        <v>1147443.0360000001</v>
      </c>
      <c r="E63" s="7">
        <f t="shared" si="2"/>
        <v>1298000</v>
      </c>
      <c r="F63" s="7">
        <f t="shared" si="3"/>
        <v>5407622</v>
      </c>
      <c r="G63" s="7">
        <f t="shared" si="4"/>
        <v>2300487.5999999996</v>
      </c>
      <c r="H63" s="149">
        <f t="shared" si="5"/>
        <v>1763595.4000000001</v>
      </c>
      <c r="I63" s="157">
        <f t="shared" si="6"/>
        <v>5.0965367965367964E-2</v>
      </c>
      <c r="J63" s="153">
        <v>736925</v>
      </c>
      <c r="K63" s="127">
        <v>0</v>
      </c>
      <c r="L63" s="118">
        <v>711372</v>
      </c>
      <c r="M63" s="128">
        <v>0</v>
      </c>
      <c r="N63" s="127">
        <v>0</v>
      </c>
      <c r="O63" s="118">
        <v>0</v>
      </c>
      <c r="P63" s="120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2</v>
      </c>
      <c r="Y63" s="128">
        <v>2950</v>
      </c>
      <c r="Z63" s="127">
        <v>6</v>
      </c>
      <c r="AA63" s="120">
        <v>170</v>
      </c>
      <c r="AB63" s="118">
        <v>55</v>
      </c>
      <c r="AC63" s="119">
        <v>0</v>
      </c>
      <c r="AD63" s="127">
        <v>275</v>
      </c>
      <c r="AE63" s="118">
        <v>8245</v>
      </c>
      <c r="AF63" s="118">
        <v>2658</v>
      </c>
      <c r="AG63" s="128">
        <v>0</v>
      </c>
      <c r="AH63" s="122">
        <v>11773</v>
      </c>
    </row>
    <row r="64" spans="1:34" s="2" customFormat="1" x14ac:dyDescent="0.25">
      <c r="A64" s="17" t="s">
        <v>240</v>
      </c>
      <c r="B64" s="90" t="s">
        <v>241</v>
      </c>
      <c r="C64" s="8">
        <f t="shared" si="7"/>
        <v>150245.42814584202</v>
      </c>
      <c r="D64" s="7">
        <f t="shared" ref="D64:D124" si="8">0.748*K64+1.613*L64+1.774*M64</f>
        <v>366560.70199999999</v>
      </c>
      <c r="E64" s="7">
        <f t="shared" ref="E64:E124" si="9">35453*N64+56469*P64+144773*R64+178851*(T64+V64)+440*Y64</f>
        <v>0</v>
      </c>
      <c r="F64" s="7">
        <f t="shared" ref="F64:F124" si="10">4047*(Z64+AA64)+85370*(AB64+AC64)</f>
        <v>129504</v>
      </c>
      <c r="G64" s="7">
        <f t="shared" ref="G64:G124" si="11">135.8*(AD64+AE64)+430.2*AF64+1208.1*AG64</f>
        <v>169750</v>
      </c>
      <c r="H64" s="149">
        <f t="shared" ref="H64:H124" si="12">149.8*AH64</f>
        <v>187250</v>
      </c>
      <c r="I64" s="157">
        <f t="shared" ref="I64:I124" si="13">IF(SUM(Z64:AC64)&gt;0,(AH64/(SUM(Z64:AC64)*1000)),0)</f>
        <v>3.90625E-2</v>
      </c>
      <c r="J64" s="153">
        <v>228789</v>
      </c>
      <c r="K64" s="127">
        <v>0</v>
      </c>
      <c r="L64" s="118">
        <v>227254</v>
      </c>
      <c r="M64" s="128">
        <v>0</v>
      </c>
      <c r="N64" s="127">
        <v>0</v>
      </c>
      <c r="O64" s="118">
        <v>0</v>
      </c>
      <c r="P64" s="120">
        <v>0</v>
      </c>
      <c r="Q64" s="118">
        <v>0</v>
      </c>
      <c r="R64" s="118">
        <v>0</v>
      </c>
      <c r="S64" s="118">
        <v>0</v>
      </c>
      <c r="T64" s="118">
        <v>0</v>
      </c>
      <c r="U64" s="118">
        <v>0</v>
      </c>
      <c r="V64" s="118">
        <v>0</v>
      </c>
      <c r="W64" s="118">
        <v>0</v>
      </c>
      <c r="X64" s="118">
        <v>0</v>
      </c>
      <c r="Y64" s="128">
        <v>0</v>
      </c>
      <c r="Z64" s="127">
        <v>5</v>
      </c>
      <c r="AA64" s="120">
        <v>27</v>
      </c>
      <c r="AB64" s="118">
        <v>0</v>
      </c>
      <c r="AC64" s="119">
        <v>0</v>
      </c>
      <c r="AD64" s="127">
        <v>4</v>
      </c>
      <c r="AE64" s="118">
        <v>1246</v>
      </c>
      <c r="AF64" s="118">
        <v>0</v>
      </c>
      <c r="AG64" s="128">
        <v>0</v>
      </c>
      <c r="AH64" s="122">
        <v>1250</v>
      </c>
    </row>
    <row r="65" spans="1:34" s="2" customFormat="1" x14ac:dyDescent="0.25">
      <c r="A65" s="17" t="s">
        <v>242</v>
      </c>
      <c r="B65" s="90" t="s">
        <v>243</v>
      </c>
      <c r="C65" s="8">
        <f t="shared" si="7"/>
        <v>517984.80069612985</v>
      </c>
      <c r="D65" s="7">
        <f t="shared" si="8"/>
        <v>1765302.8729999999</v>
      </c>
      <c r="E65" s="7">
        <f t="shared" si="9"/>
        <v>0</v>
      </c>
      <c r="F65" s="7">
        <f t="shared" si="10"/>
        <v>2340264</v>
      </c>
      <c r="G65" s="7">
        <f t="shared" si="11"/>
        <v>718564.2</v>
      </c>
      <c r="H65" s="149">
        <f t="shared" si="12"/>
        <v>579426.4</v>
      </c>
      <c r="I65" s="157">
        <f t="shared" si="13"/>
        <v>4.029166666666667E-2</v>
      </c>
      <c r="J65" s="153">
        <v>863191</v>
      </c>
      <c r="K65" s="127">
        <v>501240</v>
      </c>
      <c r="L65" s="118">
        <v>861981</v>
      </c>
      <c r="M65" s="128">
        <v>0</v>
      </c>
      <c r="N65" s="127">
        <v>0</v>
      </c>
      <c r="O65" s="118">
        <v>0</v>
      </c>
      <c r="P65" s="120">
        <v>0</v>
      </c>
      <c r="Q65" s="118">
        <v>0</v>
      </c>
      <c r="R65" s="118">
        <v>0</v>
      </c>
      <c r="S65" s="118">
        <v>0</v>
      </c>
      <c r="T65" s="118">
        <v>0</v>
      </c>
      <c r="U65" s="118">
        <v>0</v>
      </c>
      <c r="V65" s="118">
        <v>0</v>
      </c>
      <c r="W65" s="118">
        <v>0</v>
      </c>
      <c r="X65" s="118">
        <v>0</v>
      </c>
      <c r="Y65" s="128">
        <v>0</v>
      </c>
      <c r="Z65" s="127">
        <v>1</v>
      </c>
      <c r="AA65" s="120">
        <v>71</v>
      </c>
      <c r="AB65" s="118">
        <v>24</v>
      </c>
      <c r="AC65" s="119">
        <v>0</v>
      </c>
      <c r="AD65" s="127">
        <v>0</v>
      </c>
      <c r="AE65" s="118">
        <v>3549</v>
      </c>
      <c r="AF65" s="118">
        <v>550</v>
      </c>
      <c r="AG65" s="128">
        <v>0</v>
      </c>
      <c r="AH65" s="122">
        <v>3868</v>
      </c>
    </row>
    <row r="66" spans="1:34" s="2" customFormat="1" x14ac:dyDescent="0.25">
      <c r="A66" s="17" t="s">
        <v>244</v>
      </c>
      <c r="B66" s="90" t="s">
        <v>245</v>
      </c>
      <c r="C66" s="8">
        <f t="shared" si="7"/>
        <v>1198226.9935921924</v>
      </c>
      <c r="D66" s="7">
        <f t="shared" si="8"/>
        <v>3655458.2760000001</v>
      </c>
      <c r="E66" s="7">
        <f t="shared" si="9"/>
        <v>537928</v>
      </c>
      <c r="F66" s="7">
        <f t="shared" si="10"/>
        <v>3244277</v>
      </c>
      <c r="G66" s="7">
        <f t="shared" si="11"/>
        <v>2001335.4000000001</v>
      </c>
      <c r="H66" s="149">
        <f t="shared" si="12"/>
        <v>1476279</v>
      </c>
      <c r="I66" s="157">
        <f t="shared" si="13"/>
        <v>4.1234309623430963E-2</v>
      </c>
      <c r="J66" s="153">
        <v>2122566</v>
      </c>
      <c r="K66" s="127">
        <v>0</v>
      </c>
      <c r="L66" s="118">
        <v>0</v>
      </c>
      <c r="M66" s="128">
        <v>2060574</v>
      </c>
      <c r="N66" s="127">
        <v>1</v>
      </c>
      <c r="O66" s="118">
        <v>10</v>
      </c>
      <c r="P66" s="120">
        <v>0</v>
      </c>
      <c r="Q66" s="118">
        <v>0</v>
      </c>
      <c r="R66" s="118">
        <v>1</v>
      </c>
      <c r="S66" s="118">
        <v>170</v>
      </c>
      <c r="T66" s="118">
        <v>1</v>
      </c>
      <c r="U66" s="118">
        <v>300</v>
      </c>
      <c r="V66" s="118">
        <v>1</v>
      </c>
      <c r="W66" s="118">
        <v>550</v>
      </c>
      <c r="X66" s="118">
        <v>0</v>
      </c>
      <c r="Y66" s="128">
        <v>0</v>
      </c>
      <c r="Z66" s="127">
        <v>8</v>
      </c>
      <c r="AA66" s="120">
        <v>203</v>
      </c>
      <c r="AB66" s="118">
        <v>28</v>
      </c>
      <c r="AC66" s="119">
        <v>0</v>
      </c>
      <c r="AD66" s="127">
        <v>56</v>
      </c>
      <c r="AE66" s="118">
        <v>7693</v>
      </c>
      <c r="AF66" s="118">
        <v>2206</v>
      </c>
      <c r="AG66" s="128">
        <v>0</v>
      </c>
      <c r="AH66" s="122">
        <v>9855</v>
      </c>
    </row>
    <row r="67" spans="1:34" s="2" customFormat="1" x14ac:dyDescent="0.25">
      <c r="A67" s="17" t="s">
        <v>246</v>
      </c>
      <c r="B67" s="90" t="s">
        <v>247</v>
      </c>
      <c r="C67" s="8">
        <f t="shared" si="7"/>
        <v>763432.05057213956</v>
      </c>
      <c r="D67" s="7">
        <f t="shared" si="8"/>
        <v>2185842.9700000002</v>
      </c>
      <c r="E67" s="7">
        <f t="shared" si="9"/>
        <v>70906</v>
      </c>
      <c r="F67" s="7">
        <f t="shared" si="10"/>
        <v>1031985</v>
      </c>
      <c r="G67" s="7">
        <f t="shared" si="11"/>
        <v>587470.80000000005</v>
      </c>
      <c r="H67" s="149">
        <f t="shared" si="12"/>
        <v>667658.60000000009</v>
      </c>
      <c r="I67" s="157">
        <f t="shared" si="13"/>
        <v>1.7478431372549019E-2</v>
      </c>
      <c r="J67" s="153">
        <v>1308674</v>
      </c>
      <c r="K67" s="127">
        <v>0</v>
      </c>
      <c r="L67" s="118">
        <v>0</v>
      </c>
      <c r="M67" s="128">
        <v>1232155</v>
      </c>
      <c r="N67" s="127">
        <v>2</v>
      </c>
      <c r="O67" s="118">
        <v>52</v>
      </c>
      <c r="P67" s="120">
        <v>0</v>
      </c>
      <c r="Q67" s="118">
        <v>0</v>
      </c>
      <c r="R67" s="118">
        <v>0</v>
      </c>
      <c r="S67" s="118">
        <v>0</v>
      </c>
      <c r="T67" s="118">
        <v>0</v>
      </c>
      <c r="U67" s="118">
        <v>0</v>
      </c>
      <c r="V67" s="118">
        <v>0</v>
      </c>
      <c r="W67" s="118">
        <v>0</v>
      </c>
      <c r="X67" s="118">
        <v>0</v>
      </c>
      <c r="Y67" s="128">
        <v>0</v>
      </c>
      <c r="Z67" s="127">
        <v>167</v>
      </c>
      <c r="AA67" s="120">
        <v>88</v>
      </c>
      <c r="AB67" s="118">
        <v>0</v>
      </c>
      <c r="AC67" s="119">
        <v>0</v>
      </c>
      <c r="AD67" s="127">
        <v>813</v>
      </c>
      <c r="AE67" s="118">
        <v>3513</v>
      </c>
      <c r="AF67" s="118">
        <v>0</v>
      </c>
      <c r="AG67" s="128">
        <v>0</v>
      </c>
      <c r="AH67" s="122">
        <v>4457</v>
      </c>
    </row>
    <row r="68" spans="1:34" s="2" customFormat="1" x14ac:dyDescent="0.25">
      <c r="A68" s="17" t="s">
        <v>31</v>
      </c>
      <c r="B68" s="90" t="s">
        <v>248</v>
      </c>
      <c r="C68" s="8">
        <f t="shared" si="7"/>
        <v>978768.25791339832</v>
      </c>
      <c r="D68" s="7">
        <f t="shared" si="8"/>
        <v>2502754.9950000001</v>
      </c>
      <c r="E68" s="7">
        <f t="shared" si="9"/>
        <v>0</v>
      </c>
      <c r="F68" s="7">
        <f t="shared" si="10"/>
        <v>2032526</v>
      </c>
      <c r="G68" s="7">
        <f t="shared" si="11"/>
        <v>1613729.6</v>
      </c>
      <c r="H68" s="149">
        <f t="shared" si="12"/>
        <v>1479125.2000000002</v>
      </c>
      <c r="I68" s="157">
        <f t="shared" si="13"/>
        <v>4.0970954356846473E-2</v>
      </c>
      <c r="J68" s="153">
        <v>1708448</v>
      </c>
      <c r="K68" s="127">
        <v>0</v>
      </c>
      <c r="L68" s="118">
        <v>1551615</v>
      </c>
      <c r="M68" s="128">
        <v>0</v>
      </c>
      <c r="N68" s="127">
        <v>0</v>
      </c>
      <c r="O68" s="118">
        <v>0</v>
      </c>
      <c r="P68" s="120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28">
        <v>0</v>
      </c>
      <c r="Z68" s="127">
        <v>84</v>
      </c>
      <c r="AA68" s="120">
        <v>144</v>
      </c>
      <c r="AB68" s="118">
        <v>13</v>
      </c>
      <c r="AC68" s="119">
        <v>0</v>
      </c>
      <c r="AD68" s="127">
        <v>702</v>
      </c>
      <c r="AE68" s="118">
        <v>8254</v>
      </c>
      <c r="AF68" s="118">
        <v>924</v>
      </c>
      <c r="AG68" s="128">
        <v>0</v>
      </c>
      <c r="AH68" s="122">
        <v>9874</v>
      </c>
    </row>
    <row r="69" spans="1:34" s="2" customFormat="1" x14ac:dyDescent="0.25">
      <c r="A69" s="17" t="s">
        <v>32</v>
      </c>
      <c r="B69" s="90" t="s">
        <v>249</v>
      </c>
      <c r="C69" s="8">
        <f t="shared" si="7"/>
        <v>1115953.0628648412</v>
      </c>
      <c r="D69" s="7">
        <f t="shared" si="8"/>
        <v>3150456.2580000004</v>
      </c>
      <c r="E69" s="7">
        <f t="shared" si="9"/>
        <v>311219</v>
      </c>
      <c r="F69" s="7">
        <f t="shared" si="10"/>
        <v>1634988</v>
      </c>
      <c r="G69" s="7">
        <f t="shared" si="11"/>
        <v>1443010.8</v>
      </c>
      <c r="H69" s="149">
        <f t="shared" si="12"/>
        <v>1789960.2000000002</v>
      </c>
      <c r="I69" s="157">
        <f t="shared" si="13"/>
        <v>2.9576732673267325E-2</v>
      </c>
      <c r="J69" s="153">
        <v>1966607</v>
      </c>
      <c r="K69" s="127">
        <v>0</v>
      </c>
      <c r="L69" s="118">
        <v>1535034</v>
      </c>
      <c r="M69" s="128">
        <v>380184</v>
      </c>
      <c r="N69" s="127">
        <v>4</v>
      </c>
      <c r="O69" s="118">
        <v>66</v>
      </c>
      <c r="P69" s="120">
        <v>3</v>
      </c>
      <c r="Q69" s="118">
        <v>250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28">
        <v>0</v>
      </c>
      <c r="Z69" s="127">
        <v>158</v>
      </c>
      <c r="AA69" s="120">
        <v>246</v>
      </c>
      <c r="AB69" s="118">
        <v>0</v>
      </c>
      <c r="AC69" s="119">
        <v>0</v>
      </c>
      <c r="AD69" s="127">
        <v>1181</v>
      </c>
      <c r="AE69" s="118">
        <v>9445</v>
      </c>
      <c r="AF69" s="118">
        <v>0</v>
      </c>
      <c r="AG69" s="128">
        <v>0</v>
      </c>
      <c r="AH69" s="122">
        <v>11949</v>
      </c>
    </row>
    <row r="70" spans="1:34" s="2" customFormat="1" x14ac:dyDescent="0.25">
      <c r="A70" s="17" t="s">
        <v>250</v>
      </c>
      <c r="B70" s="90" t="s">
        <v>251</v>
      </c>
      <c r="C70" s="8">
        <f t="shared" si="7"/>
        <v>243331.95109607821</v>
      </c>
      <c r="D70" s="7">
        <f t="shared" si="8"/>
        <v>619043.59199999995</v>
      </c>
      <c r="E70" s="7">
        <f t="shared" si="9"/>
        <v>70906</v>
      </c>
      <c r="F70" s="7">
        <f t="shared" si="10"/>
        <v>352089</v>
      </c>
      <c r="G70" s="7">
        <f t="shared" si="11"/>
        <v>361092.2</v>
      </c>
      <c r="H70" s="149">
        <f t="shared" si="12"/>
        <v>398318.2</v>
      </c>
      <c r="I70" s="157">
        <f t="shared" si="13"/>
        <v>3.0563218390804597E-2</v>
      </c>
      <c r="J70" s="153">
        <v>383784</v>
      </c>
      <c r="K70" s="127">
        <v>0</v>
      </c>
      <c r="L70" s="118">
        <v>383784</v>
      </c>
      <c r="M70" s="128">
        <v>0</v>
      </c>
      <c r="N70" s="127">
        <v>2</v>
      </c>
      <c r="O70" s="118">
        <v>60</v>
      </c>
      <c r="P70" s="120">
        <v>0</v>
      </c>
      <c r="Q70" s="118">
        <v>0</v>
      </c>
      <c r="R70" s="118">
        <v>0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28">
        <v>0</v>
      </c>
      <c r="Z70" s="127">
        <v>24</v>
      </c>
      <c r="AA70" s="120">
        <v>63</v>
      </c>
      <c r="AB70" s="118">
        <v>0</v>
      </c>
      <c r="AC70" s="119">
        <v>0</v>
      </c>
      <c r="AD70" s="127">
        <v>187</v>
      </c>
      <c r="AE70" s="118">
        <v>2472</v>
      </c>
      <c r="AF70" s="118">
        <v>0</v>
      </c>
      <c r="AG70" s="128">
        <v>0</v>
      </c>
      <c r="AH70" s="122">
        <v>2659</v>
      </c>
    </row>
    <row r="71" spans="1:34" s="2" customFormat="1" x14ac:dyDescent="0.25">
      <c r="A71" s="17" t="s">
        <v>252</v>
      </c>
      <c r="B71" s="90" t="s">
        <v>253</v>
      </c>
      <c r="C71" s="8">
        <f t="shared" si="7"/>
        <v>432219.47774556297</v>
      </c>
      <c r="D71" s="7">
        <f t="shared" si="8"/>
        <v>1146573.629</v>
      </c>
      <c r="E71" s="7">
        <f t="shared" si="9"/>
        <v>106359</v>
      </c>
      <c r="F71" s="7">
        <f t="shared" si="10"/>
        <v>683943</v>
      </c>
      <c r="G71" s="7">
        <f t="shared" si="11"/>
        <v>668271.80000000005</v>
      </c>
      <c r="H71" s="149">
        <f t="shared" si="12"/>
        <v>815511.20000000007</v>
      </c>
      <c r="I71" s="157">
        <f t="shared" si="13"/>
        <v>3.2213017751479292E-2</v>
      </c>
      <c r="J71" s="153">
        <v>710833</v>
      </c>
      <c r="K71" s="127">
        <v>0</v>
      </c>
      <c r="L71" s="118">
        <v>710833</v>
      </c>
      <c r="M71" s="128">
        <v>0</v>
      </c>
      <c r="N71" s="127">
        <v>3</v>
      </c>
      <c r="O71" s="118">
        <v>120</v>
      </c>
      <c r="P71" s="120">
        <v>0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0</v>
      </c>
      <c r="W71" s="118">
        <v>0</v>
      </c>
      <c r="X71" s="118">
        <v>0</v>
      </c>
      <c r="Y71" s="128">
        <v>0</v>
      </c>
      <c r="Z71" s="127">
        <v>90</v>
      </c>
      <c r="AA71" s="120">
        <v>79</v>
      </c>
      <c r="AB71" s="118">
        <v>0</v>
      </c>
      <c r="AC71" s="119">
        <v>0</v>
      </c>
      <c r="AD71" s="127">
        <v>2102</v>
      </c>
      <c r="AE71" s="118">
        <v>2819</v>
      </c>
      <c r="AF71" s="118">
        <v>0</v>
      </c>
      <c r="AG71" s="128">
        <v>0</v>
      </c>
      <c r="AH71" s="122">
        <v>5444</v>
      </c>
    </row>
    <row r="72" spans="1:34" s="2" customFormat="1" x14ac:dyDescent="0.25">
      <c r="A72" s="17" t="s">
        <v>254</v>
      </c>
      <c r="B72" s="90" t="s">
        <v>255</v>
      </c>
      <c r="C72" s="8">
        <f t="shared" si="7"/>
        <v>325187.42970103078</v>
      </c>
      <c r="D72" s="7">
        <f t="shared" si="8"/>
        <v>819863.70499999996</v>
      </c>
      <c r="E72" s="7">
        <f t="shared" si="9"/>
        <v>0</v>
      </c>
      <c r="F72" s="7">
        <f t="shared" si="10"/>
        <v>736513.53</v>
      </c>
      <c r="G72" s="7">
        <f t="shared" si="11"/>
        <v>756677.60000000009</v>
      </c>
      <c r="H72" s="149">
        <f t="shared" si="12"/>
        <v>804725.60000000009</v>
      </c>
      <c r="I72" s="157">
        <f t="shared" si="13"/>
        <v>2.9518105390406068E-2</v>
      </c>
      <c r="J72" s="153">
        <v>523836</v>
      </c>
      <c r="K72" s="127">
        <v>0</v>
      </c>
      <c r="L72" s="118">
        <v>508285</v>
      </c>
      <c r="M72" s="128">
        <v>0</v>
      </c>
      <c r="N72" s="127">
        <v>0</v>
      </c>
      <c r="O72" s="118">
        <v>0</v>
      </c>
      <c r="P72" s="120">
        <v>0</v>
      </c>
      <c r="Q72" s="118">
        <v>0</v>
      </c>
      <c r="R72" s="118">
        <v>0</v>
      </c>
      <c r="S72" s="118">
        <v>0</v>
      </c>
      <c r="T72" s="118">
        <v>0</v>
      </c>
      <c r="U72" s="118">
        <v>0</v>
      </c>
      <c r="V72" s="118">
        <v>0</v>
      </c>
      <c r="W72" s="118">
        <v>0</v>
      </c>
      <c r="X72" s="118">
        <v>0</v>
      </c>
      <c r="Y72" s="128">
        <v>0</v>
      </c>
      <c r="Z72" s="127">
        <v>78.48</v>
      </c>
      <c r="AA72" s="120">
        <v>103.51</v>
      </c>
      <c r="AB72" s="118">
        <v>0</v>
      </c>
      <c r="AC72" s="119">
        <v>0</v>
      </c>
      <c r="AD72" s="127">
        <v>1251</v>
      </c>
      <c r="AE72" s="118">
        <v>4321</v>
      </c>
      <c r="AF72" s="118">
        <v>0</v>
      </c>
      <c r="AG72" s="128">
        <v>0</v>
      </c>
      <c r="AH72" s="122">
        <v>5372</v>
      </c>
    </row>
    <row r="73" spans="1:34" s="2" customFormat="1" x14ac:dyDescent="0.25">
      <c r="A73" s="17" t="s">
        <v>256</v>
      </c>
      <c r="B73" s="90" t="s">
        <v>257</v>
      </c>
      <c r="C73" s="8">
        <f t="shared" si="7"/>
        <v>272281.89651060425</v>
      </c>
      <c r="D73" s="7">
        <f t="shared" si="8"/>
        <v>768097.65</v>
      </c>
      <c r="E73" s="7">
        <f t="shared" si="9"/>
        <v>251132</v>
      </c>
      <c r="F73" s="7">
        <f t="shared" si="10"/>
        <v>433029</v>
      </c>
      <c r="G73" s="7">
        <f t="shared" si="11"/>
        <v>370598.2</v>
      </c>
      <c r="H73" s="149">
        <f t="shared" si="12"/>
        <v>447902.00000000006</v>
      </c>
      <c r="I73" s="157">
        <f t="shared" si="13"/>
        <v>2.7943925233644858E-2</v>
      </c>
      <c r="J73" s="153">
        <v>432975</v>
      </c>
      <c r="K73" s="127">
        <v>0</v>
      </c>
      <c r="L73" s="118">
        <v>0</v>
      </c>
      <c r="M73" s="128">
        <v>432975</v>
      </c>
      <c r="N73" s="127">
        <v>3</v>
      </c>
      <c r="O73" s="118">
        <v>120</v>
      </c>
      <c r="P73" s="120">
        <v>0</v>
      </c>
      <c r="Q73" s="118">
        <v>0</v>
      </c>
      <c r="R73" s="118">
        <v>1</v>
      </c>
      <c r="S73" s="118">
        <v>160</v>
      </c>
      <c r="T73" s="118">
        <v>0</v>
      </c>
      <c r="U73" s="118">
        <v>0</v>
      </c>
      <c r="V73" s="118">
        <v>0</v>
      </c>
      <c r="W73" s="118">
        <v>0</v>
      </c>
      <c r="X73" s="118">
        <v>0</v>
      </c>
      <c r="Y73" s="128">
        <v>0</v>
      </c>
      <c r="Z73" s="127">
        <v>15</v>
      </c>
      <c r="AA73" s="120">
        <v>92</v>
      </c>
      <c r="AB73" s="118">
        <v>0</v>
      </c>
      <c r="AC73" s="119">
        <v>0</v>
      </c>
      <c r="AD73" s="127">
        <v>49</v>
      </c>
      <c r="AE73" s="118">
        <v>2680</v>
      </c>
      <c r="AF73" s="118">
        <v>0</v>
      </c>
      <c r="AG73" s="128">
        <v>0</v>
      </c>
      <c r="AH73" s="122">
        <v>2990</v>
      </c>
    </row>
    <row r="74" spans="1:34" s="2" customFormat="1" x14ac:dyDescent="0.25">
      <c r="A74" s="17" t="s">
        <v>258</v>
      </c>
      <c r="B74" s="90" t="s">
        <v>259</v>
      </c>
      <c r="C74" s="8">
        <f t="shared" si="7"/>
        <v>241832.88190647447</v>
      </c>
      <c r="D74" s="7">
        <f t="shared" si="8"/>
        <v>577994.35499999998</v>
      </c>
      <c r="E74" s="7">
        <f t="shared" si="9"/>
        <v>35453</v>
      </c>
      <c r="F74" s="7">
        <f t="shared" si="10"/>
        <v>218538</v>
      </c>
      <c r="G74" s="7">
        <f t="shared" si="11"/>
        <v>269970.40000000002</v>
      </c>
      <c r="H74" s="149">
        <f t="shared" si="12"/>
        <v>409553.2</v>
      </c>
      <c r="I74" s="157">
        <f t="shared" si="13"/>
        <v>5.0629629629629629E-2</v>
      </c>
      <c r="J74" s="153">
        <v>381248</v>
      </c>
      <c r="K74" s="127">
        <v>0</v>
      </c>
      <c r="L74" s="118">
        <v>358335</v>
      </c>
      <c r="M74" s="128">
        <v>0</v>
      </c>
      <c r="N74" s="127">
        <v>1</v>
      </c>
      <c r="O74" s="118">
        <v>5</v>
      </c>
      <c r="P74" s="120">
        <v>0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28">
        <v>0</v>
      </c>
      <c r="Z74" s="127">
        <v>0</v>
      </c>
      <c r="AA74" s="120">
        <v>54</v>
      </c>
      <c r="AB74" s="118">
        <v>0</v>
      </c>
      <c r="AC74" s="119">
        <v>0</v>
      </c>
      <c r="AD74" s="127">
        <v>0</v>
      </c>
      <c r="AE74" s="118">
        <v>1988</v>
      </c>
      <c r="AF74" s="118">
        <v>0</v>
      </c>
      <c r="AG74" s="128">
        <v>0</v>
      </c>
      <c r="AH74" s="122">
        <v>2734</v>
      </c>
    </row>
    <row r="75" spans="1:34" s="2" customFormat="1" x14ac:dyDescent="0.25">
      <c r="A75" s="17" t="s">
        <v>34</v>
      </c>
      <c r="B75" s="90" t="s">
        <v>260</v>
      </c>
      <c r="C75" s="8">
        <f t="shared" si="7"/>
        <v>300009.64295138454</v>
      </c>
      <c r="D75" s="7">
        <f t="shared" si="8"/>
        <v>757637.39099999995</v>
      </c>
      <c r="E75" s="7">
        <f t="shared" si="9"/>
        <v>0</v>
      </c>
      <c r="F75" s="7">
        <f t="shared" si="10"/>
        <v>424935</v>
      </c>
      <c r="G75" s="7">
        <f t="shared" si="11"/>
        <v>457917.60000000003</v>
      </c>
      <c r="H75" s="149">
        <f t="shared" si="12"/>
        <v>501230.80000000005</v>
      </c>
      <c r="I75" s="157">
        <f t="shared" si="13"/>
        <v>3.1866666666666668E-2</v>
      </c>
      <c r="J75" s="153">
        <v>480449</v>
      </c>
      <c r="K75" s="127">
        <v>0</v>
      </c>
      <c r="L75" s="118">
        <v>469707</v>
      </c>
      <c r="M75" s="128">
        <v>0</v>
      </c>
      <c r="N75" s="127">
        <v>0</v>
      </c>
      <c r="O75" s="118">
        <v>0</v>
      </c>
      <c r="P75" s="120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118">
        <v>0</v>
      </c>
      <c r="Y75" s="128">
        <v>0</v>
      </c>
      <c r="Z75" s="127">
        <v>19</v>
      </c>
      <c r="AA75" s="120">
        <v>86</v>
      </c>
      <c r="AB75" s="118">
        <v>0</v>
      </c>
      <c r="AC75" s="119">
        <v>0</v>
      </c>
      <c r="AD75" s="127">
        <v>123</v>
      </c>
      <c r="AE75" s="118">
        <v>3249</v>
      </c>
      <c r="AF75" s="118">
        <v>0</v>
      </c>
      <c r="AG75" s="128">
        <v>0</v>
      </c>
      <c r="AH75" s="122">
        <v>3346</v>
      </c>
    </row>
    <row r="76" spans="1:34" s="2" customFormat="1" x14ac:dyDescent="0.25">
      <c r="A76" s="17" t="s">
        <v>35</v>
      </c>
      <c r="B76" s="90" t="s">
        <v>261</v>
      </c>
      <c r="C76" s="8">
        <f t="shared" si="7"/>
        <v>324784.10639251565</v>
      </c>
      <c r="D76" s="7">
        <f t="shared" si="8"/>
        <v>815237.62100000004</v>
      </c>
      <c r="E76" s="7">
        <f t="shared" si="9"/>
        <v>91922</v>
      </c>
      <c r="F76" s="7">
        <f t="shared" si="10"/>
        <v>574674</v>
      </c>
      <c r="G76" s="7">
        <f t="shared" si="11"/>
        <v>510608.00000000006</v>
      </c>
      <c r="H76" s="149">
        <f t="shared" si="12"/>
        <v>474416.60000000003</v>
      </c>
      <c r="I76" s="157">
        <f t="shared" si="13"/>
        <v>2.2302816901408451E-2</v>
      </c>
      <c r="J76" s="153">
        <v>523139</v>
      </c>
      <c r="K76" s="127">
        <v>0</v>
      </c>
      <c r="L76" s="118">
        <v>505417</v>
      </c>
      <c r="M76" s="128">
        <v>0</v>
      </c>
      <c r="N76" s="127">
        <v>1</v>
      </c>
      <c r="O76" s="118">
        <v>26</v>
      </c>
      <c r="P76" s="120">
        <v>1</v>
      </c>
      <c r="Q76" s="118">
        <v>62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28">
        <v>0</v>
      </c>
      <c r="Z76" s="127">
        <v>80</v>
      </c>
      <c r="AA76" s="120">
        <v>62</v>
      </c>
      <c r="AB76" s="118">
        <v>0</v>
      </c>
      <c r="AC76" s="119">
        <v>0</v>
      </c>
      <c r="AD76" s="127">
        <v>718</v>
      </c>
      <c r="AE76" s="118">
        <v>3042</v>
      </c>
      <c r="AF76" s="118">
        <v>0</v>
      </c>
      <c r="AG76" s="128">
        <v>0</v>
      </c>
      <c r="AH76" s="122">
        <v>3167</v>
      </c>
    </row>
    <row r="77" spans="1:34" s="2" customFormat="1" x14ac:dyDescent="0.25">
      <c r="A77" s="17" t="s">
        <v>36</v>
      </c>
      <c r="B77" s="90" t="s">
        <v>262</v>
      </c>
      <c r="C77" s="8">
        <f t="shared" si="7"/>
        <v>1986081.376585013</v>
      </c>
      <c r="D77" s="7">
        <f t="shared" si="8"/>
        <v>5714307.3540000003</v>
      </c>
      <c r="E77" s="7">
        <f t="shared" si="9"/>
        <v>723865</v>
      </c>
      <c r="F77" s="7">
        <f t="shared" si="10"/>
        <v>5752817</v>
      </c>
      <c r="G77" s="7">
        <f t="shared" si="11"/>
        <v>2470537.4000000004</v>
      </c>
      <c r="H77" s="149">
        <f t="shared" si="12"/>
        <v>2542405.6</v>
      </c>
      <c r="I77" s="157">
        <f t="shared" si="13"/>
        <v>2.5032448377581121E-2</v>
      </c>
      <c r="J77" s="153">
        <v>3650109</v>
      </c>
      <c r="K77" s="127">
        <v>0</v>
      </c>
      <c r="L77" s="118">
        <v>3542658</v>
      </c>
      <c r="M77" s="128">
        <v>0</v>
      </c>
      <c r="N77" s="127">
        <v>0</v>
      </c>
      <c r="O77" s="118">
        <v>0</v>
      </c>
      <c r="P77" s="120">
        <v>0</v>
      </c>
      <c r="Q77" s="118">
        <v>0</v>
      </c>
      <c r="R77" s="118">
        <v>5</v>
      </c>
      <c r="S77" s="118">
        <v>660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28">
        <v>0</v>
      </c>
      <c r="Z77" s="127">
        <v>342</v>
      </c>
      <c r="AA77" s="120">
        <v>299</v>
      </c>
      <c r="AB77" s="118">
        <v>37</v>
      </c>
      <c r="AC77" s="119">
        <v>0</v>
      </c>
      <c r="AD77" s="127">
        <v>1214</v>
      </c>
      <c r="AE77" s="118">
        <v>11894</v>
      </c>
      <c r="AF77" s="118">
        <v>1605</v>
      </c>
      <c r="AG77" s="128">
        <v>0</v>
      </c>
      <c r="AH77" s="122">
        <v>16972</v>
      </c>
    </row>
    <row r="78" spans="1:34" s="2" customFormat="1" x14ac:dyDescent="0.25">
      <c r="A78" s="17" t="s">
        <v>263</v>
      </c>
      <c r="B78" s="90" t="s">
        <v>264</v>
      </c>
      <c r="C78" s="8">
        <f t="shared" si="7"/>
        <v>991956.93242003873</v>
      </c>
      <c r="D78" s="7">
        <f t="shared" si="8"/>
        <v>2801862.145</v>
      </c>
      <c r="E78" s="7">
        <f t="shared" si="9"/>
        <v>490788</v>
      </c>
      <c r="F78" s="7">
        <f t="shared" si="10"/>
        <v>1123317</v>
      </c>
      <c r="G78" s="7">
        <f t="shared" si="11"/>
        <v>700571.8</v>
      </c>
      <c r="H78" s="149">
        <f t="shared" si="12"/>
        <v>934152.8</v>
      </c>
      <c r="I78" s="157">
        <f t="shared" si="13"/>
        <v>3.9719745222929939E-2</v>
      </c>
      <c r="J78" s="153">
        <v>1733158</v>
      </c>
      <c r="K78" s="127">
        <v>0</v>
      </c>
      <c r="L78" s="118">
        <v>1353907</v>
      </c>
      <c r="M78" s="128">
        <v>348371</v>
      </c>
      <c r="N78" s="127">
        <v>0</v>
      </c>
      <c r="O78" s="118">
        <v>0</v>
      </c>
      <c r="P78" s="120">
        <v>1</v>
      </c>
      <c r="Q78" s="118">
        <v>58</v>
      </c>
      <c r="R78" s="118">
        <v>3</v>
      </c>
      <c r="S78" s="118">
        <v>480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28">
        <v>0</v>
      </c>
      <c r="Z78" s="127">
        <v>33</v>
      </c>
      <c r="AA78" s="120">
        <v>118</v>
      </c>
      <c r="AB78" s="118">
        <v>6</v>
      </c>
      <c r="AC78" s="119">
        <v>0</v>
      </c>
      <c r="AD78" s="127">
        <v>208</v>
      </c>
      <c r="AE78" s="118">
        <v>4048</v>
      </c>
      <c r="AF78" s="118">
        <v>285</v>
      </c>
      <c r="AG78" s="128">
        <v>0</v>
      </c>
      <c r="AH78" s="122">
        <v>6236</v>
      </c>
    </row>
    <row r="79" spans="1:34" s="2" customFormat="1" x14ac:dyDescent="0.25">
      <c r="A79" s="17" t="s">
        <v>265</v>
      </c>
      <c r="B79" s="90" t="s">
        <v>266</v>
      </c>
      <c r="C79" s="8">
        <f t="shared" si="7"/>
        <v>218263.34676445721</v>
      </c>
      <c r="D79" s="7">
        <f t="shared" si="8"/>
        <v>550887.89</v>
      </c>
      <c r="E79" s="7">
        <f t="shared" si="9"/>
        <v>425436</v>
      </c>
      <c r="F79" s="7">
        <f t="shared" si="10"/>
        <v>283290</v>
      </c>
      <c r="G79" s="7">
        <f t="shared" si="11"/>
        <v>351993.60000000003</v>
      </c>
      <c r="H79" s="149">
        <f t="shared" si="12"/>
        <v>372702.4</v>
      </c>
      <c r="I79" s="157">
        <f t="shared" si="13"/>
        <v>3.554285714285714E-2</v>
      </c>
      <c r="J79" s="153">
        <v>341530</v>
      </c>
      <c r="K79" s="127">
        <v>0</v>
      </c>
      <c r="L79" s="118">
        <v>341530</v>
      </c>
      <c r="M79" s="128">
        <v>0</v>
      </c>
      <c r="N79" s="127">
        <v>12</v>
      </c>
      <c r="O79" s="118">
        <v>336</v>
      </c>
      <c r="P79" s="120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28">
        <v>0</v>
      </c>
      <c r="Z79" s="127">
        <v>6</v>
      </c>
      <c r="AA79" s="120">
        <v>64</v>
      </c>
      <c r="AB79" s="118">
        <v>0</v>
      </c>
      <c r="AC79" s="119">
        <v>0</v>
      </c>
      <c r="AD79" s="127">
        <v>26</v>
      </c>
      <c r="AE79" s="118">
        <v>2566</v>
      </c>
      <c r="AF79" s="118">
        <v>0</v>
      </c>
      <c r="AG79" s="128">
        <v>0</v>
      </c>
      <c r="AH79" s="122">
        <v>2488</v>
      </c>
    </row>
    <row r="80" spans="1:34" s="2" customFormat="1" x14ac:dyDescent="0.25">
      <c r="A80" s="17" t="s">
        <v>267</v>
      </c>
      <c r="B80" s="90" t="s">
        <v>268</v>
      </c>
      <c r="C80" s="8">
        <f t="shared" si="7"/>
        <v>242723.18338017221</v>
      </c>
      <c r="D80" s="7">
        <f t="shared" si="8"/>
        <v>554489.71900000004</v>
      </c>
      <c r="E80" s="7">
        <f t="shared" si="9"/>
        <v>70906</v>
      </c>
      <c r="F80" s="7">
        <f t="shared" si="10"/>
        <v>2466870</v>
      </c>
      <c r="G80" s="7">
        <f t="shared" si="11"/>
        <v>995672.79999999993</v>
      </c>
      <c r="H80" s="149">
        <f t="shared" si="12"/>
        <v>414646.4</v>
      </c>
      <c r="I80" s="157">
        <f t="shared" si="13"/>
        <v>4.1313432835820896E-2</v>
      </c>
      <c r="J80" s="153">
        <v>382754</v>
      </c>
      <c r="K80" s="127">
        <v>0</v>
      </c>
      <c r="L80" s="118">
        <v>343763</v>
      </c>
      <c r="M80" s="128">
        <v>0</v>
      </c>
      <c r="N80" s="127">
        <v>2</v>
      </c>
      <c r="O80" s="118">
        <v>30</v>
      </c>
      <c r="P80" s="120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28">
        <v>0</v>
      </c>
      <c r="Z80" s="127">
        <v>8</v>
      </c>
      <c r="AA80" s="120">
        <v>32</v>
      </c>
      <c r="AB80" s="118">
        <v>27</v>
      </c>
      <c r="AC80" s="119">
        <v>0</v>
      </c>
      <c r="AD80" s="127">
        <v>138</v>
      </c>
      <c r="AE80" s="118">
        <v>554</v>
      </c>
      <c r="AF80" s="118">
        <v>2096</v>
      </c>
      <c r="AG80" s="128">
        <v>0</v>
      </c>
      <c r="AH80" s="122">
        <v>2768</v>
      </c>
    </row>
    <row r="81" spans="1:34" s="2" customFormat="1" x14ac:dyDescent="0.25">
      <c r="A81" s="17" t="s">
        <v>269</v>
      </c>
      <c r="B81" s="90" t="s">
        <v>270</v>
      </c>
      <c r="C81" s="8">
        <f t="shared" si="7"/>
        <v>2002539.6729430235</v>
      </c>
      <c r="D81" s="7">
        <f t="shared" si="8"/>
        <v>5921264.04</v>
      </c>
      <c r="E81" s="7">
        <f t="shared" si="9"/>
        <v>410999</v>
      </c>
      <c r="F81" s="7">
        <f t="shared" si="10"/>
        <v>4659029</v>
      </c>
      <c r="G81" s="7">
        <f t="shared" si="11"/>
        <v>2868258.6</v>
      </c>
      <c r="H81" s="149">
        <f t="shared" si="12"/>
        <v>2956153.2</v>
      </c>
      <c r="I81" s="157">
        <f t="shared" si="13"/>
        <v>2.2173033707865168E-2</v>
      </c>
      <c r="J81" s="153">
        <v>3682570</v>
      </c>
      <c r="K81" s="127">
        <v>0</v>
      </c>
      <c r="L81" s="118">
        <v>1566686</v>
      </c>
      <c r="M81" s="128">
        <v>1913303</v>
      </c>
      <c r="N81" s="127">
        <v>10</v>
      </c>
      <c r="O81" s="118">
        <v>250</v>
      </c>
      <c r="P81" s="120">
        <v>1</v>
      </c>
      <c r="Q81" s="118">
        <v>60</v>
      </c>
      <c r="R81" s="118">
        <v>0</v>
      </c>
      <c r="S81" s="118">
        <v>0</v>
      </c>
      <c r="T81" s="118">
        <v>0</v>
      </c>
      <c r="U81" s="118">
        <v>0</v>
      </c>
      <c r="V81" s="118">
        <v>0</v>
      </c>
      <c r="W81" s="118">
        <v>0</v>
      </c>
      <c r="X81" s="118">
        <v>0</v>
      </c>
      <c r="Y81" s="128">
        <v>0</v>
      </c>
      <c r="Z81" s="127">
        <v>609</v>
      </c>
      <c r="AA81" s="120">
        <v>268</v>
      </c>
      <c r="AB81" s="118">
        <v>13</v>
      </c>
      <c r="AC81" s="119">
        <v>0</v>
      </c>
      <c r="AD81" s="127">
        <v>6591</v>
      </c>
      <c r="AE81" s="118">
        <v>12300</v>
      </c>
      <c r="AF81" s="118">
        <v>704</v>
      </c>
      <c r="AG81" s="128">
        <v>0</v>
      </c>
      <c r="AH81" s="122">
        <v>19734</v>
      </c>
    </row>
    <row r="82" spans="1:34" s="2" customFormat="1" x14ac:dyDescent="0.25">
      <c r="A82" s="17" t="s">
        <v>271</v>
      </c>
      <c r="B82" s="90" t="s">
        <v>272</v>
      </c>
      <c r="C82" s="8">
        <f t="shared" si="7"/>
        <v>196120.72546490925</v>
      </c>
      <c r="D82" s="7">
        <f t="shared" si="8"/>
        <v>458092</v>
      </c>
      <c r="E82" s="7">
        <f t="shared" si="9"/>
        <v>525720</v>
      </c>
      <c r="F82" s="7">
        <f t="shared" si="10"/>
        <v>352089</v>
      </c>
      <c r="G82" s="7">
        <f t="shared" si="11"/>
        <v>407264.2</v>
      </c>
      <c r="H82" s="149">
        <f t="shared" si="12"/>
        <v>1171885.4000000001</v>
      </c>
      <c r="I82" s="157">
        <f t="shared" si="13"/>
        <v>8.9919540229885062E-2</v>
      </c>
      <c r="J82" s="153">
        <v>304500</v>
      </c>
      <c r="K82" s="127">
        <v>0</v>
      </c>
      <c r="L82" s="118">
        <v>284000</v>
      </c>
      <c r="M82" s="128">
        <v>0</v>
      </c>
      <c r="N82" s="127">
        <v>0</v>
      </c>
      <c r="O82" s="118">
        <v>0</v>
      </c>
      <c r="P82" s="120">
        <v>1</v>
      </c>
      <c r="Q82" s="118">
        <v>90</v>
      </c>
      <c r="R82" s="118">
        <v>0</v>
      </c>
      <c r="S82" s="118">
        <v>0</v>
      </c>
      <c r="T82" s="118">
        <v>1</v>
      </c>
      <c r="U82" s="118">
        <v>360</v>
      </c>
      <c r="V82" s="118">
        <v>0</v>
      </c>
      <c r="W82" s="118">
        <v>0</v>
      </c>
      <c r="X82" s="118">
        <v>1</v>
      </c>
      <c r="Y82" s="128">
        <v>660</v>
      </c>
      <c r="Z82" s="127">
        <v>3</v>
      </c>
      <c r="AA82" s="120">
        <v>84</v>
      </c>
      <c r="AB82" s="118">
        <v>0</v>
      </c>
      <c r="AC82" s="119">
        <v>0</v>
      </c>
      <c r="AD82" s="127">
        <v>83</v>
      </c>
      <c r="AE82" s="118">
        <v>2916</v>
      </c>
      <c r="AF82" s="118">
        <v>0</v>
      </c>
      <c r="AG82" s="128">
        <v>0</v>
      </c>
      <c r="AH82" s="122">
        <v>7823</v>
      </c>
    </row>
    <row r="83" spans="1:34" s="2" customFormat="1" x14ac:dyDescent="0.25">
      <c r="A83" s="17" t="s">
        <v>117</v>
      </c>
      <c r="B83" s="90" t="s">
        <v>273</v>
      </c>
      <c r="C83" s="8">
        <f t="shared" si="7"/>
        <v>360960.81126531912</v>
      </c>
      <c r="D83" s="7">
        <f t="shared" si="8"/>
        <v>917474.4</v>
      </c>
      <c r="E83" s="7">
        <f t="shared" si="9"/>
        <v>323624</v>
      </c>
      <c r="F83" s="7">
        <f t="shared" si="10"/>
        <v>2927845</v>
      </c>
      <c r="G83" s="7">
        <f t="shared" si="11"/>
        <v>1047765.4000000001</v>
      </c>
      <c r="H83" s="149">
        <f t="shared" si="12"/>
        <v>881123.60000000009</v>
      </c>
      <c r="I83" s="157">
        <f t="shared" si="13"/>
        <v>2.9263681592039802E-2</v>
      </c>
      <c r="J83" s="153">
        <v>585900</v>
      </c>
      <c r="K83" s="127">
        <v>0</v>
      </c>
      <c r="L83" s="118">
        <v>568800</v>
      </c>
      <c r="M83" s="128">
        <v>0</v>
      </c>
      <c r="N83" s="127">
        <v>0</v>
      </c>
      <c r="O83" s="118">
        <v>0</v>
      </c>
      <c r="P83" s="120">
        <v>0</v>
      </c>
      <c r="Q83" s="118">
        <v>0</v>
      </c>
      <c r="R83" s="118">
        <v>1</v>
      </c>
      <c r="S83" s="118">
        <v>800</v>
      </c>
      <c r="T83" s="118">
        <v>1</v>
      </c>
      <c r="U83" s="118">
        <v>700</v>
      </c>
      <c r="V83" s="118">
        <v>0</v>
      </c>
      <c r="W83" s="118">
        <v>0</v>
      </c>
      <c r="X83" s="118">
        <v>0</v>
      </c>
      <c r="Y83" s="128">
        <v>0</v>
      </c>
      <c r="Z83" s="127">
        <v>13</v>
      </c>
      <c r="AA83" s="120">
        <v>162</v>
      </c>
      <c r="AB83" s="118">
        <v>26</v>
      </c>
      <c r="AC83" s="119">
        <v>0</v>
      </c>
      <c r="AD83" s="127">
        <v>359</v>
      </c>
      <c r="AE83" s="118">
        <v>5196</v>
      </c>
      <c r="AF83" s="118">
        <v>682</v>
      </c>
      <c r="AG83" s="128">
        <v>0</v>
      </c>
      <c r="AH83" s="122">
        <v>5882</v>
      </c>
    </row>
    <row r="84" spans="1:34" x14ac:dyDescent="0.25">
      <c r="A84" s="17" t="s">
        <v>274</v>
      </c>
      <c r="B84" s="90" t="s">
        <v>275</v>
      </c>
      <c r="C84" s="8">
        <f t="shared" si="7"/>
        <v>318565.27445200505</v>
      </c>
      <c r="D84" s="7">
        <f t="shared" si="8"/>
        <v>803274</v>
      </c>
      <c r="E84" s="7">
        <f t="shared" si="9"/>
        <v>70906</v>
      </c>
      <c r="F84" s="7">
        <f t="shared" si="10"/>
        <v>356136</v>
      </c>
      <c r="G84" s="7">
        <f t="shared" si="11"/>
        <v>585162.20000000007</v>
      </c>
      <c r="H84" s="149">
        <f t="shared" si="12"/>
        <v>718141.20000000007</v>
      </c>
      <c r="I84" s="157">
        <f t="shared" si="13"/>
        <v>5.4477272727272728E-2</v>
      </c>
      <c r="J84" s="153">
        <v>512400</v>
      </c>
      <c r="K84" s="127">
        <v>0</v>
      </c>
      <c r="L84" s="118">
        <v>498000</v>
      </c>
      <c r="M84" s="128">
        <v>0</v>
      </c>
      <c r="N84" s="127">
        <v>2</v>
      </c>
      <c r="O84" s="118">
        <v>50</v>
      </c>
      <c r="P84" s="120">
        <v>0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>
        <v>0</v>
      </c>
      <c r="Y84" s="128">
        <v>0</v>
      </c>
      <c r="Z84" s="127">
        <v>22</v>
      </c>
      <c r="AA84" s="120">
        <v>66</v>
      </c>
      <c r="AB84" s="118">
        <v>0</v>
      </c>
      <c r="AC84" s="119">
        <v>0</v>
      </c>
      <c r="AD84" s="127">
        <v>808</v>
      </c>
      <c r="AE84" s="118">
        <v>3501</v>
      </c>
      <c r="AF84" s="118">
        <v>0</v>
      </c>
      <c r="AG84" s="128">
        <v>0</v>
      </c>
      <c r="AH84" s="122">
        <v>4794</v>
      </c>
    </row>
    <row r="85" spans="1:34" x14ac:dyDescent="0.25">
      <c r="A85" s="17" t="s">
        <v>276</v>
      </c>
      <c r="B85" s="90" t="s">
        <v>277</v>
      </c>
      <c r="C85" s="8">
        <f t="shared" si="7"/>
        <v>0</v>
      </c>
      <c r="D85" s="7">
        <f t="shared" si="8"/>
        <v>0</v>
      </c>
      <c r="E85" s="7">
        <f t="shared" si="9"/>
        <v>380093</v>
      </c>
      <c r="F85" s="7">
        <f t="shared" si="10"/>
        <v>2177235</v>
      </c>
      <c r="G85" s="7">
        <f t="shared" si="11"/>
        <v>855549.8</v>
      </c>
      <c r="H85" s="149">
        <f t="shared" si="12"/>
        <v>792591.8</v>
      </c>
      <c r="I85" s="157">
        <f t="shared" si="13"/>
        <v>4.5612068965517241E-2</v>
      </c>
      <c r="J85" s="153">
        <v>0</v>
      </c>
      <c r="K85" s="127">
        <v>0</v>
      </c>
      <c r="L85" s="118">
        <v>0</v>
      </c>
      <c r="M85" s="128">
        <v>0</v>
      </c>
      <c r="N85" s="127">
        <v>0</v>
      </c>
      <c r="O85" s="118">
        <v>0</v>
      </c>
      <c r="P85" s="120">
        <v>1</v>
      </c>
      <c r="Q85" s="118">
        <v>100</v>
      </c>
      <c r="R85" s="118">
        <v>1</v>
      </c>
      <c r="S85" s="118">
        <v>200</v>
      </c>
      <c r="T85" s="118">
        <v>0</v>
      </c>
      <c r="U85" s="118">
        <v>0</v>
      </c>
      <c r="V85" s="118">
        <v>1</v>
      </c>
      <c r="W85" s="118">
        <v>600</v>
      </c>
      <c r="X85" s="118">
        <v>0</v>
      </c>
      <c r="Y85" s="128">
        <v>0</v>
      </c>
      <c r="Z85" s="127">
        <v>7</v>
      </c>
      <c r="AA85" s="120">
        <v>88</v>
      </c>
      <c r="AB85" s="118">
        <v>21</v>
      </c>
      <c r="AC85" s="119">
        <v>0</v>
      </c>
      <c r="AD85" s="127">
        <v>138</v>
      </c>
      <c r="AE85" s="118">
        <v>4255</v>
      </c>
      <c r="AF85" s="118">
        <v>602</v>
      </c>
      <c r="AG85" s="128">
        <v>0</v>
      </c>
      <c r="AH85" s="122">
        <v>5291</v>
      </c>
    </row>
    <row r="86" spans="1:34" x14ac:dyDescent="0.25">
      <c r="A86" s="17" t="s">
        <v>118</v>
      </c>
      <c r="B86" s="90" t="s">
        <v>278</v>
      </c>
      <c r="C86" s="8">
        <f t="shared" si="7"/>
        <v>360443.96160646674</v>
      </c>
      <c r="D86" s="7">
        <f t="shared" si="8"/>
        <v>1007632</v>
      </c>
      <c r="E86" s="7">
        <f t="shared" si="9"/>
        <v>402484</v>
      </c>
      <c r="F86" s="7">
        <f t="shared" si="10"/>
        <v>2911274</v>
      </c>
      <c r="G86" s="7">
        <f t="shared" si="11"/>
        <v>1663078.6</v>
      </c>
      <c r="H86" s="149">
        <f t="shared" si="12"/>
        <v>1496352.2000000002</v>
      </c>
      <c r="I86" s="157">
        <f t="shared" si="13"/>
        <v>4.6032258064516128E-2</v>
      </c>
      <c r="J86" s="153">
        <v>585000</v>
      </c>
      <c r="K86" s="127">
        <v>0</v>
      </c>
      <c r="L86" s="118">
        <v>0</v>
      </c>
      <c r="M86" s="128">
        <v>568000</v>
      </c>
      <c r="N86" s="127">
        <v>0</v>
      </c>
      <c r="O86" s="118">
        <v>0</v>
      </c>
      <c r="P86" s="120">
        <v>2</v>
      </c>
      <c r="Q86" s="118">
        <v>150</v>
      </c>
      <c r="R86" s="118">
        <v>2</v>
      </c>
      <c r="S86" s="118">
        <v>300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28">
        <v>0</v>
      </c>
      <c r="Z86" s="127">
        <v>7</v>
      </c>
      <c r="AA86" s="120">
        <v>185</v>
      </c>
      <c r="AB86" s="118">
        <v>25</v>
      </c>
      <c r="AC86" s="119">
        <v>0</v>
      </c>
      <c r="AD86" s="127">
        <v>117</v>
      </c>
      <c r="AE86" s="118">
        <v>9044</v>
      </c>
      <c r="AF86" s="118">
        <v>974</v>
      </c>
      <c r="AG86" s="128">
        <v>0</v>
      </c>
      <c r="AH86" s="122">
        <v>9989</v>
      </c>
    </row>
    <row r="87" spans="1:34" x14ac:dyDescent="0.25">
      <c r="A87" s="17" t="s">
        <v>119</v>
      </c>
      <c r="B87" s="90" t="s">
        <v>279</v>
      </c>
      <c r="C87" s="8">
        <f t="shared" si="7"/>
        <v>23366747.883498438</v>
      </c>
      <c r="D87" s="7">
        <f t="shared" si="8"/>
        <v>83152112.852000013</v>
      </c>
      <c r="E87" s="7">
        <f t="shared" si="9"/>
        <v>2995669</v>
      </c>
      <c r="F87" s="7">
        <f t="shared" si="10"/>
        <v>50389748.25</v>
      </c>
      <c r="G87" s="7">
        <f t="shared" si="11"/>
        <v>15795830.199999999</v>
      </c>
      <c r="H87" s="149">
        <f t="shared" si="12"/>
        <v>5234012</v>
      </c>
      <c r="I87" s="157">
        <f t="shared" si="13"/>
        <v>3.0908865731321102E-2</v>
      </c>
      <c r="J87" s="153">
        <v>51392100</v>
      </c>
      <c r="K87" s="127">
        <v>0</v>
      </c>
      <c r="L87" s="118">
        <v>46605868</v>
      </c>
      <c r="M87" s="128">
        <v>4496532</v>
      </c>
      <c r="N87" s="127">
        <v>0</v>
      </c>
      <c r="O87" s="118">
        <v>0</v>
      </c>
      <c r="P87" s="120">
        <v>1</v>
      </c>
      <c r="Q87" s="118">
        <v>57</v>
      </c>
      <c r="R87" s="118">
        <v>0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>
        <v>4</v>
      </c>
      <c r="Y87" s="128">
        <v>6680</v>
      </c>
      <c r="Z87" s="127">
        <v>92.17</v>
      </c>
      <c r="AA87" s="120">
        <v>474.88</v>
      </c>
      <c r="AB87" s="118">
        <v>367.25</v>
      </c>
      <c r="AC87" s="119">
        <v>196.12</v>
      </c>
      <c r="AD87" s="127">
        <v>63</v>
      </c>
      <c r="AE87" s="118">
        <v>13043</v>
      </c>
      <c r="AF87" s="118">
        <v>11395</v>
      </c>
      <c r="AG87" s="128">
        <v>7544</v>
      </c>
      <c r="AH87" s="122">
        <v>34940</v>
      </c>
    </row>
    <row r="88" spans="1:34" x14ac:dyDescent="0.25">
      <c r="A88" s="17" t="s">
        <v>120</v>
      </c>
      <c r="B88" s="90" t="s">
        <v>280</v>
      </c>
      <c r="C88" s="8">
        <f t="shared" si="7"/>
        <v>401514.47364704794</v>
      </c>
      <c r="D88" s="7">
        <f t="shared" si="8"/>
        <v>1029094</v>
      </c>
      <c r="E88" s="7">
        <f t="shared" si="9"/>
        <v>502475</v>
      </c>
      <c r="F88" s="7">
        <f t="shared" si="10"/>
        <v>2453580</v>
      </c>
      <c r="G88" s="7">
        <f t="shared" si="11"/>
        <v>1102350.4000000001</v>
      </c>
      <c r="H88" s="149">
        <f t="shared" si="12"/>
        <v>1064928.2000000002</v>
      </c>
      <c r="I88" s="157">
        <f t="shared" si="13"/>
        <v>5.7330645161290321E-2</v>
      </c>
      <c r="J88" s="153">
        <v>656800</v>
      </c>
      <c r="K88" s="127">
        <v>0</v>
      </c>
      <c r="L88" s="118">
        <v>638000</v>
      </c>
      <c r="M88" s="128">
        <v>0</v>
      </c>
      <c r="N88" s="127">
        <v>0</v>
      </c>
      <c r="O88" s="118">
        <v>0</v>
      </c>
      <c r="P88" s="120">
        <v>0</v>
      </c>
      <c r="Q88" s="118">
        <v>0</v>
      </c>
      <c r="R88" s="118">
        <v>1</v>
      </c>
      <c r="S88" s="118">
        <v>200</v>
      </c>
      <c r="T88" s="118">
        <v>1</v>
      </c>
      <c r="U88" s="118">
        <v>250</v>
      </c>
      <c r="V88" s="118">
        <v>1</v>
      </c>
      <c r="W88" s="118">
        <v>500</v>
      </c>
      <c r="X88" s="118">
        <v>0</v>
      </c>
      <c r="Y88" s="128">
        <v>0</v>
      </c>
      <c r="Z88" s="127">
        <v>0</v>
      </c>
      <c r="AA88" s="120">
        <v>100</v>
      </c>
      <c r="AB88" s="118">
        <v>24</v>
      </c>
      <c r="AC88" s="119">
        <v>0</v>
      </c>
      <c r="AD88" s="127">
        <v>0</v>
      </c>
      <c r="AE88" s="118">
        <v>5222</v>
      </c>
      <c r="AF88" s="118">
        <v>914</v>
      </c>
      <c r="AG88" s="128">
        <v>0</v>
      </c>
      <c r="AH88" s="122">
        <v>7109</v>
      </c>
    </row>
    <row r="89" spans="1:34" x14ac:dyDescent="0.25">
      <c r="A89" s="17" t="s">
        <v>281</v>
      </c>
      <c r="B89" s="90" t="s">
        <v>282</v>
      </c>
      <c r="C89" s="8">
        <f t="shared" si="7"/>
        <v>0</v>
      </c>
      <c r="D89" s="7">
        <f t="shared" si="8"/>
        <v>0</v>
      </c>
      <c r="E89" s="7">
        <f t="shared" si="9"/>
        <v>0</v>
      </c>
      <c r="F89" s="7">
        <f t="shared" si="10"/>
        <v>446319</v>
      </c>
      <c r="G89" s="7">
        <f t="shared" si="11"/>
        <v>323204</v>
      </c>
      <c r="H89" s="149">
        <f t="shared" si="12"/>
        <v>360119.2</v>
      </c>
      <c r="I89" s="157">
        <f t="shared" si="13"/>
        <v>4.8079999999999998E-2</v>
      </c>
      <c r="J89" s="153">
        <v>0</v>
      </c>
      <c r="K89" s="127">
        <v>0</v>
      </c>
      <c r="L89" s="118">
        <v>0</v>
      </c>
      <c r="M89" s="128">
        <v>0</v>
      </c>
      <c r="N89" s="127">
        <v>0</v>
      </c>
      <c r="O89" s="118">
        <v>0</v>
      </c>
      <c r="P89" s="120">
        <v>0</v>
      </c>
      <c r="Q89" s="118">
        <v>0</v>
      </c>
      <c r="R89" s="118">
        <v>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>
        <v>0</v>
      </c>
      <c r="Y89" s="128">
        <v>0</v>
      </c>
      <c r="Z89" s="127">
        <v>7</v>
      </c>
      <c r="AA89" s="120">
        <v>40</v>
      </c>
      <c r="AB89" s="118">
        <v>3</v>
      </c>
      <c r="AC89" s="119">
        <v>0</v>
      </c>
      <c r="AD89" s="127">
        <v>2060</v>
      </c>
      <c r="AE89" s="118">
        <v>320</v>
      </c>
      <c r="AF89" s="118">
        <v>0</v>
      </c>
      <c r="AG89" s="128">
        <v>0</v>
      </c>
      <c r="AH89" s="122">
        <v>2404</v>
      </c>
    </row>
    <row r="90" spans="1:34" x14ac:dyDescent="0.25">
      <c r="A90" s="17" t="s">
        <v>283</v>
      </c>
      <c r="B90" s="90" t="s">
        <v>284</v>
      </c>
      <c r="C90" s="8">
        <f t="shared" si="7"/>
        <v>1294653.8338125788</v>
      </c>
      <c r="D90" s="7">
        <f t="shared" si="8"/>
        <v>3653938.5779999997</v>
      </c>
      <c r="E90" s="7">
        <f t="shared" si="9"/>
        <v>35453</v>
      </c>
      <c r="F90" s="7">
        <f t="shared" si="10"/>
        <v>2012674</v>
      </c>
      <c r="G90" s="7">
        <f t="shared" si="11"/>
        <v>1079558.6000000001</v>
      </c>
      <c r="H90" s="149">
        <f t="shared" si="12"/>
        <v>1171885.4000000001</v>
      </c>
      <c r="I90" s="157">
        <f t="shared" si="13"/>
        <v>3.6217592592592593E-2</v>
      </c>
      <c r="J90" s="153">
        <v>2306346</v>
      </c>
      <c r="K90" s="127">
        <v>0</v>
      </c>
      <c r="L90" s="118">
        <v>2265306</v>
      </c>
      <c r="M90" s="128">
        <v>0</v>
      </c>
      <c r="N90" s="127">
        <v>1</v>
      </c>
      <c r="O90" s="118">
        <v>30</v>
      </c>
      <c r="P90" s="120">
        <v>0</v>
      </c>
      <c r="Q90" s="118">
        <v>0</v>
      </c>
      <c r="R90" s="118">
        <v>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>
        <v>0</v>
      </c>
      <c r="Y90" s="128">
        <v>0</v>
      </c>
      <c r="Z90" s="127">
        <v>71</v>
      </c>
      <c r="AA90" s="120">
        <v>131</v>
      </c>
      <c r="AB90" s="118">
        <v>14</v>
      </c>
      <c r="AC90" s="119">
        <v>0</v>
      </c>
      <c r="AD90" s="127">
        <v>533</v>
      </c>
      <c r="AE90" s="118">
        <v>4952</v>
      </c>
      <c r="AF90" s="118">
        <v>778</v>
      </c>
      <c r="AG90" s="128">
        <v>0</v>
      </c>
      <c r="AH90" s="122">
        <v>7823</v>
      </c>
    </row>
    <row r="91" spans="1:34" x14ac:dyDescent="0.25">
      <c r="A91" s="17" t="s">
        <v>285</v>
      </c>
      <c r="B91" s="90" t="s">
        <v>286</v>
      </c>
      <c r="C91" s="8">
        <f t="shared" si="7"/>
        <v>148275.32933356633</v>
      </c>
      <c r="D91" s="7">
        <f t="shared" si="8"/>
        <v>326669.59899999999</v>
      </c>
      <c r="E91" s="7">
        <f t="shared" si="9"/>
        <v>0</v>
      </c>
      <c r="F91" s="7">
        <f t="shared" si="10"/>
        <v>129504</v>
      </c>
      <c r="G91" s="7">
        <f t="shared" si="11"/>
        <v>318179.40000000002</v>
      </c>
      <c r="H91" s="149">
        <f t="shared" si="12"/>
        <v>354876.2</v>
      </c>
      <c r="I91" s="157">
        <f t="shared" si="13"/>
        <v>7.4031250000000007E-2</v>
      </c>
      <c r="J91" s="153">
        <v>225572</v>
      </c>
      <c r="K91" s="127">
        <v>0</v>
      </c>
      <c r="L91" s="118">
        <v>202523</v>
      </c>
      <c r="M91" s="128">
        <v>0</v>
      </c>
      <c r="N91" s="127">
        <v>0</v>
      </c>
      <c r="O91" s="118">
        <v>0</v>
      </c>
      <c r="P91" s="120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28">
        <v>0</v>
      </c>
      <c r="Z91" s="127">
        <v>0</v>
      </c>
      <c r="AA91" s="120">
        <v>32</v>
      </c>
      <c r="AB91" s="118">
        <v>0</v>
      </c>
      <c r="AC91" s="119">
        <v>0</v>
      </c>
      <c r="AD91" s="127">
        <v>0</v>
      </c>
      <c r="AE91" s="118">
        <v>2343</v>
      </c>
      <c r="AF91" s="118">
        <v>0</v>
      </c>
      <c r="AG91" s="128">
        <v>0</v>
      </c>
      <c r="AH91" s="122">
        <v>2369</v>
      </c>
    </row>
    <row r="92" spans="1:34" x14ac:dyDescent="0.25">
      <c r="A92" s="17" t="s">
        <v>287</v>
      </c>
      <c r="B92" s="90" t="s">
        <v>288</v>
      </c>
      <c r="C92" s="8">
        <f t="shared" si="7"/>
        <v>173503.30691937378</v>
      </c>
      <c r="D92" s="7">
        <f t="shared" si="8"/>
        <v>348419.29100000003</v>
      </c>
      <c r="E92" s="7">
        <f t="shared" si="9"/>
        <v>70906</v>
      </c>
      <c r="F92" s="7">
        <f t="shared" si="10"/>
        <v>198303</v>
      </c>
      <c r="G92" s="7">
        <f t="shared" si="11"/>
        <v>257612.60000000003</v>
      </c>
      <c r="H92" s="149">
        <f t="shared" si="12"/>
        <v>284170.60000000003</v>
      </c>
      <c r="I92" s="157">
        <f t="shared" si="13"/>
        <v>3.8714285714285715E-2</v>
      </c>
      <c r="J92" s="153">
        <v>266990</v>
      </c>
      <c r="K92" s="127">
        <v>0</v>
      </c>
      <c r="L92" s="118">
        <v>216007</v>
      </c>
      <c r="M92" s="128">
        <v>0</v>
      </c>
      <c r="N92" s="127">
        <v>2</v>
      </c>
      <c r="O92" s="118">
        <v>8</v>
      </c>
      <c r="P92" s="120">
        <v>0</v>
      </c>
      <c r="Q92" s="118">
        <v>0</v>
      </c>
      <c r="R92" s="118">
        <v>0</v>
      </c>
      <c r="S92" s="118">
        <v>0</v>
      </c>
      <c r="T92" s="118">
        <v>0</v>
      </c>
      <c r="U92" s="118">
        <v>0</v>
      </c>
      <c r="V92" s="118">
        <v>0</v>
      </c>
      <c r="W92" s="118">
        <v>0</v>
      </c>
      <c r="X92" s="118">
        <v>0</v>
      </c>
      <c r="Y92" s="128">
        <v>0</v>
      </c>
      <c r="Z92" s="127">
        <v>9</v>
      </c>
      <c r="AA92" s="120">
        <v>40</v>
      </c>
      <c r="AB92" s="118">
        <v>0</v>
      </c>
      <c r="AC92" s="119">
        <v>0</v>
      </c>
      <c r="AD92" s="127">
        <v>83</v>
      </c>
      <c r="AE92" s="118">
        <v>1814</v>
      </c>
      <c r="AF92" s="118">
        <v>0</v>
      </c>
      <c r="AG92" s="128">
        <v>0</v>
      </c>
      <c r="AH92" s="122">
        <v>1897</v>
      </c>
    </row>
    <row r="93" spans="1:34" x14ac:dyDescent="0.25">
      <c r="A93" s="17" t="s">
        <v>37</v>
      </c>
      <c r="B93" s="90" t="s">
        <v>289</v>
      </c>
      <c r="C93" s="8">
        <f t="shared" si="7"/>
        <v>2193480.7211311799</v>
      </c>
      <c r="D93" s="7">
        <f t="shared" si="8"/>
        <v>7737187.8600000003</v>
      </c>
      <c r="E93" s="7">
        <f t="shared" si="9"/>
        <v>1656850</v>
      </c>
      <c r="F93" s="7">
        <f t="shared" si="10"/>
        <v>5656455</v>
      </c>
      <c r="G93" s="7">
        <f t="shared" si="11"/>
        <v>2694184.4000000004</v>
      </c>
      <c r="H93" s="149">
        <f t="shared" si="12"/>
        <v>2227376.2000000002</v>
      </c>
      <c r="I93" s="157">
        <f t="shared" si="13"/>
        <v>2.4216612377850163E-2</v>
      </c>
      <c r="J93" s="153">
        <v>4060551</v>
      </c>
      <c r="K93" s="127">
        <v>0</v>
      </c>
      <c r="L93" s="118">
        <v>63542</v>
      </c>
      <c r="M93" s="128">
        <v>4303661</v>
      </c>
      <c r="N93" s="127">
        <v>7</v>
      </c>
      <c r="O93" s="118">
        <v>175</v>
      </c>
      <c r="P93" s="120">
        <v>3</v>
      </c>
      <c r="Q93" s="118">
        <v>225</v>
      </c>
      <c r="R93" s="118">
        <v>3</v>
      </c>
      <c r="S93" s="118">
        <v>450</v>
      </c>
      <c r="T93" s="118">
        <v>3</v>
      </c>
      <c r="U93" s="118">
        <v>900</v>
      </c>
      <c r="V93" s="118">
        <v>0</v>
      </c>
      <c r="W93" s="118">
        <v>0</v>
      </c>
      <c r="X93" s="118">
        <v>1</v>
      </c>
      <c r="Y93" s="128">
        <v>610</v>
      </c>
      <c r="Z93" s="127">
        <v>185</v>
      </c>
      <c r="AA93" s="120">
        <v>390</v>
      </c>
      <c r="AB93" s="118">
        <v>39</v>
      </c>
      <c r="AC93" s="119">
        <v>0</v>
      </c>
      <c r="AD93" s="127">
        <v>1170</v>
      </c>
      <c r="AE93" s="118">
        <v>10870</v>
      </c>
      <c r="AF93" s="118">
        <v>2462</v>
      </c>
      <c r="AG93" s="128">
        <v>0</v>
      </c>
      <c r="AH93" s="122">
        <v>14869</v>
      </c>
    </row>
    <row r="94" spans="1:34" x14ac:dyDescent="0.25">
      <c r="A94" s="17" t="s">
        <v>290</v>
      </c>
      <c r="B94" s="90" t="s">
        <v>291</v>
      </c>
      <c r="C94" s="8">
        <f t="shared" si="7"/>
        <v>542435.00087898341</v>
      </c>
      <c r="D94" s="7">
        <f t="shared" si="8"/>
        <v>1450919.308</v>
      </c>
      <c r="E94" s="7">
        <f t="shared" si="9"/>
        <v>1047857</v>
      </c>
      <c r="F94" s="7">
        <f t="shared" si="10"/>
        <v>3029786</v>
      </c>
      <c r="G94" s="7">
        <f t="shared" si="11"/>
        <v>1197317.2000000002</v>
      </c>
      <c r="H94" s="149">
        <f t="shared" si="12"/>
        <v>1223716.2000000002</v>
      </c>
      <c r="I94" s="157">
        <f t="shared" si="13"/>
        <v>4.3919354838709679E-2</v>
      </c>
      <c r="J94" s="153">
        <v>906978</v>
      </c>
      <c r="K94" s="127">
        <v>0</v>
      </c>
      <c r="L94" s="118">
        <v>899516</v>
      </c>
      <c r="M94" s="128">
        <v>0</v>
      </c>
      <c r="N94" s="127">
        <v>1</v>
      </c>
      <c r="O94" s="118">
        <v>2</v>
      </c>
      <c r="P94" s="120">
        <v>0</v>
      </c>
      <c r="Q94" s="118">
        <v>0</v>
      </c>
      <c r="R94" s="118">
        <v>0</v>
      </c>
      <c r="S94" s="118">
        <v>0</v>
      </c>
      <c r="T94" s="118">
        <v>1</v>
      </c>
      <c r="U94" s="118">
        <v>376</v>
      </c>
      <c r="V94" s="118">
        <v>3</v>
      </c>
      <c r="W94" s="118">
        <v>1540</v>
      </c>
      <c r="X94" s="118">
        <v>1</v>
      </c>
      <c r="Y94" s="128">
        <v>675</v>
      </c>
      <c r="Z94" s="127">
        <v>19</v>
      </c>
      <c r="AA94" s="120">
        <v>139</v>
      </c>
      <c r="AB94" s="118">
        <v>28</v>
      </c>
      <c r="AC94" s="119">
        <v>0</v>
      </c>
      <c r="AD94" s="127">
        <v>145</v>
      </c>
      <c r="AE94" s="118">
        <v>5827</v>
      </c>
      <c r="AF94" s="118">
        <v>898</v>
      </c>
      <c r="AG94" s="128">
        <v>0</v>
      </c>
      <c r="AH94" s="122">
        <v>8169</v>
      </c>
    </row>
    <row r="95" spans="1:34" x14ac:dyDescent="0.25">
      <c r="A95" s="17" t="s">
        <v>292</v>
      </c>
      <c r="B95" s="90" t="s">
        <v>293</v>
      </c>
      <c r="C95" s="8">
        <f t="shared" si="7"/>
        <v>236757.8361838586</v>
      </c>
      <c r="D95" s="7">
        <f t="shared" si="8"/>
        <v>601118.32299999997</v>
      </c>
      <c r="E95" s="7">
        <f t="shared" si="9"/>
        <v>283624</v>
      </c>
      <c r="F95" s="7">
        <f t="shared" si="10"/>
        <v>530157</v>
      </c>
      <c r="G95" s="7">
        <f t="shared" si="11"/>
        <v>288575</v>
      </c>
      <c r="H95" s="149">
        <f t="shared" si="12"/>
        <v>319523.40000000002</v>
      </c>
      <c r="I95" s="157">
        <f t="shared" si="13"/>
        <v>1.6282442748091604E-2</v>
      </c>
      <c r="J95" s="153">
        <v>372671</v>
      </c>
      <c r="K95" s="127">
        <v>0</v>
      </c>
      <c r="L95" s="118">
        <v>372671</v>
      </c>
      <c r="M95" s="128">
        <v>0</v>
      </c>
      <c r="N95" s="127">
        <v>8</v>
      </c>
      <c r="O95" s="118">
        <v>141</v>
      </c>
      <c r="P95" s="120">
        <v>0</v>
      </c>
      <c r="Q95" s="118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>
        <v>0</v>
      </c>
      <c r="Y95" s="128">
        <v>0</v>
      </c>
      <c r="Z95" s="127">
        <v>80</v>
      </c>
      <c r="AA95" s="120">
        <v>51</v>
      </c>
      <c r="AB95" s="118">
        <v>0</v>
      </c>
      <c r="AC95" s="119">
        <v>0</v>
      </c>
      <c r="AD95" s="127">
        <v>284</v>
      </c>
      <c r="AE95" s="118">
        <v>1841</v>
      </c>
      <c r="AF95" s="118">
        <v>0</v>
      </c>
      <c r="AG95" s="128">
        <v>0</v>
      </c>
      <c r="AH95" s="122">
        <v>2133</v>
      </c>
    </row>
    <row r="96" spans="1:34" x14ac:dyDescent="0.25">
      <c r="A96" s="17" t="s">
        <v>294</v>
      </c>
      <c r="B96" s="90" t="s">
        <v>295</v>
      </c>
      <c r="C96" s="8">
        <f t="shared" si="7"/>
        <v>172977.47979872109</v>
      </c>
      <c r="D96" s="7">
        <f t="shared" si="8"/>
        <v>390216.96000000002</v>
      </c>
      <c r="E96" s="7">
        <f t="shared" si="9"/>
        <v>35453</v>
      </c>
      <c r="F96" s="7">
        <f t="shared" si="10"/>
        <v>339948</v>
      </c>
      <c r="G96" s="7">
        <f t="shared" si="11"/>
        <v>92072.400000000009</v>
      </c>
      <c r="H96" s="149">
        <f t="shared" si="12"/>
        <v>101564.40000000001</v>
      </c>
      <c r="I96" s="157">
        <f t="shared" si="13"/>
        <v>8.0714285714285714E-3</v>
      </c>
      <c r="J96" s="153">
        <v>266122</v>
      </c>
      <c r="K96" s="127">
        <v>0</v>
      </c>
      <c r="L96" s="118">
        <v>241920</v>
      </c>
      <c r="M96" s="128">
        <v>0</v>
      </c>
      <c r="N96" s="127">
        <v>1</v>
      </c>
      <c r="O96" s="118">
        <v>20</v>
      </c>
      <c r="P96" s="120">
        <v>0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>
        <v>0</v>
      </c>
      <c r="Y96" s="128">
        <v>0</v>
      </c>
      <c r="Z96" s="127">
        <v>84</v>
      </c>
      <c r="AA96" s="120">
        <v>0</v>
      </c>
      <c r="AB96" s="118">
        <v>0</v>
      </c>
      <c r="AC96" s="119">
        <v>0</v>
      </c>
      <c r="AD96" s="127">
        <v>678</v>
      </c>
      <c r="AE96" s="118">
        <v>0</v>
      </c>
      <c r="AF96" s="118">
        <v>0</v>
      </c>
      <c r="AG96" s="128">
        <v>0</v>
      </c>
      <c r="AH96" s="122">
        <v>678</v>
      </c>
    </row>
    <row r="97" spans="1:34" x14ac:dyDescent="0.25">
      <c r="A97" s="17" t="s">
        <v>296</v>
      </c>
      <c r="B97" s="90" t="s">
        <v>297</v>
      </c>
      <c r="C97" s="8">
        <f t="shared" si="7"/>
        <v>173887.30543295882</v>
      </c>
      <c r="D97" s="7">
        <f t="shared" si="8"/>
        <v>421307.53499999997</v>
      </c>
      <c r="E97" s="7">
        <f t="shared" si="9"/>
        <v>0</v>
      </c>
      <c r="F97" s="7">
        <f t="shared" si="10"/>
        <v>372324</v>
      </c>
      <c r="G97" s="7">
        <f t="shared" si="11"/>
        <v>291019.40000000002</v>
      </c>
      <c r="H97" s="149">
        <f t="shared" si="12"/>
        <v>310235.80000000005</v>
      </c>
      <c r="I97" s="157">
        <f t="shared" si="13"/>
        <v>2.251086956521739E-2</v>
      </c>
      <c r="J97" s="153">
        <v>267624</v>
      </c>
      <c r="K97" s="127">
        <v>0</v>
      </c>
      <c r="L97" s="118">
        <v>261195</v>
      </c>
      <c r="M97" s="128">
        <v>0</v>
      </c>
      <c r="N97" s="127">
        <v>0</v>
      </c>
      <c r="O97" s="118">
        <v>0</v>
      </c>
      <c r="P97" s="120">
        <v>0</v>
      </c>
      <c r="Q97" s="118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>
        <v>0</v>
      </c>
      <c r="Y97" s="128">
        <v>0</v>
      </c>
      <c r="Z97" s="127">
        <v>40</v>
      </c>
      <c r="AA97" s="120">
        <v>52</v>
      </c>
      <c r="AB97" s="118">
        <v>0</v>
      </c>
      <c r="AC97" s="119">
        <v>0</v>
      </c>
      <c r="AD97" s="127">
        <v>281</v>
      </c>
      <c r="AE97" s="118">
        <v>1862</v>
      </c>
      <c r="AF97" s="118">
        <v>0</v>
      </c>
      <c r="AG97" s="128">
        <v>0</v>
      </c>
      <c r="AH97" s="122">
        <v>2071</v>
      </c>
    </row>
    <row r="98" spans="1:34" x14ac:dyDescent="0.25">
      <c r="A98" s="17" t="s">
        <v>38</v>
      </c>
      <c r="B98" s="90" t="s">
        <v>298</v>
      </c>
      <c r="C98" s="8">
        <f t="shared" si="7"/>
        <v>0</v>
      </c>
      <c r="D98" s="7">
        <f t="shared" si="8"/>
        <v>0</v>
      </c>
      <c r="E98" s="7">
        <f t="shared" si="9"/>
        <v>144773</v>
      </c>
      <c r="F98" s="7">
        <f t="shared" si="10"/>
        <v>1412186</v>
      </c>
      <c r="G98" s="7">
        <f t="shared" si="11"/>
        <v>945047.40000000014</v>
      </c>
      <c r="H98" s="149">
        <f t="shared" si="12"/>
        <v>1058786.4000000001</v>
      </c>
      <c r="I98" s="157">
        <f t="shared" si="13"/>
        <v>4.7756756756756759E-2</v>
      </c>
      <c r="J98" s="153">
        <v>0</v>
      </c>
      <c r="K98" s="127">
        <v>0</v>
      </c>
      <c r="L98" s="118">
        <v>0</v>
      </c>
      <c r="M98" s="128">
        <v>0</v>
      </c>
      <c r="N98" s="127">
        <v>0</v>
      </c>
      <c r="O98" s="118">
        <v>0</v>
      </c>
      <c r="P98" s="120">
        <v>0</v>
      </c>
      <c r="Q98" s="118">
        <v>0</v>
      </c>
      <c r="R98" s="118">
        <v>1</v>
      </c>
      <c r="S98" s="118">
        <v>200</v>
      </c>
      <c r="T98" s="118">
        <v>0</v>
      </c>
      <c r="U98" s="118">
        <v>0</v>
      </c>
      <c r="V98" s="118">
        <v>0</v>
      </c>
      <c r="W98" s="118">
        <v>0</v>
      </c>
      <c r="X98" s="118">
        <v>0</v>
      </c>
      <c r="Y98" s="128">
        <v>0</v>
      </c>
      <c r="Z98" s="127">
        <v>6</v>
      </c>
      <c r="AA98" s="120">
        <v>132</v>
      </c>
      <c r="AB98" s="118">
        <v>10</v>
      </c>
      <c r="AC98" s="119">
        <v>0</v>
      </c>
      <c r="AD98" s="127">
        <v>36</v>
      </c>
      <c r="AE98" s="118">
        <v>6204</v>
      </c>
      <c r="AF98" s="118">
        <v>227</v>
      </c>
      <c r="AG98" s="128">
        <v>0</v>
      </c>
      <c r="AH98" s="122">
        <v>7068</v>
      </c>
    </row>
    <row r="99" spans="1:34" x14ac:dyDescent="0.25">
      <c r="A99" s="17" t="s">
        <v>299</v>
      </c>
      <c r="B99" s="90" t="s">
        <v>300</v>
      </c>
      <c r="C99" s="8">
        <f t="shared" si="7"/>
        <v>228149.2825306592</v>
      </c>
      <c r="D99" s="7">
        <f t="shared" si="8"/>
        <v>564520.96600000001</v>
      </c>
      <c r="E99" s="7">
        <f t="shared" si="9"/>
        <v>248171</v>
      </c>
      <c r="F99" s="7">
        <f t="shared" si="10"/>
        <v>530157</v>
      </c>
      <c r="G99" s="7">
        <f t="shared" si="11"/>
        <v>330537.2</v>
      </c>
      <c r="H99" s="149">
        <f t="shared" si="12"/>
        <v>364613.2</v>
      </c>
      <c r="I99" s="157">
        <f t="shared" si="13"/>
        <v>1.8580152671755727E-2</v>
      </c>
      <c r="J99" s="153">
        <v>358153</v>
      </c>
      <c r="K99" s="127">
        <v>0</v>
      </c>
      <c r="L99" s="118">
        <v>349982</v>
      </c>
      <c r="M99" s="128">
        <v>0</v>
      </c>
      <c r="N99" s="127">
        <v>7</v>
      </c>
      <c r="O99" s="118">
        <v>158</v>
      </c>
      <c r="P99" s="120">
        <v>0</v>
      </c>
      <c r="Q99" s="118">
        <v>0</v>
      </c>
      <c r="R99" s="118">
        <v>0</v>
      </c>
      <c r="S99" s="118">
        <v>0</v>
      </c>
      <c r="T99" s="118">
        <v>0</v>
      </c>
      <c r="U99" s="118">
        <v>0</v>
      </c>
      <c r="V99" s="118">
        <v>0</v>
      </c>
      <c r="W99" s="118">
        <v>0</v>
      </c>
      <c r="X99" s="118">
        <v>0</v>
      </c>
      <c r="Y99" s="128">
        <v>0</v>
      </c>
      <c r="Z99" s="127">
        <v>103</v>
      </c>
      <c r="AA99" s="120">
        <v>28</v>
      </c>
      <c r="AB99" s="118">
        <v>0</v>
      </c>
      <c r="AC99" s="119">
        <v>0</v>
      </c>
      <c r="AD99" s="127">
        <v>1171</v>
      </c>
      <c r="AE99" s="118">
        <v>1263</v>
      </c>
      <c r="AF99" s="118">
        <v>0</v>
      </c>
      <c r="AG99" s="128">
        <v>0</v>
      </c>
      <c r="AH99" s="122">
        <v>2434</v>
      </c>
    </row>
    <row r="100" spans="1:34" x14ac:dyDescent="0.25">
      <c r="A100" s="17" t="s">
        <v>301</v>
      </c>
      <c r="B100" s="90" t="s">
        <v>302</v>
      </c>
      <c r="C100" s="8">
        <f t="shared" si="7"/>
        <v>234771.70518928458</v>
      </c>
      <c r="D100" s="7">
        <f t="shared" si="8"/>
        <v>595709.93400000001</v>
      </c>
      <c r="E100" s="7">
        <f t="shared" si="9"/>
        <v>144773</v>
      </c>
      <c r="F100" s="7">
        <f t="shared" si="10"/>
        <v>352089</v>
      </c>
      <c r="G100" s="7">
        <f t="shared" si="11"/>
        <v>282056.60000000003</v>
      </c>
      <c r="H100" s="149">
        <f t="shared" si="12"/>
        <v>311134.60000000003</v>
      </c>
      <c r="I100" s="157">
        <f t="shared" si="13"/>
        <v>2.3873563218390806E-2</v>
      </c>
      <c r="J100" s="153">
        <v>369318</v>
      </c>
      <c r="K100" s="127">
        <v>0</v>
      </c>
      <c r="L100" s="118">
        <v>369318</v>
      </c>
      <c r="M100" s="128">
        <v>0</v>
      </c>
      <c r="N100" s="127">
        <v>0</v>
      </c>
      <c r="O100" s="118">
        <v>0</v>
      </c>
      <c r="P100" s="120">
        <v>0</v>
      </c>
      <c r="Q100" s="118">
        <v>0</v>
      </c>
      <c r="R100" s="118">
        <v>1</v>
      </c>
      <c r="S100" s="118">
        <v>130</v>
      </c>
      <c r="T100" s="118">
        <v>0</v>
      </c>
      <c r="U100" s="118">
        <v>0</v>
      </c>
      <c r="V100" s="118">
        <v>0</v>
      </c>
      <c r="W100" s="118">
        <v>0</v>
      </c>
      <c r="X100" s="118">
        <v>0</v>
      </c>
      <c r="Y100" s="128">
        <v>0</v>
      </c>
      <c r="Z100" s="127">
        <v>30</v>
      </c>
      <c r="AA100" s="120">
        <v>57</v>
      </c>
      <c r="AB100" s="118">
        <v>0</v>
      </c>
      <c r="AC100" s="119">
        <v>0</v>
      </c>
      <c r="AD100" s="127">
        <v>70</v>
      </c>
      <c r="AE100" s="118">
        <v>2007</v>
      </c>
      <c r="AF100" s="118">
        <v>0</v>
      </c>
      <c r="AG100" s="128">
        <v>0</v>
      </c>
      <c r="AH100" s="122">
        <v>2077</v>
      </c>
    </row>
    <row r="101" spans="1:34" x14ac:dyDescent="0.25">
      <c r="A101" s="17" t="s">
        <v>303</v>
      </c>
      <c r="B101" s="90" t="s">
        <v>304</v>
      </c>
      <c r="C101" s="8">
        <f t="shared" si="7"/>
        <v>211587.77478613248</v>
      </c>
      <c r="D101" s="7">
        <f t="shared" si="8"/>
        <v>526060.59400000004</v>
      </c>
      <c r="E101" s="7">
        <f t="shared" si="9"/>
        <v>70906</v>
      </c>
      <c r="F101" s="7">
        <f t="shared" si="10"/>
        <v>161880</v>
      </c>
      <c r="G101" s="7">
        <f t="shared" si="11"/>
        <v>104022.8</v>
      </c>
      <c r="H101" s="149">
        <f t="shared" si="12"/>
        <v>115945.20000000001</v>
      </c>
      <c r="I101" s="157">
        <f t="shared" si="13"/>
        <v>1.9349999999999999E-2</v>
      </c>
      <c r="J101" s="153">
        <v>330336</v>
      </c>
      <c r="K101" s="127">
        <v>0</v>
      </c>
      <c r="L101" s="118">
        <v>326138</v>
      </c>
      <c r="M101" s="128">
        <v>0</v>
      </c>
      <c r="N101" s="127">
        <v>2</v>
      </c>
      <c r="O101" s="118">
        <v>23</v>
      </c>
      <c r="P101" s="120">
        <v>0</v>
      </c>
      <c r="Q101" s="118">
        <v>0</v>
      </c>
      <c r="R101" s="118">
        <v>0</v>
      </c>
      <c r="S101" s="118">
        <v>0</v>
      </c>
      <c r="T101" s="118">
        <v>0</v>
      </c>
      <c r="U101" s="118">
        <v>0</v>
      </c>
      <c r="V101" s="118">
        <v>0</v>
      </c>
      <c r="W101" s="118">
        <v>0</v>
      </c>
      <c r="X101" s="118">
        <v>0</v>
      </c>
      <c r="Y101" s="128">
        <v>0</v>
      </c>
      <c r="Z101" s="127">
        <v>19</v>
      </c>
      <c r="AA101" s="120">
        <v>21</v>
      </c>
      <c r="AB101" s="118">
        <v>0</v>
      </c>
      <c r="AC101" s="119">
        <v>0</v>
      </c>
      <c r="AD101" s="127">
        <v>91</v>
      </c>
      <c r="AE101" s="118">
        <v>675</v>
      </c>
      <c r="AF101" s="118">
        <v>0</v>
      </c>
      <c r="AG101" s="128">
        <v>0</v>
      </c>
      <c r="AH101" s="122">
        <v>774</v>
      </c>
    </row>
    <row r="102" spans="1:34" x14ac:dyDescent="0.25">
      <c r="A102" s="17" t="s">
        <v>305</v>
      </c>
      <c r="B102" s="90" t="s">
        <v>306</v>
      </c>
      <c r="C102" s="8">
        <f t="shared" si="7"/>
        <v>608622.81553439412</v>
      </c>
      <c r="D102" s="7">
        <f t="shared" si="8"/>
        <v>1613878.9820000001</v>
      </c>
      <c r="E102" s="7">
        <f t="shared" si="9"/>
        <v>470640</v>
      </c>
      <c r="F102" s="7">
        <f t="shared" si="10"/>
        <v>1480219</v>
      </c>
      <c r="G102" s="7">
        <f t="shared" si="11"/>
        <v>878304.20000000007</v>
      </c>
      <c r="H102" s="149">
        <f t="shared" si="12"/>
        <v>975497.60000000009</v>
      </c>
      <c r="I102" s="157">
        <f t="shared" si="13"/>
        <v>3.1765853658536583E-2</v>
      </c>
      <c r="J102" s="153">
        <v>1026218</v>
      </c>
      <c r="K102" s="127">
        <v>0</v>
      </c>
      <c r="L102" s="118">
        <v>664290</v>
      </c>
      <c r="M102" s="128">
        <v>305738</v>
      </c>
      <c r="N102" s="127">
        <v>0</v>
      </c>
      <c r="O102" s="118">
        <v>0</v>
      </c>
      <c r="P102" s="120">
        <v>2</v>
      </c>
      <c r="Q102" s="118">
        <v>0</v>
      </c>
      <c r="R102" s="118">
        <v>0</v>
      </c>
      <c r="S102" s="118">
        <v>0</v>
      </c>
      <c r="T102" s="118">
        <v>0</v>
      </c>
      <c r="U102" s="118">
        <v>0</v>
      </c>
      <c r="V102" s="118">
        <v>2</v>
      </c>
      <c r="W102" s="118">
        <v>0</v>
      </c>
      <c r="X102" s="118">
        <v>0</v>
      </c>
      <c r="Y102" s="128">
        <v>0</v>
      </c>
      <c r="Z102" s="127">
        <v>74</v>
      </c>
      <c r="AA102" s="120">
        <v>123</v>
      </c>
      <c r="AB102" s="118">
        <v>8</v>
      </c>
      <c r="AC102" s="119">
        <v>0</v>
      </c>
      <c r="AD102" s="127">
        <v>371</v>
      </c>
      <c r="AE102" s="118">
        <v>5330</v>
      </c>
      <c r="AF102" s="118">
        <v>242</v>
      </c>
      <c r="AG102" s="128">
        <v>0</v>
      </c>
      <c r="AH102" s="122">
        <v>6512</v>
      </c>
    </row>
    <row r="103" spans="1:34" x14ac:dyDescent="0.25">
      <c r="A103" s="17" t="s">
        <v>45</v>
      </c>
      <c r="B103" s="90" t="s">
        <v>307</v>
      </c>
      <c r="C103" s="8">
        <f t="shared" si="7"/>
        <v>0</v>
      </c>
      <c r="D103" s="7">
        <f t="shared" si="8"/>
        <v>0</v>
      </c>
      <c r="E103" s="7">
        <f t="shared" si="9"/>
        <v>35453</v>
      </c>
      <c r="F103" s="7">
        <f t="shared" si="10"/>
        <v>1279401</v>
      </c>
      <c r="G103" s="7">
        <f t="shared" si="11"/>
        <v>713366.4</v>
      </c>
      <c r="H103" s="149">
        <f t="shared" si="12"/>
        <v>554409.80000000005</v>
      </c>
      <c r="I103" s="157">
        <f t="shared" si="13"/>
        <v>4.9346666666666664E-2</v>
      </c>
      <c r="J103" s="153">
        <v>0</v>
      </c>
      <c r="K103" s="127">
        <v>0</v>
      </c>
      <c r="L103" s="118">
        <v>0</v>
      </c>
      <c r="M103" s="128">
        <v>0</v>
      </c>
      <c r="N103" s="127">
        <v>1</v>
      </c>
      <c r="O103" s="118">
        <v>25</v>
      </c>
      <c r="P103" s="120">
        <v>0</v>
      </c>
      <c r="Q103" s="118">
        <v>0</v>
      </c>
      <c r="R103" s="118">
        <v>0</v>
      </c>
      <c r="S103" s="118">
        <v>0</v>
      </c>
      <c r="T103" s="118">
        <v>0</v>
      </c>
      <c r="U103" s="118">
        <v>0</v>
      </c>
      <c r="V103" s="118">
        <v>0</v>
      </c>
      <c r="W103" s="118">
        <v>0</v>
      </c>
      <c r="X103" s="118">
        <v>0</v>
      </c>
      <c r="Y103" s="128">
        <v>0</v>
      </c>
      <c r="Z103" s="127">
        <v>16</v>
      </c>
      <c r="AA103" s="120">
        <v>47</v>
      </c>
      <c r="AB103" s="118">
        <v>12</v>
      </c>
      <c r="AC103" s="119">
        <v>0</v>
      </c>
      <c r="AD103" s="127">
        <v>513</v>
      </c>
      <c r="AE103" s="118">
        <v>2418</v>
      </c>
      <c r="AF103" s="118">
        <v>733</v>
      </c>
      <c r="AG103" s="128">
        <v>0</v>
      </c>
      <c r="AH103" s="122">
        <v>3701</v>
      </c>
    </row>
    <row r="104" spans="1:34" x14ac:dyDescent="0.25">
      <c r="A104" s="17" t="s">
        <v>483</v>
      </c>
      <c r="B104" s="90" t="s">
        <v>308</v>
      </c>
      <c r="C104" s="8">
        <f t="shared" si="7"/>
        <v>84558.162785417764</v>
      </c>
      <c r="D104" s="7">
        <f t="shared" si="8"/>
        <v>199176.46599999999</v>
      </c>
      <c r="E104" s="7">
        <f t="shared" si="9"/>
        <v>177265</v>
      </c>
      <c r="F104" s="7">
        <f t="shared" si="10"/>
        <v>485640</v>
      </c>
      <c r="G104" s="7">
        <f t="shared" si="11"/>
        <v>115022.6</v>
      </c>
      <c r="H104" s="149">
        <f t="shared" si="12"/>
        <v>159836.6</v>
      </c>
      <c r="I104" s="157">
        <f t="shared" si="13"/>
        <v>8.8916666666666675E-3</v>
      </c>
      <c r="J104" s="153">
        <v>123482</v>
      </c>
      <c r="K104" s="127">
        <v>0</v>
      </c>
      <c r="L104" s="118">
        <v>123482</v>
      </c>
      <c r="M104" s="128">
        <v>0</v>
      </c>
      <c r="N104" s="127">
        <v>5</v>
      </c>
      <c r="O104" s="118">
        <v>43</v>
      </c>
      <c r="P104" s="120">
        <v>0</v>
      </c>
      <c r="Q104" s="118">
        <v>0</v>
      </c>
      <c r="R104" s="118">
        <v>0</v>
      </c>
      <c r="S104" s="118">
        <v>0</v>
      </c>
      <c r="T104" s="118">
        <v>0</v>
      </c>
      <c r="U104" s="118">
        <v>0</v>
      </c>
      <c r="V104" s="118">
        <v>0</v>
      </c>
      <c r="W104" s="118">
        <v>0</v>
      </c>
      <c r="X104" s="118">
        <v>0</v>
      </c>
      <c r="Y104" s="128">
        <v>0</v>
      </c>
      <c r="Z104" s="127">
        <v>120</v>
      </c>
      <c r="AA104" s="120">
        <v>0</v>
      </c>
      <c r="AB104" s="118">
        <v>0</v>
      </c>
      <c r="AC104" s="119">
        <v>0</v>
      </c>
      <c r="AD104" s="127">
        <v>847</v>
      </c>
      <c r="AE104" s="118">
        <v>0</v>
      </c>
      <c r="AF104" s="118">
        <v>0</v>
      </c>
      <c r="AG104" s="128">
        <v>0</v>
      </c>
      <c r="AH104" s="122">
        <v>1067</v>
      </c>
    </row>
    <row r="105" spans="1:34" x14ac:dyDescent="0.25">
      <c r="A105" s="17" t="s">
        <v>309</v>
      </c>
      <c r="B105" s="90" t="s">
        <v>310</v>
      </c>
      <c r="C105" s="8">
        <f t="shared" si="7"/>
        <v>152257.06494759099</v>
      </c>
      <c r="D105" s="7">
        <f t="shared" si="8"/>
        <v>173593.59599999999</v>
      </c>
      <c r="E105" s="7">
        <f t="shared" si="9"/>
        <v>180226</v>
      </c>
      <c r="F105" s="7">
        <f t="shared" si="10"/>
        <v>339543.30000000005</v>
      </c>
      <c r="G105" s="7">
        <f t="shared" si="11"/>
        <v>365166.2</v>
      </c>
      <c r="H105" s="149">
        <f t="shared" si="12"/>
        <v>402812.2</v>
      </c>
      <c r="I105" s="157">
        <f t="shared" si="13"/>
        <v>3.205005959475566E-2</v>
      </c>
      <c r="J105" s="153">
        <v>232077</v>
      </c>
      <c r="K105" s="127">
        <v>232077</v>
      </c>
      <c r="L105" s="118">
        <v>0</v>
      </c>
      <c r="M105" s="128">
        <v>0</v>
      </c>
      <c r="N105" s="127">
        <v>1</v>
      </c>
      <c r="O105" s="118">
        <v>30</v>
      </c>
      <c r="P105" s="120">
        <v>0</v>
      </c>
      <c r="Q105" s="118">
        <v>0</v>
      </c>
      <c r="R105" s="118">
        <v>1</v>
      </c>
      <c r="S105" s="118">
        <v>120</v>
      </c>
      <c r="T105" s="118">
        <v>0</v>
      </c>
      <c r="U105" s="118">
        <v>0</v>
      </c>
      <c r="V105" s="118">
        <v>0</v>
      </c>
      <c r="W105" s="118">
        <v>0</v>
      </c>
      <c r="X105" s="118">
        <v>0</v>
      </c>
      <c r="Y105" s="128">
        <v>0</v>
      </c>
      <c r="Z105" s="127">
        <v>42.3</v>
      </c>
      <c r="AA105" s="120">
        <v>41.6</v>
      </c>
      <c r="AB105" s="118">
        <v>0</v>
      </c>
      <c r="AC105" s="119">
        <v>0</v>
      </c>
      <c r="AD105" s="127">
        <v>439</v>
      </c>
      <c r="AE105" s="118">
        <v>2250</v>
      </c>
      <c r="AF105" s="118">
        <v>0</v>
      </c>
      <c r="AG105" s="128">
        <v>0</v>
      </c>
      <c r="AH105" s="122">
        <v>2689</v>
      </c>
    </row>
    <row r="106" spans="1:34" x14ac:dyDescent="0.25">
      <c r="A106" s="17" t="s">
        <v>39</v>
      </c>
      <c r="B106" s="90" t="s">
        <v>311</v>
      </c>
      <c r="C106" s="8">
        <f t="shared" si="7"/>
        <v>169462.69959267048</v>
      </c>
      <c r="D106" s="7">
        <f t="shared" si="8"/>
        <v>419279.99400000001</v>
      </c>
      <c r="E106" s="7">
        <f t="shared" si="9"/>
        <v>0</v>
      </c>
      <c r="F106" s="7">
        <f t="shared" si="10"/>
        <v>178068</v>
      </c>
      <c r="G106" s="7">
        <f t="shared" si="11"/>
        <v>263316.2</v>
      </c>
      <c r="H106" s="149">
        <f t="shared" si="12"/>
        <v>290462.2</v>
      </c>
      <c r="I106" s="157">
        <f t="shared" si="13"/>
        <v>4.4068181818181819E-2</v>
      </c>
      <c r="J106" s="153">
        <v>260325</v>
      </c>
      <c r="K106" s="127">
        <v>0</v>
      </c>
      <c r="L106" s="118">
        <v>259938</v>
      </c>
      <c r="M106" s="128">
        <v>0</v>
      </c>
      <c r="N106" s="127">
        <v>0</v>
      </c>
      <c r="O106" s="118">
        <v>0</v>
      </c>
      <c r="P106" s="120">
        <v>0</v>
      </c>
      <c r="Q106" s="118">
        <v>0</v>
      </c>
      <c r="R106" s="118">
        <v>0</v>
      </c>
      <c r="S106" s="118">
        <v>0</v>
      </c>
      <c r="T106" s="118">
        <v>0</v>
      </c>
      <c r="U106" s="118">
        <v>0</v>
      </c>
      <c r="V106" s="118">
        <v>0</v>
      </c>
      <c r="W106" s="118">
        <v>0</v>
      </c>
      <c r="X106" s="118">
        <v>0</v>
      </c>
      <c r="Y106" s="128">
        <v>0</v>
      </c>
      <c r="Z106" s="127">
        <v>0</v>
      </c>
      <c r="AA106" s="120">
        <v>44</v>
      </c>
      <c r="AB106" s="118">
        <v>0</v>
      </c>
      <c r="AC106" s="119">
        <v>0</v>
      </c>
      <c r="AD106" s="127">
        <v>0</v>
      </c>
      <c r="AE106" s="118">
        <v>1939</v>
      </c>
      <c r="AF106" s="118">
        <v>0</v>
      </c>
      <c r="AG106" s="128">
        <v>0</v>
      </c>
      <c r="AH106" s="122">
        <v>1939</v>
      </c>
    </row>
    <row r="107" spans="1:34" x14ac:dyDescent="0.25">
      <c r="A107" s="17" t="s">
        <v>312</v>
      </c>
      <c r="B107" s="90" t="s">
        <v>313</v>
      </c>
      <c r="C107" s="8">
        <f t="shared" si="7"/>
        <v>0</v>
      </c>
      <c r="D107" s="7">
        <f t="shared" si="8"/>
        <v>4388823.8059999999</v>
      </c>
      <c r="E107" s="7">
        <f t="shared" si="9"/>
        <v>0</v>
      </c>
      <c r="F107" s="7">
        <f t="shared" si="10"/>
        <v>0</v>
      </c>
      <c r="G107" s="7">
        <f t="shared" si="11"/>
        <v>950.60000000000014</v>
      </c>
      <c r="H107" s="149">
        <f t="shared" si="12"/>
        <v>1348.2</v>
      </c>
      <c r="I107" s="157">
        <f t="shared" si="13"/>
        <v>0</v>
      </c>
      <c r="J107" s="153">
        <v>0</v>
      </c>
      <c r="K107" s="127">
        <v>3530259</v>
      </c>
      <c r="L107" s="118">
        <v>0</v>
      </c>
      <c r="M107" s="128">
        <v>985451</v>
      </c>
      <c r="N107" s="127">
        <v>0</v>
      </c>
      <c r="O107" s="118">
        <v>0</v>
      </c>
      <c r="P107" s="120">
        <v>0</v>
      </c>
      <c r="Q107" s="118">
        <v>0</v>
      </c>
      <c r="R107" s="118">
        <v>0</v>
      </c>
      <c r="S107" s="118">
        <v>0</v>
      </c>
      <c r="T107" s="118">
        <v>0</v>
      </c>
      <c r="U107" s="118">
        <v>0</v>
      </c>
      <c r="V107" s="118">
        <v>0</v>
      </c>
      <c r="W107" s="118">
        <v>0</v>
      </c>
      <c r="X107" s="118">
        <v>0</v>
      </c>
      <c r="Y107" s="128">
        <v>0</v>
      </c>
      <c r="Z107" s="127">
        <v>0</v>
      </c>
      <c r="AA107" s="120">
        <v>0</v>
      </c>
      <c r="AB107" s="118">
        <v>0</v>
      </c>
      <c r="AC107" s="119">
        <v>0</v>
      </c>
      <c r="AD107" s="127">
        <v>0</v>
      </c>
      <c r="AE107" s="118">
        <v>7</v>
      </c>
      <c r="AF107" s="118">
        <v>0</v>
      </c>
      <c r="AG107" s="128">
        <v>0</v>
      </c>
      <c r="AH107" s="122">
        <v>9</v>
      </c>
    </row>
    <row r="108" spans="1:34" x14ac:dyDescent="0.25">
      <c r="A108" s="17" t="s">
        <v>40</v>
      </c>
      <c r="B108" s="90" t="s">
        <v>314</v>
      </c>
      <c r="C108" s="8">
        <f t="shared" si="7"/>
        <v>776688.55791999144</v>
      </c>
      <c r="D108" s="7">
        <f t="shared" si="8"/>
        <v>4269304.53</v>
      </c>
      <c r="E108" s="7">
        <f t="shared" si="9"/>
        <v>249757</v>
      </c>
      <c r="F108" s="7">
        <f t="shared" si="10"/>
        <v>1125066</v>
      </c>
      <c r="G108" s="7">
        <f t="shared" si="11"/>
        <v>549582.60000000009</v>
      </c>
      <c r="H108" s="149">
        <f t="shared" si="12"/>
        <v>623168</v>
      </c>
      <c r="I108" s="157">
        <f t="shared" si="13"/>
        <v>1.4964028776978418E-2</v>
      </c>
      <c r="J108" s="153">
        <v>1333069</v>
      </c>
      <c r="K108" s="127">
        <v>0</v>
      </c>
      <c r="L108" s="118">
        <v>2646810</v>
      </c>
      <c r="M108" s="128">
        <v>0</v>
      </c>
      <c r="N108" s="127">
        <v>2</v>
      </c>
      <c r="O108" s="118">
        <v>62</v>
      </c>
      <c r="P108" s="120">
        <v>0</v>
      </c>
      <c r="Q108" s="118">
        <v>0</v>
      </c>
      <c r="R108" s="118">
        <v>0</v>
      </c>
      <c r="S108" s="118">
        <v>0</v>
      </c>
      <c r="T108" s="118">
        <v>1</v>
      </c>
      <c r="U108" s="118">
        <v>347</v>
      </c>
      <c r="V108" s="118">
        <v>0</v>
      </c>
      <c r="W108" s="118">
        <v>0</v>
      </c>
      <c r="X108" s="118">
        <v>0</v>
      </c>
      <c r="Y108" s="128">
        <v>0</v>
      </c>
      <c r="Z108" s="127">
        <v>126</v>
      </c>
      <c r="AA108" s="120">
        <v>152</v>
      </c>
      <c r="AB108" s="118">
        <v>0</v>
      </c>
      <c r="AC108" s="119">
        <v>0</v>
      </c>
      <c r="AD108" s="127">
        <v>477</v>
      </c>
      <c r="AE108" s="118">
        <v>3570</v>
      </c>
      <c r="AF108" s="118">
        <v>0</v>
      </c>
      <c r="AG108" s="128">
        <v>0</v>
      </c>
      <c r="AH108" s="122">
        <v>4160</v>
      </c>
    </row>
    <row r="109" spans="1:34" x14ac:dyDescent="0.25">
      <c r="A109" s="17" t="s">
        <v>315</v>
      </c>
      <c r="B109" s="90" t="s">
        <v>316</v>
      </c>
      <c r="C109" s="8">
        <f t="shared" si="7"/>
        <v>400402.09089473984</v>
      </c>
      <c r="D109" s="7">
        <f t="shared" si="8"/>
        <v>1330333.811</v>
      </c>
      <c r="E109" s="7">
        <f t="shared" si="9"/>
        <v>795428</v>
      </c>
      <c r="F109" s="7">
        <f t="shared" si="10"/>
        <v>797259</v>
      </c>
      <c r="G109" s="7">
        <f t="shared" si="11"/>
        <v>954945.60000000009</v>
      </c>
      <c r="H109" s="149">
        <f t="shared" si="12"/>
        <v>1170836.8</v>
      </c>
      <c r="I109" s="157">
        <f t="shared" si="13"/>
        <v>3.96751269035533E-2</v>
      </c>
      <c r="J109" s="153">
        <v>654848</v>
      </c>
      <c r="K109" s="127">
        <v>426260</v>
      </c>
      <c r="L109" s="118">
        <v>627087</v>
      </c>
      <c r="M109" s="128">
        <v>0</v>
      </c>
      <c r="N109" s="127">
        <v>7</v>
      </c>
      <c r="O109" s="118">
        <v>133</v>
      </c>
      <c r="P109" s="120">
        <v>2</v>
      </c>
      <c r="Q109" s="118">
        <v>180</v>
      </c>
      <c r="R109" s="118">
        <v>3</v>
      </c>
      <c r="S109" s="118">
        <v>493</v>
      </c>
      <c r="T109" s="118">
        <v>0</v>
      </c>
      <c r="U109" s="118">
        <v>0</v>
      </c>
      <c r="V109" s="118">
        <v>0</v>
      </c>
      <c r="W109" s="118">
        <v>0</v>
      </c>
      <c r="X109" s="118">
        <v>0</v>
      </c>
      <c r="Y109" s="128">
        <v>0</v>
      </c>
      <c r="Z109" s="127">
        <v>93</v>
      </c>
      <c r="AA109" s="120">
        <v>104</v>
      </c>
      <c r="AB109" s="118">
        <v>0</v>
      </c>
      <c r="AC109" s="119">
        <v>0</v>
      </c>
      <c r="AD109" s="127">
        <v>777</v>
      </c>
      <c r="AE109" s="118">
        <v>6255</v>
      </c>
      <c r="AF109" s="118">
        <v>0</v>
      </c>
      <c r="AG109" s="128">
        <v>0</v>
      </c>
      <c r="AH109" s="122">
        <v>7816</v>
      </c>
    </row>
    <row r="110" spans="1:34" x14ac:dyDescent="0.25">
      <c r="A110" s="17" t="s">
        <v>48</v>
      </c>
      <c r="B110" s="90" t="s">
        <v>317</v>
      </c>
      <c r="C110" s="8">
        <f t="shared" si="7"/>
        <v>198444.25055395055</v>
      </c>
      <c r="D110" s="7">
        <f t="shared" si="8"/>
        <v>489508.40100000001</v>
      </c>
      <c r="E110" s="7">
        <f t="shared" si="9"/>
        <v>70906</v>
      </c>
      <c r="F110" s="7">
        <f t="shared" si="10"/>
        <v>368277</v>
      </c>
      <c r="G110" s="7">
        <f t="shared" si="11"/>
        <v>56764.4</v>
      </c>
      <c r="H110" s="149">
        <f t="shared" si="12"/>
        <v>138415.20000000001</v>
      </c>
      <c r="I110" s="157">
        <f t="shared" si="13"/>
        <v>1.0153846153846154E-2</v>
      </c>
      <c r="J110" s="153">
        <v>308372</v>
      </c>
      <c r="K110" s="127">
        <v>0</v>
      </c>
      <c r="L110" s="118">
        <v>303477</v>
      </c>
      <c r="M110" s="128">
        <v>0</v>
      </c>
      <c r="N110" s="127">
        <v>2</v>
      </c>
      <c r="O110" s="118">
        <v>0</v>
      </c>
      <c r="P110" s="120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0</v>
      </c>
      <c r="V110" s="118">
        <v>0</v>
      </c>
      <c r="W110" s="118">
        <v>0</v>
      </c>
      <c r="X110" s="118">
        <v>0</v>
      </c>
      <c r="Y110" s="128">
        <v>0</v>
      </c>
      <c r="Z110" s="127">
        <v>91</v>
      </c>
      <c r="AA110" s="120">
        <v>0</v>
      </c>
      <c r="AB110" s="118">
        <v>0</v>
      </c>
      <c r="AC110" s="119">
        <v>0</v>
      </c>
      <c r="AD110" s="127">
        <v>248</v>
      </c>
      <c r="AE110" s="118">
        <v>170</v>
      </c>
      <c r="AF110" s="118">
        <v>0</v>
      </c>
      <c r="AG110" s="128">
        <v>0</v>
      </c>
      <c r="AH110" s="122">
        <v>924</v>
      </c>
    </row>
    <row r="111" spans="1:34" x14ac:dyDescent="0.25">
      <c r="A111" s="17" t="s">
        <v>318</v>
      </c>
      <c r="B111" s="90" t="s">
        <v>319</v>
      </c>
      <c r="C111" s="8">
        <f t="shared" si="7"/>
        <v>173256.76420881212</v>
      </c>
      <c r="D111" s="7">
        <f t="shared" si="8"/>
        <v>424796.45399999997</v>
      </c>
      <c r="E111" s="7">
        <f t="shared" si="9"/>
        <v>106359</v>
      </c>
      <c r="F111" s="7">
        <f t="shared" si="10"/>
        <v>376371</v>
      </c>
      <c r="G111" s="7">
        <f t="shared" si="11"/>
        <v>182922.6</v>
      </c>
      <c r="H111" s="149">
        <f t="shared" si="12"/>
        <v>273684.60000000003</v>
      </c>
      <c r="I111" s="157">
        <f t="shared" si="13"/>
        <v>1.964516129032258E-2</v>
      </c>
      <c r="J111" s="153">
        <v>266583</v>
      </c>
      <c r="K111" s="127">
        <v>0</v>
      </c>
      <c r="L111" s="118">
        <v>263358</v>
      </c>
      <c r="M111" s="128">
        <v>0</v>
      </c>
      <c r="N111" s="127">
        <v>3</v>
      </c>
      <c r="O111" s="118">
        <v>0</v>
      </c>
      <c r="P111" s="120">
        <v>0</v>
      </c>
      <c r="Q111" s="118">
        <v>0</v>
      </c>
      <c r="R111" s="118">
        <v>0</v>
      </c>
      <c r="S111" s="118">
        <v>0</v>
      </c>
      <c r="T111" s="118">
        <v>0</v>
      </c>
      <c r="U111" s="118">
        <v>0</v>
      </c>
      <c r="V111" s="118">
        <v>0</v>
      </c>
      <c r="W111" s="118">
        <v>0</v>
      </c>
      <c r="X111" s="118">
        <v>0</v>
      </c>
      <c r="Y111" s="128">
        <v>0</v>
      </c>
      <c r="Z111" s="127">
        <v>56</v>
      </c>
      <c r="AA111" s="120">
        <v>37</v>
      </c>
      <c r="AB111" s="118">
        <v>0</v>
      </c>
      <c r="AC111" s="119">
        <v>0</v>
      </c>
      <c r="AD111" s="127">
        <v>204</v>
      </c>
      <c r="AE111" s="118">
        <v>1143</v>
      </c>
      <c r="AF111" s="118">
        <v>0</v>
      </c>
      <c r="AG111" s="128">
        <v>0</v>
      </c>
      <c r="AH111" s="122">
        <v>1827</v>
      </c>
    </row>
    <row r="112" spans="1:34" x14ac:dyDescent="0.25">
      <c r="A112" s="17" t="s">
        <v>320</v>
      </c>
      <c r="B112" s="90" t="s">
        <v>321</v>
      </c>
      <c r="C112" s="8">
        <f t="shared" si="7"/>
        <v>1156683.0337593164</v>
      </c>
      <c r="D112" s="7">
        <f t="shared" si="8"/>
        <v>3114661.0670000003</v>
      </c>
      <c r="E112" s="7">
        <f t="shared" si="9"/>
        <v>307601</v>
      </c>
      <c r="F112" s="7">
        <f t="shared" si="10"/>
        <v>2182265</v>
      </c>
      <c r="G112" s="7">
        <f t="shared" si="11"/>
        <v>1069384.2000000002</v>
      </c>
      <c r="H112" s="149">
        <f t="shared" si="12"/>
        <v>1185517.2000000002</v>
      </c>
      <c r="I112" s="157">
        <f t="shared" si="13"/>
        <v>2.8467625899280577E-2</v>
      </c>
      <c r="J112" s="153">
        <v>2043714</v>
      </c>
      <c r="K112" s="127">
        <v>127744</v>
      </c>
      <c r="L112" s="118">
        <v>1871735</v>
      </c>
      <c r="M112" s="128">
        <v>0</v>
      </c>
      <c r="N112" s="127">
        <v>3</v>
      </c>
      <c r="O112" s="118">
        <v>0</v>
      </c>
      <c r="P112" s="120">
        <v>1</v>
      </c>
      <c r="Q112" s="118">
        <v>0</v>
      </c>
      <c r="R112" s="118">
        <v>1</v>
      </c>
      <c r="S112" s="118">
        <v>600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28">
        <v>0</v>
      </c>
      <c r="Z112" s="127">
        <v>85</v>
      </c>
      <c r="AA112" s="120">
        <v>180</v>
      </c>
      <c r="AB112" s="118">
        <v>13</v>
      </c>
      <c r="AC112" s="119">
        <v>0</v>
      </c>
      <c r="AD112" s="127">
        <v>184</v>
      </c>
      <c r="AE112" s="118">
        <v>5885</v>
      </c>
      <c r="AF112" s="118">
        <v>570</v>
      </c>
      <c r="AG112" s="128">
        <v>0</v>
      </c>
      <c r="AH112" s="122">
        <v>7914</v>
      </c>
    </row>
    <row r="113" spans="1:34" x14ac:dyDescent="0.25">
      <c r="A113" s="17" t="s">
        <v>322</v>
      </c>
      <c r="B113" s="90" t="s">
        <v>323</v>
      </c>
      <c r="C113" s="8">
        <f t="shared" si="7"/>
        <v>517945.08774308424</v>
      </c>
      <c r="D113" s="7">
        <f t="shared" si="8"/>
        <v>1379153.7120000001</v>
      </c>
      <c r="E113" s="7">
        <f t="shared" si="9"/>
        <v>219297</v>
      </c>
      <c r="F113" s="7">
        <f t="shared" si="10"/>
        <v>1363839</v>
      </c>
      <c r="G113" s="7">
        <f t="shared" si="11"/>
        <v>964587.4</v>
      </c>
      <c r="H113" s="149">
        <f t="shared" si="12"/>
        <v>1116309.6000000001</v>
      </c>
      <c r="I113" s="157">
        <f t="shared" si="13"/>
        <v>2.2112759643916916E-2</v>
      </c>
      <c r="J113" s="153">
        <v>863120</v>
      </c>
      <c r="K113" s="127">
        <v>0</v>
      </c>
      <c r="L113" s="118">
        <v>855024</v>
      </c>
      <c r="M113" s="128">
        <v>0</v>
      </c>
      <c r="N113" s="127">
        <v>3</v>
      </c>
      <c r="O113" s="118">
        <v>62</v>
      </c>
      <c r="P113" s="120">
        <v>2</v>
      </c>
      <c r="Q113" s="118">
        <v>125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28">
        <v>0</v>
      </c>
      <c r="Z113" s="127">
        <v>276</v>
      </c>
      <c r="AA113" s="120">
        <v>61</v>
      </c>
      <c r="AB113" s="118">
        <v>0</v>
      </c>
      <c r="AC113" s="119">
        <v>0</v>
      </c>
      <c r="AD113" s="127">
        <v>3834</v>
      </c>
      <c r="AE113" s="118">
        <v>3269</v>
      </c>
      <c r="AF113" s="118">
        <v>0</v>
      </c>
      <c r="AG113" s="128">
        <v>0</v>
      </c>
      <c r="AH113" s="122">
        <v>7452</v>
      </c>
    </row>
    <row r="114" spans="1:34" x14ac:dyDescent="0.25">
      <c r="A114" s="17" t="s">
        <v>324</v>
      </c>
      <c r="B114" s="90" t="s">
        <v>325</v>
      </c>
      <c r="C114" s="8">
        <f t="shared" si="7"/>
        <v>235559.66922399943</v>
      </c>
      <c r="D114" s="7">
        <f t="shared" si="8"/>
        <v>563708.01399999997</v>
      </c>
      <c r="E114" s="7">
        <f t="shared" si="9"/>
        <v>0</v>
      </c>
      <c r="F114" s="7">
        <f t="shared" si="10"/>
        <v>416841</v>
      </c>
      <c r="G114" s="7">
        <f t="shared" si="11"/>
        <v>317772</v>
      </c>
      <c r="H114" s="149">
        <f t="shared" si="12"/>
        <v>419140.4</v>
      </c>
      <c r="I114" s="157">
        <f t="shared" si="13"/>
        <v>2.716504854368932E-2</v>
      </c>
      <c r="J114" s="153">
        <v>370648</v>
      </c>
      <c r="K114" s="127">
        <v>0</v>
      </c>
      <c r="L114" s="118">
        <v>349478</v>
      </c>
      <c r="M114" s="128">
        <v>0</v>
      </c>
      <c r="N114" s="127">
        <v>0</v>
      </c>
      <c r="O114" s="118">
        <v>0</v>
      </c>
      <c r="P114" s="120">
        <v>0</v>
      </c>
      <c r="Q114" s="118">
        <v>0</v>
      </c>
      <c r="R114" s="118">
        <v>0</v>
      </c>
      <c r="S114" s="118">
        <v>0</v>
      </c>
      <c r="T114" s="118">
        <v>0</v>
      </c>
      <c r="U114" s="118">
        <v>0</v>
      </c>
      <c r="V114" s="118">
        <v>0</v>
      </c>
      <c r="W114" s="118">
        <v>0</v>
      </c>
      <c r="X114" s="118">
        <v>0</v>
      </c>
      <c r="Y114" s="128">
        <v>0</v>
      </c>
      <c r="Z114" s="127">
        <v>57</v>
      </c>
      <c r="AA114" s="120">
        <v>46</v>
      </c>
      <c r="AB114" s="118">
        <v>0</v>
      </c>
      <c r="AC114" s="119">
        <v>0</v>
      </c>
      <c r="AD114" s="127">
        <v>564</v>
      </c>
      <c r="AE114" s="118">
        <v>1776</v>
      </c>
      <c r="AF114" s="118">
        <v>0</v>
      </c>
      <c r="AG114" s="128">
        <v>0</v>
      </c>
      <c r="AH114" s="122">
        <v>2798</v>
      </c>
    </row>
    <row r="115" spans="1:34" x14ac:dyDescent="0.25">
      <c r="A115" s="17" t="s">
        <v>326</v>
      </c>
      <c r="B115" s="90" t="s">
        <v>327</v>
      </c>
      <c r="C115" s="8">
        <f t="shared" si="7"/>
        <v>72346.197563892434</v>
      </c>
      <c r="D115" s="7">
        <f t="shared" si="8"/>
        <v>168485.91500000001</v>
      </c>
      <c r="E115" s="7">
        <f t="shared" si="9"/>
        <v>35453</v>
      </c>
      <c r="F115" s="7">
        <f t="shared" si="10"/>
        <v>309190.80000000005</v>
      </c>
      <c r="G115" s="7">
        <f t="shared" si="11"/>
        <v>223391.00000000003</v>
      </c>
      <c r="H115" s="149">
        <f t="shared" si="12"/>
        <v>307689.2</v>
      </c>
      <c r="I115" s="157">
        <f t="shared" si="13"/>
        <v>2.6884816753926701E-2</v>
      </c>
      <c r="J115" s="153">
        <v>104455</v>
      </c>
      <c r="K115" s="127"/>
      <c r="L115" s="118">
        <v>104455</v>
      </c>
      <c r="M115" s="128"/>
      <c r="N115" s="127">
        <v>1</v>
      </c>
      <c r="O115" s="118">
        <v>40</v>
      </c>
      <c r="P115" s="120"/>
      <c r="Q115" s="118"/>
      <c r="R115" s="118"/>
      <c r="S115" s="118"/>
      <c r="T115" s="118"/>
      <c r="U115" s="118"/>
      <c r="V115" s="118"/>
      <c r="W115" s="118"/>
      <c r="X115" s="118"/>
      <c r="Y115" s="128"/>
      <c r="Z115" s="127">
        <v>49.4</v>
      </c>
      <c r="AA115" s="120">
        <v>27</v>
      </c>
      <c r="AB115" s="118"/>
      <c r="AC115" s="119"/>
      <c r="AD115" s="127">
        <v>440</v>
      </c>
      <c r="AE115" s="118">
        <v>1205</v>
      </c>
      <c r="AF115" s="118"/>
      <c r="AG115" s="128"/>
      <c r="AH115" s="122">
        <v>2054</v>
      </c>
    </row>
    <row r="116" spans="1:34" x14ac:dyDescent="0.25">
      <c r="A116" s="17" t="s">
        <v>484</v>
      </c>
      <c r="B116" s="90" t="s">
        <v>328</v>
      </c>
      <c r="C116" s="8">
        <f t="shared" si="7"/>
        <v>1171261.8384297248</v>
      </c>
      <c r="D116" s="7">
        <f t="shared" si="8"/>
        <v>3288381.162</v>
      </c>
      <c r="E116" s="7">
        <f t="shared" si="9"/>
        <v>1029819</v>
      </c>
      <c r="F116" s="7">
        <f t="shared" si="10"/>
        <v>2794453.5</v>
      </c>
      <c r="G116" s="7">
        <f t="shared" si="11"/>
        <v>1203323.8</v>
      </c>
      <c r="H116" s="149">
        <f t="shared" si="12"/>
        <v>1386249.2000000002</v>
      </c>
      <c r="I116" s="157">
        <f t="shared" si="13"/>
        <v>1.3401882693700217E-2</v>
      </c>
      <c r="J116" s="153">
        <v>2071362</v>
      </c>
      <c r="K116" s="127">
        <v>0</v>
      </c>
      <c r="L116" s="118">
        <v>2038674</v>
      </c>
      <c r="M116" s="128">
        <v>0</v>
      </c>
      <c r="N116" s="127">
        <v>17</v>
      </c>
      <c r="O116" s="118">
        <v>220</v>
      </c>
      <c r="P116" s="120">
        <v>5</v>
      </c>
      <c r="Q116" s="118">
        <v>341</v>
      </c>
      <c r="R116" s="118">
        <v>1</v>
      </c>
      <c r="S116" s="118">
        <v>200</v>
      </c>
      <c r="T116" s="118">
        <v>0</v>
      </c>
      <c r="U116" s="118">
        <v>0</v>
      </c>
      <c r="V116" s="118">
        <v>0</v>
      </c>
      <c r="W116" s="118">
        <v>0</v>
      </c>
      <c r="X116" s="118">
        <v>0</v>
      </c>
      <c r="Y116" s="128">
        <v>0</v>
      </c>
      <c r="Z116" s="127">
        <f>419+4.5</f>
        <v>423.5</v>
      </c>
      <c r="AA116" s="120">
        <v>267</v>
      </c>
      <c r="AB116" s="118">
        <v>0</v>
      </c>
      <c r="AC116" s="119">
        <v>0</v>
      </c>
      <c r="AD116" s="127">
        <f>1514+135</f>
        <v>1649</v>
      </c>
      <c r="AE116" s="118">
        <v>7212</v>
      </c>
      <c r="AF116" s="118">
        <v>0</v>
      </c>
      <c r="AG116" s="128">
        <v>0</v>
      </c>
      <c r="AH116" s="122">
        <f>9070+184</f>
        <v>9254</v>
      </c>
    </row>
    <row r="117" spans="1:34" x14ac:dyDescent="0.25">
      <c r="A117" s="17" t="s">
        <v>41</v>
      </c>
      <c r="B117" s="90" t="s">
        <v>329</v>
      </c>
      <c r="C117" s="8">
        <f t="shared" si="7"/>
        <v>149983.42892336452</v>
      </c>
      <c r="D117" s="7">
        <f t="shared" si="8"/>
        <v>387057.09299999999</v>
      </c>
      <c r="E117" s="7">
        <f t="shared" si="9"/>
        <v>35453</v>
      </c>
      <c r="F117" s="7">
        <f t="shared" si="10"/>
        <v>161880</v>
      </c>
      <c r="G117" s="7">
        <f t="shared" si="11"/>
        <v>251773.2</v>
      </c>
      <c r="H117" s="149">
        <f t="shared" si="12"/>
        <v>277729.2</v>
      </c>
      <c r="I117" s="157">
        <f t="shared" si="13"/>
        <v>4.6350000000000002E-2</v>
      </c>
      <c r="J117" s="153">
        <v>228361</v>
      </c>
      <c r="K117" s="127">
        <v>0</v>
      </c>
      <c r="L117" s="118">
        <v>239961</v>
      </c>
      <c r="M117" s="128">
        <v>0</v>
      </c>
      <c r="N117" s="127">
        <v>1</v>
      </c>
      <c r="O117" s="118">
        <v>12</v>
      </c>
      <c r="P117" s="120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28">
        <v>0</v>
      </c>
      <c r="Z117" s="127">
        <v>1</v>
      </c>
      <c r="AA117" s="120">
        <v>39</v>
      </c>
      <c r="AB117" s="118">
        <v>0</v>
      </c>
      <c r="AC117" s="119">
        <v>0</v>
      </c>
      <c r="AD117" s="127">
        <v>3</v>
      </c>
      <c r="AE117" s="118">
        <v>1851</v>
      </c>
      <c r="AF117" s="118">
        <v>0</v>
      </c>
      <c r="AG117" s="128">
        <v>0</v>
      </c>
      <c r="AH117" s="122">
        <v>1854</v>
      </c>
    </row>
    <row r="118" spans="1:34" x14ac:dyDescent="0.25">
      <c r="A118" s="17" t="s">
        <v>330</v>
      </c>
      <c r="B118" s="90" t="s">
        <v>331</v>
      </c>
      <c r="C118" s="8">
        <f t="shared" si="7"/>
        <v>319214.84331661178</v>
      </c>
      <c r="D118" s="7">
        <f t="shared" si="8"/>
        <v>815476.34499999997</v>
      </c>
      <c r="E118" s="7">
        <f t="shared" si="9"/>
        <v>70906</v>
      </c>
      <c r="F118" s="7">
        <f t="shared" si="10"/>
        <v>137598</v>
      </c>
      <c r="G118" s="7">
        <f t="shared" si="11"/>
        <v>100084.6</v>
      </c>
      <c r="H118" s="149">
        <f t="shared" si="12"/>
        <v>110402.6</v>
      </c>
      <c r="I118" s="157">
        <f t="shared" si="13"/>
        <v>2.1676470588235294E-2</v>
      </c>
      <c r="J118" s="153">
        <v>513521</v>
      </c>
      <c r="K118" s="127">
        <v>0</v>
      </c>
      <c r="L118" s="118">
        <v>505565</v>
      </c>
      <c r="M118" s="128">
        <v>0</v>
      </c>
      <c r="N118" s="127">
        <v>2</v>
      </c>
      <c r="O118" s="118">
        <v>60</v>
      </c>
      <c r="P118" s="120">
        <v>0</v>
      </c>
      <c r="Q118" s="118">
        <v>0</v>
      </c>
      <c r="R118" s="118">
        <v>0</v>
      </c>
      <c r="S118" s="118">
        <v>0</v>
      </c>
      <c r="T118" s="118">
        <v>0</v>
      </c>
      <c r="U118" s="118">
        <v>0</v>
      </c>
      <c r="V118" s="118">
        <v>0</v>
      </c>
      <c r="W118" s="118">
        <v>0</v>
      </c>
      <c r="X118" s="118">
        <v>0</v>
      </c>
      <c r="Y118" s="128">
        <v>0</v>
      </c>
      <c r="Z118" s="127">
        <v>19</v>
      </c>
      <c r="AA118" s="120">
        <v>15</v>
      </c>
      <c r="AB118" s="118">
        <v>0</v>
      </c>
      <c r="AC118" s="119">
        <v>0</v>
      </c>
      <c r="AD118" s="127">
        <v>595</v>
      </c>
      <c r="AE118" s="118">
        <v>142</v>
      </c>
      <c r="AF118" s="118">
        <v>0</v>
      </c>
      <c r="AG118" s="128">
        <v>0</v>
      </c>
      <c r="AH118" s="122">
        <v>737</v>
      </c>
    </row>
    <row r="119" spans="1:34" x14ac:dyDescent="0.25">
      <c r="A119" s="17" t="s">
        <v>332</v>
      </c>
      <c r="B119" s="90" t="s">
        <v>333</v>
      </c>
      <c r="C119" s="8">
        <f t="shared" si="7"/>
        <v>413471.63408037054</v>
      </c>
      <c r="D119" s="7">
        <f t="shared" si="8"/>
        <v>1044362.6579999999</v>
      </c>
      <c r="E119" s="7">
        <f t="shared" si="9"/>
        <v>0</v>
      </c>
      <c r="F119" s="7">
        <f t="shared" si="10"/>
        <v>1393100</v>
      </c>
      <c r="G119" s="7">
        <f t="shared" si="11"/>
        <v>742376</v>
      </c>
      <c r="H119" s="149">
        <f t="shared" si="12"/>
        <v>581224</v>
      </c>
      <c r="I119" s="157">
        <f t="shared" si="13"/>
        <v>4.6746987951807227E-2</v>
      </c>
      <c r="J119" s="153">
        <v>677807</v>
      </c>
      <c r="K119" s="127">
        <v>0</v>
      </c>
      <c r="L119" s="118">
        <v>647466</v>
      </c>
      <c r="M119" s="128">
        <v>0</v>
      </c>
      <c r="N119" s="127">
        <v>0</v>
      </c>
      <c r="O119" s="118">
        <v>0</v>
      </c>
      <c r="P119" s="120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28">
        <v>0</v>
      </c>
      <c r="Z119" s="127">
        <v>11</v>
      </c>
      <c r="AA119" s="120">
        <v>59</v>
      </c>
      <c r="AB119" s="118">
        <v>13</v>
      </c>
      <c r="AC119" s="119">
        <v>0</v>
      </c>
      <c r="AD119" s="127">
        <v>171</v>
      </c>
      <c r="AE119" s="118">
        <v>3094</v>
      </c>
      <c r="AF119" s="118">
        <v>695</v>
      </c>
      <c r="AG119" s="128">
        <v>0</v>
      </c>
      <c r="AH119" s="122">
        <v>3880</v>
      </c>
    </row>
    <row r="120" spans="1:34" x14ac:dyDescent="0.25">
      <c r="A120" s="17" t="s">
        <v>42</v>
      </c>
      <c r="B120" s="90" t="s">
        <v>334</v>
      </c>
      <c r="C120" s="8">
        <f t="shared" si="7"/>
        <v>324723.92302991421</v>
      </c>
      <c r="D120" s="7">
        <f t="shared" si="8"/>
        <v>843655.45499999996</v>
      </c>
      <c r="E120" s="7">
        <f t="shared" si="9"/>
        <v>0</v>
      </c>
      <c r="F120" s="7">
        <f t="shared" si="10"/>
        <v>767181</v>
      </c>
      <c r="G120" s="7">
        <f t="shared" si="11"/>
        <v>226650.2</v>
      </c>
      <c r="H120" s="149">
        <f t="shared" si="12"/>
        <v>250016.2</v>
      </c>
      <c r="I120" s="157">
        <f t="shared" si="13"/>
        <v>2.418840579710145E-2</v>
      </c>
      <c r="J120" s="153">
        <v>523035</v>
      </c>
      <c r="K120" s="127">
        <v>0</v>
      </c>
      <c r="L120" s="118">
        <v>523035</v>
      </c>
      <c r="M120" s="128">
        <v>0</v>
      </c>
      <c r="N120" s="127">
        <v>0</v>
      </c>
      <c r="O120" s="118">
        <v>0</v>
      </c>
      <c r="P120" s="120">
        <v>0</v>
      </c>
      <c r="Q120" s="118">
        <v>0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28">
        <v>0</v>
      </c>
      <c r="Z120" s="127">
        <v>15</v>
      </c>
      <c r="AA120" s="120">
        <v>48</v>
      </c>
      <c r="AB120" s="118">
        <v>6</v>
      </c>
      <c r="AC120" s="119">
        <v>0</v>
      </c>
      <c r="AD120" s="127">
        <v>0</v>
      </c>
      <c r="AE120" s="118">
        <v>1669</v>
      </c>
      <c r="AF120" s="118">
        <v>0</v>
      </c>
      <c r="AG120" s="128">
        <v>0</v>
      </c>
      <c r="AH120" s="122">
        <v>1669</v>
      </c>
    </row>
    <row r="121" spans="1:34" x14ac:dyDescent="0.25">
      <c r="A121" s="17" t="s">
        <v>53</v>
      </c>
      <c r="B121" s="90" t="s">
        <v>335</v>
      </c>
      <c r="C121" s="8">
        <f t="shared" si="7"/>
        <v>1126444.3324129325</v>
      </c>
      <c r="D121" s="7">
        <f t="shared" si="8"/>
        <v>3118848.41</v>
      </c>
      <c r="E121" s="7">
        <f t="shared" si="9"/>
        <v>486452</v>
      </c>
      <c r="F121" s="7">
        <f t="shared" si="10"/>
        <v>3391386</v>
      </c>
      <c r="G121" s="7">
        <f t="shared" si="11"/>
        <v>2151479.4000000004</v>
      </c>
      <c r="H121" s="149">
        <f t="shared" si="12"/>
        <v>2373281.4000000004</v>
      </c>
      <c r="I121" s="157">
        <f t="shared" si="13"/>
        <v>1.8905727923627685E-2</v>
      </c>
      <c r="J121" s="153">
        <v>1986449</v>
      </c>
      <c r="K121" s="127">
        <v>0</v>
      </c>
      <c r="L121" s="118">
        <v>1933570</v>
      </c>
      <c r="M121" s="128">
        <v>0</v>
      </c>
      <c r="N121" s="127">
        <v>3</v>
      </c>
      <c r="O121" s="118">
        <v>56</v>
      </c>
      <c r="P121" s="120">
        <v>1</v>
      </c>
      <c r="Q121" s="118">
        <v>90</v>
      </c>
      <c r="R121" s="118">
        <v>1</v>
      </c>
      <c r="S121" s="118">
        <v>135</v>
      </c>
      <c r="T121" s="118">
        <v>1</v>
      </c>
      <c r="U121" s="118">
        <v>256</v>
      </c>
      <c r="V121" s="118">
        <v>0</v>
      </c>
      <c r="W121" s="118">
        <v>0</v>
      </c>
      <c r="X121" s="118">
        <v>0</v>
      </c>
      <c r="Y121" s="128">
        <v>0</v>
      </c>
      <c r="Z121" s="127">
        <v>522</v>
      </c>
      <c r="AA121" s="120">
        <v>316</v>
      </c>
      <c r="AB121" s="118">
        <v>0</v>
      </c>
      <c r="AC121" s="119">
        <v>0</v>
      </c>
      <c r="AD121" s="127">
        <v>5943</v>
      </c>
      <c r="AE121" s="118">
        <v>9900</v>
      </c>
      <c r="AF121" s="118">
        <v>0</v>
      </c>
      <c r="AG121" s="128">
        <v>0</v>
      </c>
      <c r="AH121" s="122">
        <v>15843</v>
      </c>
    </row>
    <row r="122" spans="1:34" x14ac:dyDescent="0.25">
      <c r="A122" s="17" t="s">
        <v>43</v>
      </c>
      <c r="B122" s="90" t="s">
        <v>336</v>
      </c>
      <c r="C122" s="8">
        <f t="shared" si="7"/>
        <v>663875.78186417255</v>
      </c>
      <c r="D122" s="7">
        <f t="shared" si="8"/>
        <v>1668646.8870000001</v>
      </c>
      <c r="E122" s="7">
        <f t="shared" si="9"/>
        <v>786310</v>
      </c>
      <c r="F122" s="7">
        <f t="shared" si="10"/>
        <v>6635178</v>
      </c>
      <c r="G122" s="7">
        <f t="shared" si="11"/>
        <v>1771259.8000000003</v>
      </c>
      <c r="H122" s="149">
        <f t="shared" si="12"/>
        <v>1710716.0000000002</v>
      </c>
      <c r="I122" s="157">
        <f t="shared" si="13"/>
        <v>4.5138339920948616E-2</v>
      </c>
      <c r="J122" s="153">
        <v>1126490</v>
      </c>
      <c r="K122" s="127">
        <v>0</v>
      </c>
      <c r="L122" s="118">
        <v>1034499</v>
      </c>
      <c r="M122" s="128">
        <v>0</v>
      </c>
      <c r="N122" s="127">
        <v>2</v>
      </c>
      <c r="O122" s="118">
        <v>20</v>
      </c>
      <c r="P122" s="120">
        <v>0</v>
      </c>
      <c r="Q122" s="118">
        <v>0</v>
      </c>
      <c r="R122" s="118">
        <v>0</v>
      </c>
      <c r="S122" s="118">
        <v>0</v>
      </c>
      <c r="T122" s="118">
        <v>2</v>
      </c>
      <c r="U122" s="118">
        <v>700</v>
      </c>
      <c r="V122" s="118">
        <v>2</v>
      </c>
      <c r="W122" s="118">
        <v>900</v>
      </c>
      <c r="X122" s="118">
        <v>0</v>
      </c>
      <c r="Y122" s="128">
        <v>0</v>
      </c>
      <c r="Z122" s="127">
        <v>18</v>
      </c>
      <c r="AA122" s="120">
        <v>166</v>
      </c>
      <c r="AB122" s="118">
        <v>69</v>
      </c>
      <c r="AC122" s="119">
        <v>0</v>
      </c>
      <c r="AD122" s="127">
        <v>145</v>
      </c>
      <c r="AE122" s="118">
        <v>7348</v>
      </c>
      <c r="AF122" s="118">
        <v>1752</v>
      </c>
      <c r="AG122" s="128">
        <v>0</v>
      </c>
      <c r="AH122" s="122">
        <v>11420</v>
      </c>
    </row>
    <row r="123" spans="1:34" x14ac:dyDescent="0.25">
      <c r="A123" s="17" t="s">
        <v>337</v>
      </c>
      <c r="B123" s="90" t="s">
        <v>338</v>
      </c>
      <c r="C123" s="8">
        <f t="shared" si="7"/>
        <v>304679.59915852197</v>
      </c>
      <c r="D123" s="7">
        <f t="shared" si="8"/>
        <v>787913.40099999995</v>
      </c>
      <c r="E123" s="7">
        <f t="shared" si="9"/>
        <v>35453</v>
      </c>
      <c r="F123" s="7">
        <f t="shared" si="10"/>
        <v>489687</v>
      </c>
      <c r="G123" s="7">
        <f t="shared" si="11"/>
        <v>321031.2</v>
      </c>
      <c r="H123" s="149">
        <f t="shared" si="12"/>
        <v>362366.2</v>
      </c>
      <c r="I123" s="157">
        <f t="shared" si="13"/>
        <v>1.9991735537190084E-2</v>
      </c>
      <c r="J123" s="153">
        <v>488477</v>
      </c>
      <c r="K123" s="127">
        <v>0</v>
      </c>
      <c r="L123" s="118">
        <v>488477</v>
      </c>
      <c r="M123" s="128">
        <v>0</v>
      </c>
      <c r="N123" s="127">
        <v>1</v>
      </c>
      <c r="O123" s="118">
        <v>0</v>
      </c>
      <c r="P123" s="120">
        <v>0</v>
      </c>
      <c r="Q123" s="118">
        <v>0</v>
      </c>
      <c r="R123" s="118">
        <v>0</v>
      </c>
      <c r="S123" s="118">
        <v>0</v>
      </c>
      <c r="T123" s="118">
        <v>0</v>
      </c>
      <c r="U123" s="118">
        <v>0</v>
      </c>
      <c r="V123" s="118">
        <v>0</v>
      </c>
      <c r="W123" s="118">
        <v>0</v>
      </c>
      <c r="X123" s="118">
        <v>0</v>
      </c>
      <c r="Y123" s="128">
        <v>0</v>
      </c>
      <c r="Z123" s="127">
        <v>49</v>
      </c>
      <c r="AA123" s="120">
        <v>72</v>
      </c>
      <c r="AB123" s="118">
        <v>0</v>
      </c>
      <c r="AC123" s="119">
        <v>0</v>
      </c>
      <c r="AD123" s="127">
        <v>311</v>
      </c>
      <c r="AE123" s="118">
        <v>2053</v>
      </c>
      <c r="AF123" s="118">
        <v>0</v>
      </c>
      <c r="AG123" s="128">
        <v>0</v>
      </c>
      <c r="AH123" s="122">
        <v>2419</v>
      </c>
    </row>
    <row r="124" spans="1:34" x14ac:dyDescent="0.25">
      <c r="A124" s="17" t="s">
        <v>339</v>
      </c>
      <c r="B124" s="90" t="s">
        <v>340</v>
      </c>
      <c r="C124" s="8">
        <f t="shared" ref="C124:C184" si="14">1.518*J124^0.9321</f>
        <v>214734.8212991578</v>
      </c>
      <c r="D124" s="7">
        <f t="shared" si="8"/>
        <v>473556.57900000003</v>
      </c>
      <c r="E124" s="7">
        <f t="shared" si="9"/>
        <v>106359</v>
      </c>
      <c r="F124" s="7">
        <f t="shared" si="10"/>
        <v>194256</v>
      </c>
      <c r="G124" s="7">
        <f t="shared" si="11"/>
        <v>291291</v>
      </c>
      <c r="H124" s="149">
        <f t="shared" si="12"/>
        <v>303794.40000000002</v>
      </c>
      <c r="I124" s="157">
        <f t="shared" si="13"/>
        <v>4.2250000000000003E-2</v>
      </c>
      <c r="J124" s="153">
        <v>335610</v>
      </c>
      <c r="K124" s="127">
        <v>1</v>
      </c>
      <c r="L124" s="118">
        <v>293587</v>
      </c>
      <c r="M124" s="128">
        <v>0</v>
      </c>
      <c r="N124" s="127">
        <v>3</v>
      </c>
      <c r="O124" s="118">
        <v>60</v>
      </c>
      <c r="P124" s="120">
        <v>0</v>
      </c>
      <c r="Q124" s="118">
        <v>0</v>
      </c>
      <c r="R124" s="118">
        <v>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28">
        <v>0</v>
      </c>
      <c r="Z124" s="127">
        <v>1</v>
      </c>
      <c r="AA124" s="120">
        <v>47</v>
      </c>
      <c r="AB124" s="118">
        <v>0</v>
      </c>
      <c r="AC124" s="119">
        <v>0</v>
      </c>
      <c r="AD124" s="127">
        <v>36</v>
      </c>
      <c r="AE124" s="118">
        <v>2109</v>
      </c>
      <c r="AF124" s="118">
        <v>0</v>
      </c>
      <c r="AG124" s="128">
        <v>0</v>
      </c>
      <c r="AH124" s="122">
        <v>2028</v>
      </c>
    </row>
    <row r="125" spans="1:34" x14ac:dyDescent="0.25">
      <c r="A125" s="17" t="s">
        <v>341</v>
      </c>
      <c r="B125" s="90" t="s">
        <v>342</v>
      </c>
      <c r="C125" s="8">
        <f t="shared" si="14"/>
        <v>196987.47992883646</v>
      </c>
      <c r="D125" s="7">
        <f t="shared" ref="D125:D185" si="15">0.748*K125+1.613*L125+1.774*M125</f>
        <v>400828.88699999999</v>
      </c>
      <c r="E125" s="7">
        <f t="shared" ref="E125:E185" si="16">35453*N125+56469*P125+144773*R125+178851*(T125+V125)+440*Y125</f>
        <v>0</v>
      </c>
      <c r="F125" s="7">
        <f t="shared" ref="F125:F185" si="17">4047*(Z125+AA125)+85370*(AB125+AC125)</f>
        <v>254961</v>
      </c>
      <c r="G125" s="7">
        <f t="shared" ref="G125:G185" si="18">135.8*(AD125+AE125)+430.2*AF125+1208.1*AG125</f>
        <v>366252.60000000003</v>
      </c>
      <c r="H125" s="149">
        <f t="shared" ref="H125:H185" si="19">149.8*AH125</f>
        <v>393075.20000000001</v>
      </c>
      <c r="I125" s="157">
        <f t="shared" ref="I125:I185" si="20">IF(SUM(Z125:AC125)&gt;0,(AH125/(SUM(Z125:AC125)*1000)),0)</f>
        <v>4.1650793650793654E-2</v>
      </c>
      <c r="J125" s="153">
        <v>305944</v>
      </c>
      <c r="K125" s="127">
        <v>0</v>
      </c>
      <c r="L125" s="118">
        <v>248499</v>
      </c>
      <c r="M125" s="128">
        <v>0</v>
      </c>
      <c r="N125" s="127">
        <v>0</v>
      </c>
      <c r="O125" s="118">
        <v>0</v>
      </c>
      <c r="P125" s="120">
        <v>0</v>
      </c>
      <c r="Q125" s="118">
        <v>0</v>
      </c>
      <c r="R125" s="118">
        <v>0</v>
      </c>
      <c r="S125" s="118">
        <v>0</v>
      </c>
      <c r="T125" s="118">
        <v>0</v>
      </c>
      <c r="U125" s="118">
        <v>0</v>
      </c>
      <c r="V125" s="118">
        <v>0</v>
      </c>
      <c r="W125" s="118">
        <v>0</v>
      </c>
      <c r="X125" s="118">
        <v>0</v>
      </c>
      <c r="Y125" s="128">
        <v>0</v>
      </c>
      <c r="Z125" s="127">
        <v>20</v>
      </c>
      <c r="AA125" s="120">
        <v>43</v>
      </c>
      <c r="AB125" s="118">
        <v>0</v>
      </c>
      <c r="AC125" s="119">
        <v>0</v>
      </c>
      <c r="AD125" s="127">
        <v>24</v>
      </c>
      <c r="AE125" s="118">
        <v>2673</v>
      </c>
      <c r="AF125" s="118">
        <v>0</v>
      </c>
      <c r="AG125" s="128">
        <v>0</v>
      </c>
      <c r="AH125" s="122">
        <v>2624</v>
      </c>
    </row>
    <row r="126" spans="1:34" x14ac:dyDescent="0.25">
      <c r="A126" s="17" t="s">
        <v>343</v>
      </c>
      <c r="B126" s="90" t="s">
        <v>344</v>
      </c>
      <c r="C126" s="8">
        <f t="shared" si="14"/>
        <v>144849.28340432103</v>
      </c>
      <c r="D126" s="7">
        <f t="shared" si="15"/>
        <v>349791.95399999997</v>
      </c>
      <c r="E126" s="7">
        <f t="shared" si="16"/>
        <v>106359</v>
      </c>
      <c r="F126" s="7">
        <f t="shared" si="17"/>
        <v>312833.09999999998</v>
      </c>
      <c r="G126" s="7">
        <f t="shared" si="18"/>
        <v>187539.80000000002</v>
      </c>
      <c r="H126" s="149">
        <f t="shared" si="19"/>
        <v>206873.80000000002</v>
      </c>
      <c r="I126" s="157">
        <f t="shared" si="20"/>
        <v>1.7865459249676585E-2</v>
      </c>
      <c r="J126" s="153">
        <v>219985</v>
      </c>
      <c r="K126" s="127">
        <v>0</v>
      </c>
      <c r="L126" s="118">
        <v>216858</v>
      </c>
      <c r="M126" s="128"/>
      <c r="N126" s="127">
        <v>3</v>
      </c>
      <c r="O126" s="118">
        <v>0</v>
      </c>
      <c r="P126" s="120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28">
        <v>0</v>
      </c>
      <c r="Z126" s="127">
        <v>51</v>
      </c>
      <c r="AA126" s="120">
        <v>26.3</v>
      </c>
      <c r="AB126" s="118">
        <v>0</v>
      </c>
      <c r="AC126" s="119">
        <v>0</v>
      </c>
      <c r="AD126" s="127">
        <v>465</v>
      </c>
      <c r="AE126" s="118">
        <v>916</v>
      </c>
      <c r="AF126" s="118">
        <v>0</v>
      </c>
      <c r="AG126" s="128">
        <v>0</v>
      </c>
      <c r="AH126" s="122">
        <v>1381</v>
      </c>
    </row>
    <row r="127" spans="1:34" x14ac:dyDescent="0.25">
      <c r="A127" s="17" t="s">
        <v>345</v>
      </c>
      <c r="B127" s="90" t="s">
        <v>346</v>
      </c>
      <c r="C127" s="8">
        <f t="shared" si="14"/>
        <v>784410.95791187801</v>
      </c>
      <c r="D127" s="7">
        <f t="shared" si="15"/>
        <v>2001466.5279999999</v>
      </c>
      <c r="E127" s="7">
        <f t="shared" si="16"/>
        <v>346015</v>
      </c>
      <c r="F127" s="7">
        <f t="shared" si="17"/>
        <v>1193865</v>
      </c>
      <c r="G127" s="7">
        <f t="shared" si="18"/>
        <v>696789.8</v>
      </c>
      <c r="H127" s="149">
        <f t="shared" si="19"/>
        <v>824948.60000000009</v>
      </c>
      <c r="I127" s="157">
        <f t="shared" si="20"/>
        <v>1.8667796610169492E-2</v>
      </c>
      <c r="J127" s="153">
        <v>1347294</v>
      </c>
      <c r="K127" s="127">
        <v>168957</v>
      </c>
      <c r="L127" s="118">
        <v>1162484</v>
      </c>
      <c r="M127" s="128">
        <v>0</v>
      </c>
      <c r="N127" s="127">
        <v>0</v>
      </c>
      <c r="O127" s="118">
        <v>0</v>
      </c>
      <c r="P127" s="120">
        <v>1</v>
      </c>
      <c r="Q127" s="118">
        <v>65</v>
      </c>
      <c r="R127" s="118">
        <v>2</v>
      </c>
      <c r="S127" s="118">
        <v>231</v>
      </c>
      <c r="T127" s="118">
        <v>0</v>
      </c>
      <c r="U127" s="118">
        <v>0</v>
      </c>
      <c r="V127" s="118">
        <v>0</v>
      </c>
      <c r="W127" s="118">
        <v>0</v>
      </c>
      <c r="X127" s="118">
        <v>0</v>
      </c>
      <c r="Y127" s="128">
        <v>0</v>
      </c>
      <c r="Z127" s="127">
        <v>171.5</v>
      </c>
      <c r="AA127" s="120">
        <v>123.5</v>
      </c>
      <c r="AB127" s="118">
        <v>0</v>
      </c>
      <c r="AC127" s="119">
        <v>0</v>
      </c>
      <c r="AD127" s="127">
        <v>1111</v>
      </c>
      <c r="AE127" s="118">
        <v>4020</v>
      </c>
      <c r="AF127" s="118">
        <v>0</v>
      </c>
      <c r="AG127" s="128">
        <v>0</v>
      </c>
      <c r="AH127" s="122">
        <v>5507</v>
      </c>
    </row>
    <row r="128" spans="1:34" x14ac:dyDescent="0.25">
      <c r="A128" s="17" t="s">
        <v>347</v>
      </c>
      <c r="B128" s="90" t="s">
        <v>348</v>
      </c>
      <c r="C128" s="8">
        <f t="shared" si="14"/>
        <v>978204.34290499601</v>
      </c>
      <c r="D128" s="7">
        <f t="shared" si="15"/>
        <v>2733596.264</v>
      </c>
      <c r="E128" s="7">
        <f t="shared" si="16"/>
        <v>180226</v>
      </c>
      <c r="F128" s="7">
        <f t="shared" si="17"/>
        <v>1740210</v>
      </c>
      <c r="G128" s="7">
        <f t="shared" si="18"/>
        <v>1024067.8</v>
      </c>
      <c r="H128" s="149">
        <f t="shared" si="19"/>
        <v>1129641.8</v>
      </c>
      <c r="I128" s="157">
        <f t="shared" si="20"/>
        <v>1.7537209302325583E-2</v>
      </c>
      <c r="J128" s="153">
        <v>1707392</v>
      </c>
      <c r="K128" s="127">
        <v>0</v>
      </c>
      <c r="L128" s="118">
        <v>1694728</v>
      </c>
      <c r="M128" s="128">
        <v>0</v>
      </c>
      <c r="N128" s="127">
        <v>1</v>
      </c>
      <c r="O128" s="118">
        <v>20</v>
      </c>
      <c r="P128" s="120">
        <v>0</v>
      </c>
      <c r="Q128" s="118">
        <v>0</v>
      </c>
      <c r="R128" s="118">
        <v>1</v>
      </c>
      <c r="S128" s="118">
        <v>200</v>
      </c>
      <c r="T128" s="118">
        <v>0</v>
      </c>
      <c r="U128" s="118">
        <v>0</v>
      </c>
      <c r="V128" s="118">
        <v>0</v>
      </c>
      <c r="W128" s="118">
        <v>0</v>
      </c>
      <c r="X128" s="118">
        <v>0</v>
      </c>
      <c r="Y128" s="128">
        <v>0</v>
      </c>
      <c r="Z128" s="127">
        <v>317</v>
      </c>
      <c r="AA128" s="120">
        <v>113</v>
      </c>
      <c r="AB128" s="118">
        <v>0</v>
      </c>
      <c r="AC128" s="119">
        <v>0</v>
      </c>
      <c r="AD128" s="127">
        <v>3234</v>
      </c>
      <c r="AE128" s="118">
        <v>4307</v>
      </c>
      <c r="AF128" s="118">
        <v>0</v>
      </c>
      <c r="AG128" s="128">
        <v>0</v>
      </c>
      <c r="AH128" s="122">
        <v>7541</v>
      </c>
    </row>
    <row r="129" spans="1:34" x14ac:dyDescent="0.25">
      <c r="A129" s="17" t="s">
        <v>485</v>
      </c>
      <c r="B129" s="90" t="s">
        <v>349</v>
      </c>
      <c r="C129" s="8">
        <f t="shared" si="14"/>
        <v>395703.3164172087</v>
      </c>
      <c r="D129" s="7">
        <f t="shared" si="15"/>
        <v>921922.62400000007</v>
      </c>
      <c r="E129" s="7">
        <f t="shared" si="16"/>
        <v>141812</v>
      </c>
      <c r="F129" s="7">
        <f t="shared" si="17"/>
        <v>469452</v>
      </c>
      <c r="G129" s="7">
        <f t="shared" si="18"/>
        <v>510608.00000000006</v>
      </c>
      <c r="H129" s="149">
        <f t="shared" si="19"/>
        <v>611333.80000000005</v>
      </c>
      <c r="I129" s="157">
        <f t="shared" si="20"/>
        <v>3.5181034482758618E-2</v>
      </c>
      <c r="J129" s="153">
        <v>646607</v>
      </c>
      <c r="K129" s="127">
        <v>101778</v>
      </c>
      <c r="L129" s="118">
        <v>524360</v>
      </c>
      <c r="M129" s="128">
        <v>0</v>
      </c>
      <c r="N129" s="127">
        <v>4</v>
      </c>
      <c r="O129" s="118">
        <v>0</v>
      </c>
      <c r="P129" s="120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28">
        <v>0</v>
      </c>
      <c r="Z129" s="127">
        <v>23</v>
      </c>
      <c r="AA129" s="120">
        <v>93</v>
      </c>
      <c r="AB129" s="118">
        <v>0</v>
      </c>
      <c r="AC129" s="119">
        <v>0</v>
      </c>
      <c r="AD129" s="127">
        <v>100</v>
      </c>
      <c r="AE129" s="118">
        <v>3660</v>
      </c>
      <c r="AF129" s="118">
        <v>0</v>
      </c>
      <c r="AG129" s="128">
        <v>0</v>
      </c>
      <c r="AH129" s="122">
        <v>4081</v>
      </c>
    </row>
    <row r="130" spans="1:34" x14ac:dyDescent="0.25">
      <c r="A130" s="17" t="s">
        <v>350</v>
      </c>
      <c r="B130" s="90" t="s">
        <v>351</v>
      </c>
      <c r="C130" s="8">
        <f t="shared" si="14"/>
        <v>197621.16325200599</v>
      </c>
      <c r="D130" s="7">
        <f t="shared" si="15"/>
        <v>495191</v>
      </c>
      <c r="E130" s="7">
        <f t="shared" si="16"/>
        <v>35453</v>
      </c>
      <c r="F130" s="7">
        <f t="shared" si="17"/>
        <v>141645</v>
      </c>
      <c r="G130" s="7">
        <f t="shared" si="18"/>
        <v>115430.00000000001</v>
      </c>
      <c r="H130" s="149">
        <f t="shared" si="19"/>
        <v>127330.00000000001</v>
      </c>
      <c r="I130" s="157">
        <f t="shared" si="20"/>
        <v>2.4285714285714285E-2</v>
      </c>
      <c r="J130" s="153">
        <v>307000</v>
      </c>
      <c r="K130" s="127">
        <v>0</v>
      </c>
      <c r="L130" s="118">
        <v>307000</v>
      </c>
      <c r="M130" s="128">
        <v>0</v>
      </c>
      <c r="N130" s="127">
        <v>1</v>
      </c>
      <c r="O130" s="118">
        <v>10</v>
      </c>
      <c r="P130" s="120">
        <v>0</v>
      </c>
      <c r="Q130" s="118">
        <v>0</v>
      </c>
      <c r="R130" s="118">
        <v>0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>
        <v>0</v>
      </c>
      <c r="Y130" s="128">
        <v>0</v>
      </c>
      <c r="Z130" s="127">
        <v>0</v>
      </c>
      <c r="AA130" s="120">
        <v>35</v>
      </c>
      <c r="AB130" s="118">
        <v>0</v>
      </c>
      <c r="AC130" s="119">
        <v>0</v>
      </c>
      <c r="AD130" s="127">
        <v>0</v>
      </c>
      <c r="AE130" s="118">
        <v>850</v>
      </c>
      <c r="AF130" s="118">
        <v>0</v>
      </c>
      <c r="AG130" s="128">
        <v>0</v>
      </c>
      <c r="AH130" s="122">
        <v>850</v>
      </c>
    </row>
    <row r="131" spans="1:34" x14ac:dyDescent="0.25">
      <c r="A131" s="17" t="s">
        <v>44</v>
      </c>
      <c r="B131" s="90" t="s">
        <v>352</v>
      </c>
      <c r="C131" s="8">
        <f t="shared" si="14"/>
        <v>751694.52552140749</v>
      </c>
      <c r="D131" s="7">
        <f t="shared" si="15"/>
        <v>2028347.5</v>
      </c>
      <c r="E131" s="7">
        <f t="shared" si="16"/>
        <v>162828</v>
      </c>
      <c r="F131" s="7">
        <f t="shared" si="17"/>
        <v>740601</v>
      </c>
      <c r="G131" s="7">
        <f t="shared" si="18"/>
        <v>1017142.0000000001</v>
      </c>
      <c r="H131" s="149">
        <f t="shared" si="19"/>
        <v>1127694.4000000001</v>
      </c>
      <c r="I131" s="157">
        <f t="shared" si="20"/>
        <v>4.1136612021857921E-2</v>
      </c>
      <c r="J131" s="153">
        <v>1287100</v>
      </c>
      <c r="K131" s="127">
        <v>0</v>
      </c>
      <c r="L131" s="118">
        <v>1257500</v>
      </c>
      <c r="M131" s="128">
        <v>0</v>
      </c>
      <c r="N131" s="127">
        <v>3</v>
      </c>
      <c r="O131" s="118">
        <v>21</v>
      </c>
      <c r="P131" s="120">
        <v>1</v>
      </c>
      <c r="Q131" s="118">
        <v>60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28">
        <v>0</v>
      </c>
      <c r="Z131" s="127">
        <v>42</v>
      </c>
      <c r="AA131" s="120">
        <v>141</v>
      </c>
      <c r="AB131" s="118">
        <v>0</v>
      </c>
      <c r="AC131" s="119">
        <v>0</v>
      </c>
      <c r="AD131" s="127">
        <v>82</v>
      </c>
      <c r="AE131" s="118">
        <v>7408</v>
      </c>
      <c r="AF131" s="118">
        <v>0</v>
      </c>
      <c r="AG131" s="128">
        <v>0</v>
      </c>
      <c r="AH131" s="122">
        <v>7528</v>
      </c>
    </row>
    <row r="132" spans="1:34" x14ac:dyDescent="0.25">
      <c r="A132" s="17" t="s">
        <v>60</v>
      </c>
      <c r="B132" s="90" t="s">
        <v>353</v>
      </c>
      <c r="C132" s="8">
        <f t="shared" si="14"/>
        <v>1408233.4360552926</v>
      </c>
      <c r="D132" s="7">
        <f t="shared" si="15"/>
        <v>3642955.6609999998</v>
      </c>
      <c r="E132" s="7">
        <f t="shared" si="16"/>
        <v>872015</v>
      </c>
      <c r="F132" s="7">
        <f t="shared" si="17"/>
        <v>4800240</v>
      </c>
      <c r="G132" s="7">
        <f t="shared" si="18"/>
        <v>1830099.0000000002</v>
      </c>
      <c r="H132" s="149">
        <f t="shared" si="19"/>
        <v>2113977.6</v>
      </c>
      <c r="I132" s="157">
        <f t="shared" si="20"/>
        <v>2.6982791586998088E-2</v>
      </c>
      <c r="J132" s="153">
        <v>2524096</v>
      </c>
      <c r="K132" s="127">
        <v>0</v>
      </c>
      <c r="L132" s="118">
        <v>2258497</v>
      </c>
      <c r="M132" s="128">
        <v>0</v>
      </c>
      <c r="N132" s="127">
        <v>9</v>
      </c>
      <c r="O132" s="118">
        <v>92</v>
      </c>
      <c r="P132" s="120">
        <v>2</v>
      </c>
      <c r="Q132" s="118">
        <v>186</v>
      </c>
      <c r="R132" s="118">
        <v>0</v>
      </c>
      <c r="S132" s="118">
        <v>0</v>
      </c>
      <c r="T132" s="118">
        <v>0</v>
      </c>
      <c r="U132" s="118">
        <v>0</v>
      </c>
      <c r="V132" s="118">
        <v>0</v>
      </c>
      <c r="W132" s="118">
        <v>0</v>
      </c>
      <c r="X132" s="118">
        <v>1</v>
      </c>
      <c r="Y132" s="128">
        <v>1000</v>
      </c>
      <c r="Z132" s="127">
        <v>249</v>
      </c>
      <c r="AA132" s="120">
        <v>241</v>
      </c>
      <c r="AB132" s="118">
        <v>33</v>
      </c>
      <c r="AC132" s="119">
        <v>0</v>
      </c>
      <c r="AD132" s="127">
        <v>1515</v>
      </c>
      <c r="AE132" s="118">
        <v>8274</v>
      </c>
      <c r="AF132" s="118">
        <v>1164</v>
      </c>
      <c r="AG132" s="128">
        <v>0</v>
      </c>
      <c r="AH132" s="122">
        <v>14112</v>
      </c>
    </row>
    <row r="133" spans="1:34" x14ac:dyDescent="0.25">
      <c r="A133" s="17" t="s">
        <v>354</v>
      </c>
      <c r="B133" s="90" t="s">
        <v>355</v>
      </c>
      <c r="C133" s="8">
        <f t="shared" si="14"/>
        <v>148366.00656647296</v>
      </c>
      <c r="D133" s="7">
        <f t="shared" si="15"/>
        <v>400427.28</v>
      </c>
      <c r="E133" s="7">
        <f t="shared" si="16"/>
        <v>0</v>
      </c>
      <c r="F133" s="7">
        <f t="shared" si="17"/>
        <v>384465</v>
      </c>
      <c r="G133" s="7">
        <f t="shared" si="18"/>
        <v>102936.40000000001</v>
      </c>
      <c r="H133" s="149">
        <f t="shared" si="19"/>
        <v>106208.20000000001</v>
      </c>
      <c r="I133" s="157">
        <f t="shared" si="20"/>
        <v>7.4631578947368417E-3</v>
      </c>
      <c r="J133" s="153">
        <v>225720</v>
      </c>
      <c r="K133" s="127">
        <v>0</v>
      </c>
      <c r="L133" s="118">
        <v>0</v>
      </c>
      <c r="M133" s="128">
        <v>225720</v>
      </c>
      <c r="N133" s="127">
        <v>0</v>
      </c>
      <c r="O133" s="118">
        <v>0</v>
      </c>
      <c r="P133" s="120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0</v>
      </c>
      <c r="W133" s="118">
        <v>0</v>
      </c>
      <c r="X133" s="118">
        <v>0</v>
      </c>
      <c r="Y133" s="128">
        <v>0</v>
      </c>
      <c r="Z133" s="127">
        <v>84</v>
      </c>
      <c r="AA133" s="120">
        <v>11</v>
      </c>
      <c r="AB133" s="118">
        <v>0</v>
      </c>
      <c r="AC133" s="119">
        <v>0</v>
      </c>
      <c r="AD133" s="127">
        <v>229</v>
      </c>
      <c r="AE133" s="118">
        <v>529</v>
      </c>
      <c r="AF133" s="118">
        <v>0</v>
      </c>
      <c r="AG133" s="128">
        <v>0</v>
      </c>
      <c r="AH133" s="122">
        <v>709</v>
      </c>
    </row>
    <row r="134" spans="1:34" x14ac:dyDescent="0.25">
      <c r="A134" s="17" t="s">
        <v>356</v>
      </c>
      <c r="B134" s="90" t="s">
        <v>357</v>
      </c>
      <c r="C134" s="8">
        <f t="shared" si="14"/>
        <v>225871.37104567111</v>
      </c>
      <c r="D134" s="7">
        <f t="shared" si="15"/>
        <v>554355.84</v>
      </c>
      <c r="E134" s="7">
        <f t="shared" si="16"/>
        <v>0</v>
      </c>
      <c r="F134" s="7">
        <f t="shared" si="17"/>
        <v>372324</v>
      </c>
      <c r="G134" s="7">
        <f t="shared" si="18"/>
        <v>368425.4</v>
      </c>
      <c r="H134" s="149">
        <f t="shared" si="19"/>
        <v>405658.4</v>
      </c>
      <c r="I134" s="157">
        <f t="shared" si="20"/>
        <v>2.9434782608695653E-2</v>
      </c>
      <c r="J134" s="153">
        <v>354318</v>
      </c>
      <c r="K134" s="127">
        <v>0</v>
      </c>
      <c r="L134" s="118">
        <v>343680</v>
      </c>
      <c r="M134" s="128">
        <v>0</v>
      </c>
      <c r="N134" s="127">
        <v>0</v>
      </c>
      <c r="O134" s="118">
        <v>0</v>
      </c>
      <c r="P134" s="120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28">
        <v>0</v>
      </c>
      <c r="Z134" s="127">
        <v>23</v>
      </c>
      <c r="AA134" s="120">
        <v>69</v>
      </c>
      <c r="AB134" s="118">
        <v>0</v>
      </c>
      <c r="AC134" s="119">
        <v>0</v>
      </c>
      <c r="AD134" s="127">
        <v>152</v>
      </c>
      <c r="AE134" s="118">
        <v>2561</v>
      </c>
      <c r="AF134" s="118">
        <v>0</v>
      </c>
      <c r="AG134" s="128">
        <v>0</v>
      </c>
      <c r="AH134" s="122">
        <v>2708</v>
      </c>
    </row>
    <row r="135" spans="1:34" x14ac:dyDescent="0.25">
      <c r="A135" s="17" t="s">
        <v>358</v>
      </c>
      <c r="B135" s="90" t="s">
        <v>359</v>
      </c>
      <c r="C135" s="8">
        <f t="shared" si="14"/>
        <v>179779.52211284617</v>
      </c>
      <c r="D135" s="7">
        <f t="shared" si="15"/>
        <v>417386.33199999999</v>
      </c>
      <c r="E135" s="7">
        <f t="shared" si="16"/>
        <v>35453</v>
      </c>
      <c r="F135" s="7">
        <f t="shared" si="17"/>
        <v>129504</v>
      </c>
      <c r="G135" s="7">
        <f t="shared" si="18"/>
        <v>183737.40000000002</v>
      </c>
      <c r="H135" s="149">
        <f t="shared" si="19"/>
        <v>207622.80000000002</v>
      </c>
      <c r="I135" s="157">
        <f t="shared" si="20"/>
        <v>4.3312499999999997E-2</v>
      </c>
      <c r="J135" s="153">
        <v>277365</v>
      </c>
      <c r="K135" s="127">
        <v>0</v>
      </c>
      <c r="L135" s="118">
        <v>258764</v>
      </c>
      <c r="M135" s="128">
        <v>0</v>
      </c>
      <c r="N135" s="127">
        <v>1</v>
      </c>
      <c r="O135" s="118">
        <v>0</v>
      </c>
      <c r="P135" s="120">
        <v>0</v>
      </c>
      <c r="Q135" s="118">
        <v>0</v>
      </c>
      <c r="R135" s="118">
        <v>0</v>
      </c>
      <c r="S135" s="118">
        <v>0</v>
      </c>
      <c r="T135" s="118">
        <v>0</v>
      </c>
      <c r="U135" s="118">
        <v>0</v>
      </c>
      <c r="V135" s="118">
        <v>0</v>
      </c>
      <c r="W135" s="118">
        <v>0</v>
      </c>
      <c r="X135" s="118">
        <v>0</v>
      </c>
      <c r="Y135" s="128">
        <v>0</v>
      </c>
      <c r="Z135" s="127">
        <v>0</v>
      </c>
      <c r="AA135" s="120">
        <v>32</v>
      </c>
      <c r="AB135" s="118">
        <v>0</v>
      </c>
      <c r="AC135" s="119">
        <v>0</v>
      </c>
      <c r="AD135" s="127">
        <v>0</v>
      </c>
      <c r="AE135" s="118">
        <v>1353</v>
      </c>
      <c r="AF135" s="118">
        <v>0</v>
      </c>
      <c r="AG135" s="128">
        <v>0</v>
      </c>
      <c r="AH135" s="122">
        <v>1386</v>
      </c>
    </row>
    <row r="136" spans="1:34" x14ac:dyDescent="0.25">
      <c r="A136" s="17" t="s">
        <v>360</v>
      </c>
      <c r="B136" s="90" t="s">
        <v>361</v>
      </c>
      <c r="C136" s="8">
        <f t="shared" si="14"/>
        <v>282574.39340870403</v>
      </c>
      <c r="D136" s="7">
        <f t="shared" si="15"/>
        <v>715268.72</v>
      </c>
      <c r="E136" s="7">
        <f t="shared" si="16"/>
        <v>178851</v>
      </c>
      <c r="F136" s="7">
        <f t="shared" si="17"/>
        <v>319713</v>
      </c>
      <c r="G136" s="7">
        <f t="shared" si="18"/>
        <v>497707.00000000006</v>
      </c>
      <c r="H136" s="149">
        <f t="shared" si="19"/>
        <v>605341.80000000005</v>
      </c>
      <c r="I136" s="157">
        <f t="shared" si="20"/>
        <v>5.1151898734177213E-2</v>
      </c>
      <c r="J136" s="153">
        <v>450558</v>
      </c>
      <c r="K136" s="127">
        <v>0</v>
      </c>
      <c r="L136" s="118">
        <v>443440</v>
      </c>
      <c r="M136" s="128">
        <v>0</v>
      </c>
      <c r="N136" s="127">
        <v>0</v>
      </c>
      <c r="O136" s="118">
        <v>0</v>
      </c>
      <c r="P136" s="120">
        <v>0</v>
      </c>
      <c r="Q136" s="118">
        <v>0</v>
      </c>
      <c r="R136" s="118">
        <v>0</v>
      </c>
      <c r="S136" s="118">
        <v>0</v>
      </c>
      <c r="T136" s="118">
        <v>1</v>
      </c>
      <c r="U136" s="118">
        <v>210</v>
      </c>
      <c r="V136" s="118">
        <v>0</v>
      </c>
      <c r="W136" s="118">
        <v>0</v>
      </c>
      <c r="X136" s="118">
        <v>0</v>
      </c>
      <c r="Y136" s="128">
        <v>0</v>
      </c>
      <c r="Z136" s="127">
        <v>8</v>
      </c>
      <c r="AA136" s="120">
        <v>71</v>
      </c>
      <c r="AB136" s="118">
        <v>0</v>
      </c>
      <c r="AC136" s="119">
        <v>0</v>
      </c>
      <c r="AD136" s="127">
        <v>59</v>
      </c>
      <c r="AE136" s="118">
        <v>3606</v>
      </c>
      <c r="AF136" s="118">
        <v>0</v>
      </c>
      <c r="AG136" s="128">
        <v>0</v>
      </c>
      <c r="AH136" s="122">
        <v>4041</v>
      </c>
    </row>
    <row r="137" spans="1:34" x14ac:dyDescent="0.25">
      <c r="A137" s="17" t="s">
        <v>63</v>
      </c>
      <c r="B137" s="90" t="s">
        <v>362</v>
      </c>
      <c r="C137" s="8">
        <f t="shared" si="14"/>
        <v>147585.92755935271</v>
      </c>
      <c r="D137" s="7">
        <f t="shared" si="15"/>
        <v>362033.011</v>
      </c>
      <c r="E137" s="7">
        <f t="shared" si="16"/>
        <v>0</v>
      </c>
      <c r="F137" s="7">
        <f t="shared" si="17"/>
        <v>416841</v>
      </c>
      <c r="G137" s="7">
        <f t="shared" si="18"/>
        <v>233304.40000000002</v>
      </c>
      <c r="H137" s="149">
        <f t="shared" si="19"/>
        <v>257506.2</v>
      </c>
      <c r="I137" s="157">
        <f t="shared" si="20"/>
        <v>1.6689320388349516E-2</v>
      </c>
      <c r="J137" s="153">
        <v>224447</v>
      </c>
      <c r="K137" s="127">
        <v>0</v>
      </c>
      <c r="L137" s="118">
        <v>224447</v>
      </c>
      <c r="M137" s="128">
        <v>0</v>
      </c>
      <c r="N137" s="127">
        <v>0</v>
      </c>
      <c r="O137" s="118">
        <v>0</v>
      </c>
      <c r="P137" s="120">
        <v>0</v>
      </c>
      <c r="Q137" s="118">
        <v>0</v>
      </c>
      <c r="R137" s="118">
        <v>0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>
        <v>0</v>
      </c>
      <c r="Y137" s="128">
        <v>0</v>
      </c>
      <c r="Z137" s="127">
        <v>70</v>
      </c>
      <c r="AA137" s="120">
        <v>33</v>
      </c>
      <c r="AB137" s="118">
        <v>0</v>
      </c>
      <c r="AC137" s="119">
        <v>0</v>
      </c>
      <c r="AD137" s="127">
        <v>600</v>
      </c>
      <c r="AE137" s="118">
        <v>1118</v>
      </c>
      <c r="AF137" s="118">
        <v>0</v>
      </c>
      <c r="AG137" s="128">
        <v>0</v>
      </c>
      <c r="AH137" s="122">
        <v>1719</v>
      </c>
    </row>
    <row r="138" spans="1:34" x14ac:dyDescent="0.25">
      <c r="A138" s="17" t="s">
        <v>363</v>
      </c>
      <c r="B138" s="90" t="s">
        <v>364</v>
      </c>
      <c r="C138" s="8">
        <f t="shared" si="14"/>
        <v>555938.45997474063</v>
      </c>
      <c r="D138" s="7">
        <f t="shared" si="15"/>
        <v>1492134.6839999999</v>
      </c>
      <c r="E138" s="7">
        <f t="shared" si="16"/>
        <v>183844</v>
      </c>
      <c r="F138" s="7">
        <f t="shared" si="17"/>
        <v>1264579</v>
      </c>
      <c r="G138" s="7">
        <f t="shared" si="18"/>
        <v>796608.20000000007</v>
      </c>
      <c r="H138" s="149">
        <f t="shared" si="19"/>
        <v>780008.60000000009</v>
      </c>
      <c r="I138" s="157">
        <f t="shared" si="20"/>
        <v>2.4561320754716981E-2</v>
      </c>
      <c r="J138" s="153">
        <v>931223</v>
      </c>
      <c r="K138" s="127">
        <v>0</v>
      </c>
      <c r="L138" s="118">
        <v>925068</v>
      </c>
      <c r="M138" s="128">
        <v>0</v>
      </c>
      <c r="N138" s="127">
        <v>2</v>
      </c>
      <c r="O138" s="118">
        <v>37</v>
      </c>
      <c r="P138" s="120">
        <v>2</v>
      </c>
      <c r="Q138" s="118">
        <v>120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>
        <v>0</v>
      </c>
      <c r="Y138" s="128">
        <v>0</v>
      </c>
      <c r="Z138" s="127">
        <v>119</v>
      </c>
      <c r="AA138" s="120">
        <v>88</v>
      </c>
      <c r="AB138" s="118">
        <v>5</v>
      </c>
      <c r="AC138" s="119">
        <v>0</v>
      </c>
      <c r="AD138" s="127">
        <v>1755</v>
      </c>
      <c r="AE138" s="118">
        <v>3148</v>
      </c>
      <c r="AF138" s="118">
        <v>304</v>
      </c>
      <c r="AG138" s="128">
        <v>0</v>
      </c>
      <c r="AH138" s="122">
        <v>5207</v>
      </c>
    </row>
    <row r="139" spans="1:34" x14ac:dyDescent="0.25">
      <c r="A139" s="17" t="s">
        <v>46</v>
      </c>
      <c r="B139" s="90" t="s">
        <v>365</v>
      </c>
      <c r="C139" s="8">
        <f t="shared" si="14"/>
        <v>250493.55418456616</v>
      </c>
      <c r="D139" s="7">
        <f t="shared" si="15"/>
        <v>638610.89500000002</v>
      </c>
      <c r="E139" s="7">
        <f t="shared" si="16"/>
        <v>91922</v>
      </c>
      <c r="F139" s="7">
        <f t="shared" si="17"/>
        <v>724413</v>
      </c>
      <c r="G139" s="7">
        <f t="shared" si="18"/>
        <v>765912.00000000012</v>
      </c>
      <c r="H139" s="149">
        <f t="shared" si="19"/>
        <v>849965.20000000007</v>
      </c>
      <c r="I139" s="157">
        <f t="shared" si="20"/>
        <v>3.1698324022346368E-2</v>
      </c>
      <c r="J139" s="153">
        <v>395915</v>
      </c>
      <c r="K139" s="127">
        <v>0</v>
      </c>
      <c r="L139" s="118">
        <v>395915</v>
      </c>
      <c r="M139" s="128">
        <v>0</v>
      </c>
      <c r="N139" s="127">
        <v>1</v>
      </c>
      <c r="O139" s="118">
        <v>16</v>
      </c>
      <c r="P139" s="120">
        <v>1</v>
      </c>
      <c r="Q139" s="118">
        <v>65</v>
      </c>
      <c r="R139" s="118">
        <v>0</v>
      </c>
      <c r="S139" s="118">
        <v>0</v>
      </c>
      <c r="T139" s="118">
        <v>0</v>
      </c>
      <c r="U139" s="118">
        <v>0</v>
      </c>
      <c r="V139" s="118">
        <v>0</v>
      </c>
      <c r="W139" s="118">
        <v>0</v>
      </c>
      <c r="X139" s="118">
        <v>0</v>
      </c>
      <c r="Y139" s="128">
        <v>0</v>
      </c>
      <c r="Z139" s="127">
        <v>129</v>
      </c>
      <c r="AA139" s="120">
        <v>50</v>
      </c>
      <c r="AB139" s="118">
        <v>0</v>
      </c>
      <c r="AC139" s="119">
        <v>0</v>
      </c>
      <c r="AD139" s="127">
        <v>3380</v>
      </c>
      <c r="AE139" s="118">
        <v>2260</v>
      </c>
      <c r="AF139" s="118">
        <v>0</v>
      </c>
      <c r="AG139" s="128">
        <v>0</v>
      </c>
      <c r="AH139" s="122">
        <v>5674</v>
      </c>
    </row>
    <row r="140" spans="1:34" x14ac:dyDescent="0.25">
      <c r="A140" s="17" t="s">
        <v>366</v>
      </c>
      <c r="B140" s="90" t="s">
        <v>367</v>
      </c>
      <c r="C140" s="8">
        <f t="shared" si="14"/>
        <v>198558.81512360903</v>
      </c>
      <c r="D140" s="7">
        <f t="shared" si="15"/>
        <v>497712.11900000001</v>
      </c>
      <c r="E140" s="7">
        <f t="shared" si="16"/>
        <v>0</v>
      </c>
      <c r="F140" s="7">
        <f t="shared" si="17"/>
        <v>287337</v>
      </c>
      <c r="G140" s="7">
        <f t="shared" si="18"/>
        <v>287081.2</v>
      </c>
      <c r="H140" s="149">
        <f t="shared" si="19"/>
        <v>329260.40000000002</v>
      </c>
      <c r="I140" s="157">
        <f t="shared" si="20"/>
        <v>3.0957746478873241E-2</v>
      </c>
      <c r="J140" s="153">
        <v>308563</v>
      </c>
      <c r="K140" s="127">
        <v>0</v>
      </c>
      <c r="L140" s="118">
        <v>308563</v>
      </c>
      <c r="M140" s="128">
        <v>0</v>
      </c>
      <c r="N140" s="127">
        <v>0</v>
      </c>
      <c r="O140" s="118">
        <v>0</v>
      </c>
      <c r="P140" s="120">
        <v>0</v>
      </c>
      <c r="Q140" s="118">
        <v>0</v>
      </c>
      <c r="R140" s="118">
        <v>0</v>
      </c>
      <c r="S140" s="118">
        <v>0</v>
      </c>
      <c r="T140" s="118">
        <v>0</v>
      </c>
      <c r="U140" s="118">
        <v>0</v>
      </c>
      <c r="V140" s="118">
        <v>0</v>
      </c>
      <c r="W140" s="118">
        <v>0</v>
      </c>
      <c r="X140" s="118">
        <v>0</v>
      </c>
      <c r="Y140" s="128">
        <v>0</v>
      </c>
      <c r="Z140" s="127">
        <v>15</v>
      </c>
      <c r="AA140" s="120">
        <v>56</v>
      </c>
      <c r="AB140" s="118">
        <v>0</v>
      </c>
      <c r="AC140" s="119">
        <v>0</v>
      </c>
      <c r="AD140" s="127">
        <v>110</v>
      </c>
      <c r="AE140" s="118">
        <v>2004</v>
      </c>
      <c r="AF140" s="118">
        <v>0</v>
      </c>
      <c r="AG140" s="128">
        <v>0</v>
      </c>
      <c r="AH140" s="122">
        <v>2198</v>
      </c>
    </row>
    <row r="141" spans="1:34" x14ac:dyDescent="0.25">
      <c r="A141" s="17" t="s">
        <v>47</v>
      </c>
      <c r="B141" s="90" t="s">
        <v>368</v>
      </c>
      <c r="C141" s="8">
        <f t="shared" si="14"/>
        <v>202772.18709855888</v>
      </c>
      <c r="D141" s="7">
        <f t="shared" si="15"/>
        <v>491921.44900000002</v>
      </c>
      <c r="E141" s="7">
        <f t="shared" si="16"/>
        <v>70906</v>
      </c>
      <c r="F141" s="7">
        <f t="shared" si="17"/>
        <v>331854</v>
      </c>
      <c r="G141" s="7">
        <f t="shared" si="18"/>
        <v>115565.8</v>
      </c>
      <c r="H141" s="149">
        <f t="shared" si="19"/>
        <v>127479.8</v>
      </c>
      <c r="I141" s="157">
        <f t="shared" si="20"/>
        <v>1.0378048780487805E-2</v>
      </c>
      <c r="J141" s="153">
        <v>315593</v>
      </c>
      <c r="K141" s="127">
        <v>0</v>
      </c>
      <c r="L141" s="118">
        <v>304973</v>
      </c>
      <c r="M141" s="128">
        <v>0</v>
      </c>
      <c r="N141" s="127">
        <v>2</v>
      </c>
      <c r="O141" s="118">
        <v>50</v>
      </c>
      <c r="P141" s="120">
        <v>0</v>
      </c>
      <c r="Q141" s="118">
        <v>0</v>
      </c>
      <c r="R141" s="118">
        <v>0</v>
      </c>
      <c r="S141" s="118">
        <v>0</v>
      </c>
      <c r="T141" s="118">
        <v>0</v>
      </c>
      <c r="U141" s="118">
        <v>0</v>
      </c>
      <c r="V141" s="118">
        <v>0</v>
      </c>
      <c r="W141" s="118">
        <v>0</v>
      </c>
      <c r="X141" s="118">
        <v>0</v>
      </c>
      <c r="Y141" s="128">
        <v>0</v>
      </c>
      <c r="Z141" s="127">
        <v>69</v>
      </c>
      <c r="AA141" s="120">
        <v>13</v>
      </c>
      <c r="AB141" s="118">
        <v>0</v>
      </c>
      <c r="AC141" s="119">
        <v>0</v>
      </c>
      <c r="AD141" s="127">
        <v>521</v>
      </c>
      <c r="AE141" s="118">
        <v>330</v>
      </c>
      <c r="AF141" s="118">
        <v>0</v>
      </c>
      <c r="AG141" s="128">
        <v>0</v>
      </c>
      <c r="AH141" s="122">
        <v>851</v>
      </c>
    </row>
    <row r="142" spans="1:34" x14ac:dyDescent="0.25">
      <c r="A142" s="17" t="s">
        <v>369</v>
      </c>
      <c r="B142" s="90" t="s">
        <v>370</v>
      </c>
      <c r="C142" s="8">
        <f t="shared" si="14"/>
        <v>215827.20502940941</v>
      </c>
      <c r="D142" s="7">
        <f t="shared" si="15"/>
        <v>537390.72400000005</v>
      </c>
      <c r="E142" s="7">
        <f t="shared" si="16"/>
        <v>0</v>
      </c>
      <c r="F142" s="7">
        <f t="shared" si="17"/>
        <v>485640</v>
      </c>
      <c r="G142" s="7">
        <f t="shared" si="18"/>
        <v>432794.60000000003</v>
      </c>
      <c r="H142" s="149">
        <f t="shared" si="19"/>
        <v>477412.60000000003</v>
      </c>
      <c r="I142" s="157">
        <f t="shared" si="20"/>
        <v>2.6558333333333333E-2</v>
      </c>
      <c r="J142" s="153">
        <v>337442</v>
      </c>
      <c r="K142" s="127">
        <v>0</v>
      </c>
      <c r="L142" s="118">
        <v>0</v>
      </c>
      <c r="M142" s="128">
        <v>302926</v>
      </c>
      <c r="N142" s="127">
        <v>0</v>
      </c>
      <c r="O142" s="118">
        <v>0</v>
      </c>
      <c r="P142" s="120">
        <v>0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>
        <v>0</v>
      </c>
      <c r="Y142" s="128">
        <v>0</v>
      </c>
      <c r="Z142" s="127">
        <v>120</v>
      </c>
      <c r="AA142" s="120">
        <v>0</v>
      </c>
      <c r="AB142" s="118">
        <v>0</v>
      </c>
      <c r="AC142" s="119">
        <v>0</v>
      </c>
      <c r="AD142" s="127">
        <v>3187</v>
      </c>
      <c r="AE142" s="118">
        <v>0</v>
      </c>
      <c r="AF142" s="118">
        <v>0</v>
      </c>
      <c r="AG142" s="128">
        <v>0</v>
      </c>
      <c r="AH142" s="122">
        <v>3187</v>
      </c>
    </row>
    <row r="143" spans="1:34" x14ac:dyDescent="0.25">
      <c r="A143" s="17" t="s">
        <v>371</v>
      </c>
      <c r="B143" s="90" t="s">
        <v>372</v>
      </c>
      <c r="C143" s="8">
        <f t="shared" si="14"/>
        <v>353997.15821613459</v>
      </c>
      <c r="D143" s="7">
        <f t="shared" si="15"/>
        <v>915280.72</v>
      </c>
      <c r="E143" s="7">
        <f t="shared" si="16"/>
        <v>0</v>
      </c>
      <c r="F143" s="7">
        <f t="shared" si="17"/>
        <v>821541</v>
      </c>
      <c r="G143" s="7">
        <f t="shared" si="18"/>
        <v>370734.00000000006</v>
      </c>
      <c r="H143" s="149">
        <f t="shared" si="19"/>
        <v>408954.00000000006</v>
      </c>
      <c r="I143" s="157">
        <f t="shared" si="20"/>
        <v>1.3448275862068966E-2</v>
      </c>
      <c r="J143" s="153">
        <v>573782</v>
      </c>
      <c r="K143" s="127">
        <v>0</v>
      </c>
      <c r="L143" s="118">
        <v>567440</v>
      </c>
      <c r="M143" s="128">
        <v>0</v>
      </c>
      <c r="N143" s="127">
        <v>0</v>
      </c>
      <c r="O143" s="118">
        <v>0</v>
      </c>
      <c r="P143" s="120">
        <v>0</v>
      </c>
      <c r="Q143" s="118">
        <v>0</v>
      </c>
      <c r="R143" s="118">
        <v>0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>
        <v>0</v>
      </c>
      <c r="Y143" s="128">
        <v>0</v>
      </c>
      <c r="Z143" s="127">
        <v>158</v>
      </c>
      <c r="AA143" s="120">
        <v>45</v>
      </c>
      <c r="AB143" s="118">
        <v>0</v>
      </c>
      <c r="AC143" s="119">
        <v>0</v>
      </c>
      <c r="AD143" s="127">
        <v>640</v>
      </c>
      <c r="AE143" s="118">
        <v>2090</v>
      </c>
      <c r="AF143" s="118">
        <v>0</v>
      </c>
      <c r="AG143" s="128">
        <v>0</v>
      </c>
      <c r="AH143" s="122">
        <v>2730</v>
      </c>
    </row>
    <row r="144" spans="1:34" x14ac:dyDescent="0.25">
      <c r="A144" s="17" t="s">
        <v>49</v>
      </c>
      <c r="B144" s="90" t="s">
        <v>373</v>
      </c>
      <c r="C144" s="8">
        <f t="shared" si="14"/>
        <v>176300.72599012416</v>
      </c>
      <c r="D144" s="7">
        <f t="shared" si="15"/>
        <v>203165.02799999999</v>
      </c>
      <c r="E144" s="7">
        <f t="shared" si="16"/>
        <v>0</v>
      </c>
      <c r="F144" s="7">
        <f t="shared" si="17"/>
        <v>343995</v>
      </c>
      <c r="G144" s="7">
        <f t="shared" si="18"/>
        <v>214292.40000000002</v>
      </c>
      <c r="H144" s="149">
        <f t="shared" si="19"/>
        <v>236384.40000000002</v>
      </c>
      <c r="I144" s="157">
        <f t="shared" si="20"/>
        <v>1.8564705882352942E-2</v>
      </c>
      <c r="J144" s="153">
        <v>271611</v>
      </c>
      <c r="K144" s="127">
        <v>271611</v>
      </c>
      <c r="L144" s="118">
        <v>0</v>
      </c>
      <c r="M144" s="128">
        <v>0</v>
      </c>
      <c r="N144" s="127">
        <v>0</v>
      </c>
      <c r="O144" s="118">
        <v>0</v>
      </c>
      <c r="P144" s="120">
        <v>0</v>
      </c>
      <c r="Q144" s="118">
        <v>0</v>
      </c>
      <c r="R144" s="118">
        <v>0</v>
      </c>
      <c r="S144" s="118">
        <v>0</v>
      </c>
      <c r="T144" s="118">
        <v>0</v>
      </c>
      <c r="U144" s="118">
        <v>0</v>
      </c>
      <c r="V144" s="118">
        <v>0</v>
      </c>
      <c r="W144" s="118">
        <v>0</v>
      </c>
      <c r="X144" s="118">
        <v>0</v>
      </c>
      <c r="Y144" s="128">
        <v>0</v>
      </c>
      <c r="Z144" s="127">
        <v>46</v>
      </c>
      <c r="AA144" s="120">
        <v>39</v>
      </c>
      <c r="AB144" s="118">
        <v>0</v>
      </c>
      <c r="AC144" s="119">
        <v>0</v>
      </c>
      <c r="AD144" s="127">
        <v>632</v>
      </c>
      <c r="AE144" s="118">
        <v>946</v>
      </c>
      <c r="AF144" s="118">
        <v>0</v>
      </c>
      <c r="AG144" s="128">
        <v>0</v>
      </c>
      <c r="AH144" s="122">
        <v>1578</v>
      </c>
    </row>
    <row r="145" spans="1:34" x14ac:dyDescent="0.25">
      <c r="A145" s="17" t="s">
        <v>486</v>
      </c>
      <c r="B145" s="90" t="s">
        <v>374</v>
      </c>
      <c r="C145" s="8">
        <f t="shared" si="14"/>
        <v>187352.05749308065</v>
      </c>
      <c r="D145" s="7">
        <f t="shared" si="15"/>
        <v>448623.66800000001</v>
      </c>
      <c r="E145" s="7">
        <f t="shared" si="16"/>
        <v>35453</v>
      </c>
      <c r="F145" s="7">
        <f t="shared" si="17"/>
        <v>424935</v>
      </c>
      <c r="G145" s="7">
        <f t="shared" si="18"/>
        <v>232489.60000000001</v>
      </c>
      <c r="H145" s="149">
        <f t="shared" si="19"/>
        <v>282073.40000000002</v>
      </c>
      <c r="I145" s="157">
        <f t="shared" si="20"/>
        <v>1.7933333333333332E-2</v>
      </c>
      <c r="J145" s="153">
        <f>248551+41367</f>
        <v>289918</v>
      </c>
      <c r="K145" s="127">
        <f>13283+4033</f>
        <v>17316</v>
      </c>
      <c r="L145" s="118">
        <f>232766+37334</f>
        <v>270100</v>
      </c>
      <c r="M145" s="128">
        <v>0</v>
      </c>
      <c r="N145" s="127">
        <v>1</v>
      </c>
      <c r="O145" s="118">
        <v>45</v>
      </c>
      <c r="P145" s="120">
        <v>0</v>
      </c>
      <c r="Q145" s="118">
        <v>0</v>
      </c>
      <c r="R145" s="118">
        <v>0</v>
      </c>
      <c r="S145" s="118">
        <v>0</v>
      </c>
      <c r="T145" s="118">
        <v>0</v>
      </c>
      <c r="U145" s="118">
        <v>0</v>
      </c>
      <c r="V145" s="118">
        <v>0</v>
      </c>
      <c r="W145" s="118">
        <v>0</v>
      </c>
      <c r="X145" s="118">
        <v>0</v>
      </c>
      <c r="Y145" s="128">
        <v>0</v>
      </c>
      <c r="Z145" s="127">
        <v>75</v>
      </c>
      <c r="AA145" s="120">
        <v>30</v>
      </c>
      <c r="AB145" s="118">
        <v>0</v>
      </c>
      <c r="AC145" s="119">
        <v>0</v>
      </c>
      <c r="AD145" s="127">
        <v>695</v>
      </c>
      <c r="AE145" s="118">
        <v>1017</v>
      </c>
      <c r="AF145" s="118">
        <v>0</v>
      </c>
      <c r="AG145" s="128">
        <v>0</v>
      </c>
      <c r="AH145" s="122">
        <v>1883</v>
      </c>
    </row>
    <row r="146" spans="1:34" x14ac:dyDescent="0.25">
      <c r="A146" s="17" t="s">
        <v>487</v>
      </c>
      <c r="B146" s="90" t="s">
        <v>375</v>
      </c>
      <c r="C146" s="8">
        <f t="shared" si="14"/>
        <v>3100.73455539512</v>
      </c>
      <c r="D146" s="7">
        <f t="shared" si="15"/>
        <v>5656.7910000000002</v>
      </c>
      <c r="E146" s="7">
        <f t="shared" si="16"/>
        <v>0</v>
      </c>
      <c r="F146" s="7">
        <f t="shared" si="17"/>
        <v>12141</v>
      </c>
      <c r="G146" s="7">
        <f t="shared" si="18"/>
        <v>4074.0000000000005</v>
      </c>
      <c r="H146" s="149">
        <f t="shared" si="19"/>
        <v>4643.8</v>
      </c>
      <c r="I146" s="157">
        <f t="shared" si="20"/>
        <v>1.0333333333333333E-2</v>
      </c>
      <c r="J146" s="153">
        <v>3559</v>
      </c>
      <c r="K146" s="127">
        <v>0</v>
      </c>
      <c r="L146" s="118">
        <v>3507</v>
      </c>
      <c r="M146" s="128">
        <v>0</v>
      </c>
      <c r="N146" s="127">
        <v>0</v>
      </c>
      <c r="O146" s="118">
        <v>0</v>
      </c>
      <c r="P146" s="120">
        <v>0</v>
      </c>
      <c r="Q146" s="118">
        <v>0</v>
      </c>
      <c r="R146" s="118">
        <v>0</v>
      </c>
      <c r="S146" s="118">
        <v>0</v>
      </c>
      <c r="T146" s="118">
        <v>0</v>
      </c>
      <c r="U146" s="118">
        <v>0</v>
      </c>
      <c r="V146" s="118">
        <v>0</v>
      </c>
      <c r="W146" s="118">
        <v>0</v>
      </c>
      <c r="X146" s="118">
        <v>0</v>
      </c>
      <c r="Y146" s="128">
        <v>0</v>
      </c>
      <c r="Z146" s="127">
        <v>3</v>
      </c>
      <c r="AA146" s="120">
        <v>0</v>
      </c>
      <c r="AB146" s="118">
        <v>0</v>
      </c>
      <c r="AC146" s="119">
        <v>0</v>
      </c>
      <c r="AD146" s="127">
        <v>30</v>
      </c>
      <c r="AE146" s="118">
        <v>0</v>
      </c>
      <c r="AF146" s="118">
        <v>0</v>
      </c>
      <c r="AG146" s="128">
        <v>0</v>
      </c>
      <c r="AH146" s="122">
        <v>31</v>
      </c>
    </row>
    <row r="147" spans="1:34" x14ac:dyDescent="0.25">
      <c r="A147" s="17" t="s">
        <v>376</v>
      </c>
      <c r="B147" s="90" t="s">
        <v>377</v>
      </c>
      <c r="C147" s="8">
        <f t="shared" si="14"/>
        <v>1837703.0730245372</v>
      </c>
      <c r="D147" s="7">
        <f t="shared" si="15"/>
        <v>5640442.4749999996</v>
      </c>
      <c r="E147" s="7">
        <f t="shared" si="16"/>
        <v>905405</v>
      </c>
      <c r="F147" s="7">
        <f t="shared" si="17"/>
        <v>4734990</v>
      </c>
      <c r="G147" s="7">
        <f t="shared" si="18"/>
        <v>2605323</v>
      </c>
      <c r="H147" s="149">
        <f t="shared" si="19"/>
        <v>3285863.0000000005</v>
      </c>
      <c r="I147" s="157">
        <f t="shared" si="20"/>
        <v>1.8747863247863247E-2</v>
      </c>
      <c r="J147" s="153">
        <v>3358363</v>
      </c>
      <c r="K147" s="127">
        <v>0</v>
      </c>
      <c r="L147" s="118">
        <v>1970767</v>
      </c>
      <c r="M147" s="128">
        <v>1387596</v>
      </c>
      <c r="N147" s="127">
        <v>11</v>
      </c>
      <c r="O147" s="118">
        <v>305</v>
      </c>
      <c r="P147" s="120">
        <v>4</v>
      </c>
      <c r="Q147" s="118">
        <v>305</v>
      </c>
      <c r="R147" s="118">
        <v>2</v>
      </c>
      <c r="S147" s="118">
        <v>270</v>
      </c>
      <c r="T147" s="118">
        <v>0</v>
      </c>
      <c r="U147" s="118">
        <v>0</v>
      </c>
      <c r="V147" s="118">
        <v>0</v>
      </c>
      <c r="W147" s="118">
        <v>0</v>
      </c>
      <c r="X147" s="118">
        <v>0</v>
      </c>
      <c r="Y147" s="128">
        <v>0</v>
      </c>
      <c r="Z147" s="127">
        <v>948</v>
      </c>
      <c r="AA147" s="120">
        <v>222</v>
      </c>
      <c r="AB147" s="118">
        <v>0</v>
      </c>
      <c r="AC147" s="119">
        <v>0</v>
      </c>
      <c r="AD147" s="127">
        <v>10430</v>
      </c>
      <c r="AE147" s="118">
        <v>8755</v>
      </c>
      <c r="AF147" s="118">
        <v>0</v>
      </c>
      <c r="AG147" s="128">
        <v>0</v>
      </c>
      <c r="AH147" s="122">
        <v>21935</v>
      </c>
    </row>
    <row r="148" spans="1:34" x14ac:dyDescent="0.25">
      <c r="A148" s="17" t="s">
        <v>50</v>
      </c>
      <c r="B148" s="90" t="s">
        <v>378</v>
      </c>
      <c r="C148" s="8">
        <f t="shared" si="14"/>
        <v>1194796.9464883357</v>
      </c>
      <c r="D148" s="7">
        <f t="shared" si="15"/>
        <v>3452682.9550000001</v>
      </c>
      <c r="E148" s="7">
        <f t="shared" si="16"/>
        <v>127375</v>
      </c>
      <c r="F148" s="7">
        <f t="shared" si="17"/>
        <v>1497390</v>
      </c>
      <c r="G148" s="7">
        <f t="shared" si="18"/>
        <v>851466.00000000012</v>
      </c>
      <c r="H148" s="149">
        <f t="shared" si="19"/>
        <v>957971.00000000012</v>
      </c>
      <c r="I148" s="157">
        <f t="shared" si="20"/>
        <v>1.7283783783783785E-2</v>
      </c>
      <c r="J148" s="153">
        <v>2116048</v>
      </c>
      <c r="K148" s="127">
        <v>0</v>
      </c>
      <c r="L148" s="118">
        <v>2140535</v>
      </c>
      <c r="M148" s="128">
        <v>0</v>
      </c>
      <c r="N148" s="127">
        <v>2</v>
      </c>
      <c r="O148" s="118">
        <v>18</v>
      </c>
      <c r="P148" s="120">
        <v>1</v>
      </c>
      <c r="Q148" s="118">
        <v>62</v>
      </c>
      <c r="R148" s="118">
        <v>0</v>
      </c>
      <c r="S148" s="118">
        <v>0</v>
      </c>
      <c r="T148" s="118">
        <v>0</v>
      </c>
      <c r="U148" s="118">
        <v>0</v>
      </c>
      <c r="V148" s="118">
        <v>0</v>
      </c>
      <c r="W148" s="118">
        <v>0</v>
      </c>
      <c r="X148" s="118">
        <v>0</v>
      </c>
      <c r="Y148" s="128">
        <v>0</v>
      </c>
      <c r="Z148" s="127">
        <v>223</v>
      </c>
      <c r="AA148" s="120">
        <v>147</v>
      </c>
      <c r="AB148" s="118">
        <v>0</v>
      </c>
      <c r="AC148" s="119">
        <v>0</v>
      </c>
      <c r="AD148" s="127">
        <v>2200</v>
      </c>
      <c r="AE148" s="118">
        <v>4070</v>
      </c>
      <c r="AF148" s="118">
        <v>0</v>
      </c>
      <c r="AG148" s="128">
        <v>0</v>
      </c>
      <c r="AH148" s="122">
        <v>6395</v>
      </c>
    </row>
    <row r="149" spans="1:34" x14ac:dyDescent="0.25">
      <c r="A149" s="17" t="s">
        <v>51</v>
      </c>
      <c r="B149" s="90" t="s">
        <v>379</v>
      </c>
      <c r="C149" s="8">
        <f t="shared" si="14"/>
        <v>1826952.0471313007</v>
      </c>
      <c r="D149" s="7">
        <f t="shared" si="15"/>
        <v>5312139.6469999999</v>
      </c>
      <c r="E149" s="7">
        <f t="shared" si="16"/>
        <v>2180308</v>
      </c>
      <c r="F149" s="7">
        <f t="shared" si="17"/>
        <v>6624786</v>
      </c>
      <c r="G149" s="7">
        <f t="shared" si="18"/>
        <v>2063642.6</v>
      </c>
      <c r="H149" s="149">
        <f t="shared" si="19"/>
        <v>1845236.4000000001</v>
      </c>
      <c r="I149" s="157">
        <f t="shared" si="20"/>
        <v>3.3202156334231805E-2</v>
      </c>
      <c r="J149" s="153">
        <v>3337289</v>
      </c>
      <c r="K149" s="127">
        <v>81974</v>
      </c>
      <c r="L149" s="118">
        <v>3255315</v>
      </c>
      <c r="M149" s="128">
        <v>0</v>
      </c>
      <c r="N149" s="127">
        <v>0</v>
      </c>
      <c r="O149" s="118">
        <v>0</v>
      </c>
      <c r="P149" s="120">
        <v>2</v>
      </c>
      <c r="Q149" s="118">
        <v>120</v>
      </c>
      <c r="R149" s="118">
        <v>3</v>
      </c>
      <c r="S149" s="118">
        <v>310</v>
      </c>
      <c r="T149" s="118">
        <v>1</v>
      </c>
      <c r="U149" s="118">
        <v>240</v>
      </c>
      <c r="V149" s="118">
        <v>0</v>
      </c>
      <c r="W149" s="118">
        <v>0</v>
      </c>
      <c r="X149" s="118">
        <v>3</v>
      </c>
      <c r="Y149" s="128">
        <v>3305</v>
      </c>
      <c r="Z149" s="127">
        <v>84</v>
      </c>
      <c r="AA149" s="120">
        <v>224</v>
      </c>
      <c r="AB149" s="118">
        <v>63</v>
      </c>
      <c r="AC149" s="119">
        <v>0</v>
      </c>
      <c r="AD149" s="127">
        <v>1566</v>
      </c>
      <c r="AE149" s="118">
        <v>9268</v>
      </c>
      <c r="AF149" s="118">
        <v>1377</v>
      </c>
      <c r="AG149" s="128">
        <v>0</v>
      </c>
      <c r="AH149" s="122">
        <v>12318</v>
      </c>
    </row>
    <row r="150" spans="1:34" x14ac:dyDescent="0.25">
      <c r="A150" s="17" t="s">
        <v>488</v>
      </c>
      <c r="B150" s="90" t="s">
        <v>380</v>
      </c>
      <c r="C150" s="8">
        <f t="shared" si="14"/>
        <v>1210553.5900227821</v>
      </c>
      <c r="D150" s="7">
        <f t="shared" si="15"/>
        <v>3161613.8790000002</v>
      </c>
      <c r="E150" s="7">
        <f t="shared" si="16"/>
        <v>35453</v>
      </c>
      <c r="F150" s="7">
        <f t="shared" si="17"/>
        <v>825588</v>
      </c>
      <c r="G150" s="7">
        <f t="shared" si="18"/>
        <v>1078523.6000000001</v>
      </c>
      <c r="H150" s="149">
        <f t="shared" si="19"/>
        <v>1341159.4000000001</v>
      </c>
      <c r="I150" s="157">
        <f t="shared" si="20"/>
        <v>4.3887254901960784E-2</v>
      </c>
      <c r="J150" s="153">
        <v>2146001</v>
      </c>
      <c r="K150" s="127">
        <v>0</v>
      </c>
      <c r="L150" s="118">
        <v>1960083</v>
      </c>
      <c r="M150" s="128">
        <v>0</v>
      </c>
      <c r="N150" s="127">
        <v>1</v>
      </c>
      <c r="O150" s="118">
        <v>10</v>
      </c>
      <c r="P150" s="120">
        <v>0</v>
      </c>
      <c r="Q150" s="118">
        <v>0</v>
      </c>
      <c r="R150" s="118">
        <v>0</v>
      </c>
      <c r="S150" s="118">
        <v>0</v>
      </c>
      <c r="T150" s="118">
        <v>0</v>
      </c>
      <c r="U150" s="118">
        <v>0</v>
      </c>
      <c r="V150" s="118">
        <v>0</v>
      </c>
      <c r="W150" s="118">
        <v>0</v>
      </c>
      <c r="X150" s="118">
        <v>0</v>
      </c>
      <c r="Y150" s="128">
        <v>0</v>
      </c>
      <c r="Z150" s="127">
        <v>33</v>
      </c>
      <c r="AA150" s="120">
        <v>171</v>
      </c>
      <c r="AB150" s="118">
        <v>0</v>
      </c>
      <c r="AC150" s="119">
        <v>0</v>
      </c>
      <c r="AD150" s="127">
        <v>1277</v>
      </c>
      <c r="AE150" s="118">
        <v>6665</v>
      </c>
      <c r="AF150" s="118">
        <v>0</v>
      </c>
      <c r="AG150" s="128">
        <v>0</v>
      </c>
      <c r="AH150" s="122">
        <v>8953</v>
      </c>
    </row>
    <row r="151" spans="1:34" x14ac:dyDescent="0.25">
      <c r="A151" s="17" t="s">
        <v>68</v>
      </c>
      <c r="B151" s="90" t="s">
        <v>381</v>
      </c>
      <c r="C151" s="8">
        <f t="shared" si="14"/>
        <v>186005.46160059934</v>
      </c>
      <c r="D151" s="7">
        <f t="shared" si="15"/>
        <v>464032.679</v>
      </c>
      <c r="E151" s="7">
        <f t="shared" si="16"/>
        <v>494406</v>
      </c>
      <c r="F151" s="7">
        <f t="shared" si="17"/>
        <v>263055</v>
      </c>
      <c r="G151" s="7">
        <f t="shared" si="18"/>
        <v>269291.40000000002</v>
      </c>
      <c r="H151" s="149">
        <f t="shared" si="19"/>
        <v>309486.80000000005</v>
      </c>
      <c r="I151" s="157">
        <f t="shared" si="20"/>
        <v>3.1784615384615383E-2</v>
      </c>
      <c r="J151" s="153">
        <v>287683</v>
      </c>
      <c r="K151" s="127">
        <v>0</v>
      </c>
      <c r="L151" s="118">
        <v>287683</v>
      </c>
      <c r="M151" s="128">
        <v>0</v>
      </c>
      <c r="N151" s="127">
        <v>1</v>
      </c>
      <c r="O151" s="118">
        <v>0</v>
      </c>
      <c r="P151" s="120">
        <v>3</v>
      </c>
      <c r="Q151" s="118">
        <v>0</v>
      </c>
      <c r="R151" s="118">
        <v>2</v>
      </c>
      <c r="S151" s="118">
        <v>0</v>
      </c>
      <c r="T151" s="118">
        <v>0</v>
      </c>
      <c r="U151" s="118">
        <v>0</v>
      </c>
      <c r="V151" s="118">
        <v>0</v>
      </c>
      <c r="W151" s="118">
        <v>0</v>
      </c>
      <c r="X151" s="118">
        <v>0</v>
      </c>
      <c r="Y151" s="128">
        <v>0</v>
      </c>
      <c r="Z151" s="127">
        <v>18</v>
      </c>
      <c r="AA151" s="120">
        <v>47</v>
      </c>
      <c r="AB151" s="118">
        <v>0</v>
      </c>
      <c r="AC151" s="119">
        <v>0</v>
      </c>
      <c r="AD151" s="127">
        <v>86</v>
      </c>
      <c r="AE151" s="118">
        <v>1897</v>
      </c>
      <c r="AF151" s="118">
        <v>0</v>
      </c>
      <c r="AG151" s="128">
        <v>0</v>
      </c>
      <c r="AH151" s="122">
        <v>2066</v>
      </c>
    </row>
    <row r="152" spans="1:34" x14ac:dyDescent="0.25">
      <c r="A152" s="17" t="s">
        <v>382</v>
      </c>
      <c r="B152" s="90" t="s">
        <v>383</v>
      </c>
      <c r="C152" s="8">
        <f t="shared" si="14"/>
        <v>167522.66579738955</v>
      </c>
      <c r="D152" s="7">
        <f t="shared" si="15"/>
        <v>383514.94500000001</v>
      </c>
      <c r="E152" s="7">
        <f t="shared" si="16"/>
        <v>112938</v>
      </c>
      <c r="F152" s="7">
        <f t="shared" si="17"/>
        <v>323760</v>
      </c>
      <c r="G152" s="7">
        <f t="shared" si="18"/>
        <v>189712.6</v>
      </c>
      <c r="H152" s="149">
        <f t="shared" si="19"/>
        <v>240878.40000000002</v>
      </c>
      <c r="I152" s="157">
        <f t="shared" si="20"/>
        <v>2.01E-2</v>
      </c>
      <c r="J152" s="153">
        <v>257129</v>
      </c>
      <c r="K152" s="127">
        <v>0</v>
      </c>
      <c r="L152" s="118">
        <v>237765</v>
      </c>
      <c r="M152" s="128">
        <v>0</v>
      </c>
      <c r="N152" s="127">
        <v>0</v>
      </c>
      <c r="O152" s="118">
        <v>0</v>
      </c>
      <c r="P152" s="120">
        <v>2</v>
      </c>
      <c r="Q152" s="118">
        <v>100</v>
      </c>
      <c r="R152" s="118">
        <v>0</v>
      </c>
      <c r="S152" s="118">
        <v>0</v>
      </c>
      <c r="T152" s="118">
        <v>0</v>
      </c>
      <c r="U152" s="118">
        <v>0</v>
      </c>
      <c r="V152" s="118">
        <v>0</v>
      </c>
      <c r="W152" s="118">
        <v>0</v>
      </c>
      <c r="X152" s="118">
        <v>0</v>
      </c>
      <c r="Y152" s="128">
        <v>0</v>
      </c>
      <c r="Z152" s="127">
        <v>41</v>
      </c>
      <c r="AA152" s="120">
        <v>39</v>
      </c>
      <c r="AB152" s="118">
        <v>0</v>
      </c>
      <c r="AC152" s="119">
        <v>0</v>
      </c>
      <c r="AD152" s="127">
        <v>142</v>
      </c>
      <c r="AE152" s="118">
        <v>1255</v>
      </c>
      <c r="AF152" s="118">
        <v>0</v>
      </c>
      <c r="AG152" s="128">
        <v>0</v>
      </c>
      <c r="AH152" s="122">
        <v>1608</v>
      </c>
    </row>
    <row r="153" spans="1:34" x14ac:dyDescent="0.25">
      <c r="A153" s="17" t="s">
        <v>69</v>
      </c>
      <c r="B153" s="90" t="s">
        <v>384</v>
      </c>
      <c r="C153" s="8">
        <f t="shared" si="14"/>
        <v>219178.77030065961</v>
      </c>
      <c r="D153" s="7">
        <f t="shared" si="15"/>
        <v>553367.071</v>
      </c>
      <c r="E153" s="7">
        <f t="shared" si="16"/>
        <v>70906</v>
      </c>
      <c r="F153" s="7">
        <f t="shared" si="17"/>
        <v>445934.88299999997</v>
      </c>
      <c r="G153" s="7">
        <f t="shared" si="18"/>
        <v>394906.4</v>
      </c>
      <c r="H153" s="149">
        <f t="shared" si="19"/>
        <v>435618.4</v>
      </c>
      <c r="I153" s="157">
        <f t="shared" si="20"/>
        <v>2.6391019067239018E-2</v>
      </c>
      <c r="J153" s="153">
        <v>343067</v>
      </c>
      <c r="K153" s="127">
        <v>0</v>
      </c>
      <c r="L153" s="118">
        <v>343067</v>
      </c>
      <c r="M153" s="128">
        <v>0</v>
      </c>
      <c r="N153" s="127">
        <v>2</v>
      </c>
      <c r="O153" s="118">
        <v>20</v>
      </c>
      <c r="P153" s="120">
        <v>0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0</v>
      </c>
      <c r="X153" s="118">
        <v>0</v>
      </c>
      <c r="Y153" s="128">
        <v>0</v>
      </c>
      <c r="Z153" s="127">
        <v>30.19</v>
      </c>
      <c r="AA153" s="120">
        <v>79.998999999999995</v>
      </c>
      <c r="AB153" s="118">
        <v>0</v>
      </c>
      <c r="AC153" s="119">
        <v>0</v>
      </c>
      <c r="AD153" s="127">
        <v>126</v>
      </c>
      <c r="AE153" s="118">
        <v>2782</v>
      </c>
      <c r="AF153" s="118">
        <v>0</v>
      </c>
      <c r="AG153" s="128">
        <v>0</v>
      </c>
      <c r="AH153" s="122">
        <v>2908</v>
      </c>
    </row>
    <row r="154" spans="1:34" x14ac:dyDescent="0.25">
      <c r="A154" s="17" t="s">
        <v>52</v>
      </c>
      <c r="B154" s="90" t="s">
        <v>385</v>
      </c>
      <c r="C154" s="8">
        <f t="shared" si="14"/>
        <v>624814.35866344732</v>
      </c>
      <c r="D154" s="7">
        <f t="shared" si="15"/>
        <v>1762575.44</v>
      </c>
      <c r="E154" s="7">
        <f t="shared" si="16"/>
        <v>148391</v>
      </c>
      <c r="F154" s="7">
        <f t="shared" si="17"/>
        <v>744648</v>
      </c>
      <c r="G154" s="7">
        <f t="shared" si="18"/>
        <v>880934.60000000009</v>
      </c>
      <c r="H154" s="149">
        <f t="shared" si="19"/>
        <v>1028377.0000000001</v>
      </c>
      <c r="I154" s="157">
        <f t="shared" si="20"/>
        <v>3.7309782608695649E-2</v>
      </c>
      <c r="J154" s="153">
        <v>1055536</v>
      </c>
      <c r="K154" s="127">
        <v>0</v>
      </c>
      <c r="L154" s="118">
        <v>0</v>
      </c>
      <c r="M154" s="128">
        <v>993560</v>
      </c>
      <c r="N154" s="127">
        <v>1</v>
      </c>
      <c r="O154" s="118">
        <v>32</v>
      </c>
      <c r="P154" s="120">
        <v>2</v>
      </c>
      <c r="Q154" s="118">
        <v>131</v>
      </c>
      <c r="R154" s="118">
        <v>0</v>
      </c>
      <c r="S154" s="118">
        <v>0</v>
      </c>
      <c r="T154" s="118">
        <v>0</v>
      </c>
      <c r="U154" s="118">
        <v>0</v>
      </c>
      <c r="V154" s="118">
        <v>0</v>
      </c>
      <c r="W154" s="118">
        <v>0</v>
      </c>
      <c r="X154" s="118">
        <v>0</v>
      </c>
      <c r="Y154" s="128">
        <v>0</v>
      </c>
      <c r="Z154" s="127">
        <v>55</v>
      </c>
      <c r="AA154" s="120">
        <v>129</v>
      </c>
      <c r="AB154" s="118">
        <v>0</v>
      </c>
      <c r="AC154" s="119">
        <v>0</v>
      </c>
      <c r="AD154" s="127">
        <v>519</v>
      </c>
      <c r="AE154" s="118">
        <v>5968</v>
      </c>
      <c r="AF154" s="118">
        <v>0</v>
      </c>
      <c r="AG154" s="128">
        <v>0</v>
      </c>
      <c r="AH154" s="122">
        <v>6865</v>
      </c>
    </row>
    <row r="155" spans="1:34" x14ac:dyDescent="0.25">
      <c r="A155" s="17" t="s">
        <v>386</v>
      </c>
      <c r="B155" s="90" t="s">
        <v>387</v>
      </c>
      <c r="C155" s="8">
        <f t="shared" si="14"/>
        <v>126829.52410373049</v>
      </c>
      <c r="D155" s="7">
        <f t="shared" si="15"/>
        <v>301945.53499999997</v>
      </c>
      <c r="E155" s="7">
        <f t="shared" si="16"/>
        <v>106359</v>
      </c>
      <c r="F155" s="7">
        <f t="shared" si="17"/>
        <v>331854</v>
      </c>
      <c r="G155" s="7">
        <f t="shared" si="18"/>
        <v>119504.00000000001</v>
      </c>
      <c r="H155" s="149">
        <f t="shared" si="19"/>
        <v>134820</v>
      </c>
      <c r="I155" s="157">
        <f t="shared" si="20"/>
        <v>1.097560975609756E-2</v>
      </c>
      <c r="J155" s="153">
        <v>190763</v>
      </c>
      <c r="K155" s="127">
        <v>0</v>
      </c>
      <c r="L155" s="118">
        <v>187195</v>
      </c>
      <c r="M155" s="128">
        <v>0</v>
      </c>
      <c r="N155" s="127">
        <v>3</v>
      </c>
      <c r="O155" s="118">
        <v>60</v>
      </c>
      <c r="P155" s="120">
        <v>0</v>
      </c>
      <c r="Q155" s="118">
        <v>0</v>
      </c>
      <c r="R155" s="118">
        <v>0</v>
      </c>
      <c r="S155" s="118">
        <v>0</v>
      </c>
      <c r="T155" s="118">
        <v>0</v>
      </c>
      <c r="U155" s="118">
        <v>0</v>
      </c>
      <c r="V155" s="118">
        <v>0</v>
      </c>
      <c r="W155" s="118">
        <v>0</v>
      </c>
      <c r="X155" s="118">
        <v>0</v>
      </c>
      <c r="Y155" s="128">
        <v>0</v>
      </c>
      <c r="Z155" s="127">
        <v>56</v>
      </c>
      <c r="AA155" s="120">
        <v>26</v>
      </c>
      <c r="AB155" s="118">
        <v>0</v>
      </c>
      <c r="AC155" s="119">
        <v>0</v>
      </c>
      <c r="AD155" s="127">
        <v>143</v>
      </c>
      <c r="AE155" s="118">
        <v>737</v>
      </c>
      <c r="AF155" s="118">
        <v>0</v>
      </c>
      <c r="AG155" s="128">
        <v>0</v>
      </c>
      <c r="AH155" s="122">
        <v>900</v>
      </c>
    </row>
    <row r="156" spans="1:34" x14ac:dyDescent="0.25">
      <c r="A156" s="17" t="s">
        <v>70</v>
      </c>
      <c r="B156" s="90" t="s">
        <v>388</v>
      </c>
      <c r="C156" s="8">
        <f t="shared" si="14"/>
        <v>1432891.3023343717</v>
      </c>
      <c r="D156" s="7">
        <f t="shared" si="15"/>
        <v>4521431.9759999998</v>
      </c>
      <c r="E156" s="7">
        <f t="shared" si="16"/>
        <v>828131</v>
      </c>
      <c r="F156" s="7">
        <f t="shared" si="17"/>
        <v>4719300</v>
      </c>
      <c r="G156" s="7">
        <f t="shared" si="18"/>
        <v>2290638.4000000004</v>
      </c>
      <c r="H156" s="149">
        <f t="shared" si="19"/>
        <v>2183035.4000000004</v>
      </c>
      <c r="I156" s="157">
        <f t="shared" si="20"/>
        <v>2.8972166998011927E-2</v>
      </c>
      <c r="J156" s="153">
        <f>2562417+9125</f>
        <v>2571542</v>
      </c>
      <c r="K156" s="127">
        <v>9125</v>
      </c>
      <c r="L156" s="118">
        <v>0</v>
      </c>
      <c r="M156" s="128">
        <v>2544874</v>
      </c>
      <c r="N156" s="127">
        <v>6</v>
      </c>
      <c r="O156" s="118">
        <v>118</v>
      </c>
      <c r="P156" s="120">
        <v>2</v>
      </c>
      <c r="Q156" s="118">
        <v>142</v>
      </c>
      <c r="R156" s="118">
        <v>1</v>
      </c>
      <c r="S156" s="118">
        <v>131</v>
      </c>
      <c r="T156" s="118">
        <v>2</v>
      </c>
      <c r="U156" s="118">
        <v>493</v>
      </c>
      <c r="V156" s="118">
        <v>0</v>
      </c>
      <c r="W156" s="118">
        <v>0</v>
      </c>
      <c r="X156" s="118">
        <v>0</v>
      </c>
      <c r="Y156" s="128">
        <v>0</v>
      </c>
      <c r="Z156" s="127">
        <v>198</v>
      </c>
      <c r="AA156" s="120">
        <v>272</v>
      </c>
      <c r="AB156" s="118">
        <v>33</v>
      </c>
      <c r="AC156" s="119">
        <v>0</v>
      </c>
      <c r="AD156" s="127">
        <v>1841</v>
      </c>
      <c r="AE156" s="118">
        <v>9258</v>
      </c>
      <c r="AF156" s="118">
        <v>1821</v>
      </c>
      <c r="AG156" s="128">
        <v>0</v>
      </c>
      <c r="AH156" s="122">
        <v>14573</v>
      </c>
    </row>
    <row r="157" spans="1:34" x14ac:dyDescent="0.25">
      <c r="A157" s="17" t="s">
        <v>389</v>
      </c>
      <c r="B157" s="90" t="s">
        <v>390</v>
      </c>
      <c r="C157" s="8">
        <f t="shared" si="14"/>
        <v>243113.28033079329</v>
      </c>
      <c r="D157" s="7">
        <f t="shared" si="15"/>
        <v>587799.78200000001</v>
      </c>
      <c r="E157" s="7">
        <f t="shared" si="16"/>
        <v>212718</v>
      </c>
      <c r="F157" s="7">
        <f t="shared" si="17"/>
        <v>474389.33999999997</v>
      </c>
      <c r="G157" s="7">
        <f t="shared" si="18"/>
        <v>285994.80000000005</v>
      </c>
      <c r="H157" s="149">
        <f t="shared" si="19"/>
        <v>342143.2</v>
      </c>
      <c r="I157" s="157">
        <f t="shared" si="20"/>
        <v>1.948472956833305E-2</v>
      </c>
      <c r="J157" s="153">
        <v>383414</v>
      </c>
      <c r="K157" s="127">
        <v>0</v>
      </c>
      <c r="L157" s="118">
        <v>364414</v>
      </c>
      <c r="M157" s="128">
        <v>0</v>
      </c>
      <c r="N157" s="127">
        <v>6</v>
      </c>
      <c r="O157" s="118">
        <v>152</v>
      </c>
      <c r="P157" s="120">
        <v>0</v>
      </c>
      <c r="Q157" s="118">
        <v>0</v>
      </c>
      <c r="R157" s="118">
        <v>0</v>
      </c>
      <c r="S157" s="118">
        <v>0</v>
      </c>
      <c r="T157" s="118">
        <v>0</v>
      </c>
      <c r="U157" s="118">
        <v>0</v>
      </c>
      <c r="V157" s="118">
        <v>0</v>
      </c>
      <c r="W157" s="118">
        <v>0</v>
      </c>
      <c r="X157" s="118">
        <v>0</v>
      </c>
      <c r="Y157" s="128">
        <v>0</v>
      </c>
      <c r="Z157" s="127">
        <v>73.040000000000006</v>
      </c>
      <c r="AA157" s="120">
        <v>44.18</v>
      </c>
      <c r="AB157" s="118">
        <v>0</v>
      </c>
      <c r="AC157" s="119">
        <v>0</v>
      </c>
      <c r="AD157" s="127">
        <v>465</v>
      </c>
      <c r="AE157" s="118">
        <v>1641</v>
      </c>
      <c r="AF157" s="118">
        <v>0</v>
      </c>
      <c r="AG157" s="128">
        <v>0</v>
      </c>
      <c r="AH157" s="122">
        <v>2284</v>
      </c>
    </row>
    <row r="158" spans="1:34" x14ac:dyDescent="0.25">
      <c r="A158" s="17" t="s">
        <v>54</v>
      </c>
      <c r="B158" s="90" t="s">
        <v>391</v>
      </c>
      <c r="C158" s="8">
        <f t="shared" si="14"/>
        <v>4199057.2416062346</v>
      </c>
      <c r="D158" s="7">
        <f t="shared" si="15"/>
        <v>12753539.359999999</v>
      </c>
      <c r="E158" s="7">
        <f t="shared" si="16"/>
        <v>0</v>
      </c>
      <c r="F158" s="7">
        <f t="shared" si="17"/>
        <v>125457</v>
      </c>
      <c r="G158" s="7">
        <f t="shared" si="18"/>
        <v>6812.8</v>
      </c>
      <c r="H158" s="149">
        <f t="shared" si="19"/>
        <v>1348.2</v>
      </c>
      <c r="I158" s="157">
        <f t="shared" si="20"/>
        <v>2.9032258064516127E-4</v>
      </c>
      <c r="J158" s="153">
        <v>8149799</v>
      </c>
      <c r="K158" s="127">
        <v>0</v>
      </c>
      <c r="L158" s="118">
        <v>7906720</v>
      </c>
      <c r="M158" s="128">
        <v>0</v>
      </c>
      <c r="N158" s="127">
        <v>0</v>
      </c>
      <c r="O158" s="118">
        <v>0</v>
      </c>
      <c r="P158" s="120">
        <v>0</v>
      </c>
      <c r="Q158" s="118">
        <v>0</v>
      </c>
      <c r="R158" s="118">
        <v>0</v>
      </c>
      <c r="S158" s="118">
        <v>0</v>
      </c>
      <c r="T158" s="118">
        <v>0</v>
      </c>
      <c r="U158" s="118">
        <v>0</v>
      </c>
      <c r="V158" s="118">
        <v>0</v>
      </c>
      <c r="W158" s="118">
        <v>0</v>
      </c>
      <c r="X158" s="118">
        <v>0</v>
      </c>
      <c r="Y158" s="128">
        <v>0</v>
      </c>
      <c r="Z158" s="127">
        <v>16</v>
      </c>
      <c r="AA158" s="120">
        <v>15</v>
      </c>
      <c r="AB158" s="118">
        <v>0</v>
      </c>
      <c r="AC158" s="119">
        <v>0</v>
      </c>
      <c r="AD158" s="127">
        <v>28</v>
      </c>
      <c r="AE158" s="118">
        <v>19</v>
      </c>
      <c r="AF158" s="118">
        <v>1</v>
      </c>
      <c r="AG158" s="128">
        <v>0</v>
      </c>
      <c r="AH158" s="122">
        <v>9</v>
      </c>
    </row>
    <row r="159" spans="1:34" x14ac:dyDescent="0.25">
      <c r="A159" s="17" t="s">
        <v>74</v>
      </c>
      <c r="B159" s="90" t="s">
        <v>392</v>
      </c>
      <c r="C159" s="8">
        <f t="shared" si="14"/>
        <v>2249875.2412378751</v>
      </c>
      <c r="D159" s="7">
        <f t="shared" si="15"/>
        <v>6611174.0659999996</v>
      </c>
      <c r="E159" s="7">
        <f t="shared" si="16"/>
        <v>1098904</v>
      </c>
      <c r="F159" s="7">
        <f t="shared" si="17"/>
        <v>5638352</v>
      </c>
      <c r="G159" s="7">
        <f t="shared" si="18"/>
        <v>3160485.2</v>
      </c>
      <c r="H159" s="149">
        <f t="shared" si="19"/>
        <v>3066406</v>
      </c>
      <c r="I159" s="157">
        <f t="shared" si="20"/>
        <v>2.8830985915492959E-2</v>
      </c>
      <c r="J159" s="153">
        <v>4172657</v>
      </c>
      <c r="K159" s="127">
        <v>0</v>
      </c>
      <c r="L159" s="118">
        <v>4098682</v>
      </c>
      <c r="M159" s="128">
        <v>0</v>
      </c>
      <c r="N159" s="127">
        <v>7</v>
      </c>
      <c r="O159" s="118">
        <v>107</v>
      </c>
      <c r="P159" s="120">
        <v>3</v>
      </c>
      <c r="Q159" s="118">
        <v>231</v>
      </c>
      <c r="R159" s="118">
        <v>1</v>
      </c>
      <c r="S159" s="118">
        <v>180</v>
      </c>
      <c r="T159" s="118">
        <v>2</v>
      </c>
      <c r="U159" s="118">
        <v>609</v>
      </c>
      <c r="V159" s="118">
        <v>1</v>
      </c>
      <c r="W159" s="118">
        <v>540</v>
      </c>
      <c r="X159" s="118">
        <v>0</v>
      </c>
      <c r="Y159" s="128">
        <v>0</v>
      </c>
      <c r="Z159" s="127">
        <v>384</v>
      </c>
      <c r="AA159" s="120">
        <v>292</v>
      </c>
      <c r="AB159" s="118">
        <v>34</v>
      </c>
      <c r="AC159" s="119">
        <v>0</v>
      </c>
      <c r="AD159" s="127">
        <v>4259</v>
      </c>
      <c r="AE159" s="118">
        <v>12767</v>
      </c>
      <c r="AF159" s="118">
        <v>1972</v>
      </c>
      <c r="AG159" s="128">
        <v>0</v>
      </c>
      <c r="AH159" s="122">
        <v>20470</v>
      </c>
    </row>
    <row r="160" spans="1:34" x14ac:dyDescent="0.25">
      <c r="A160" s="17" t="s">
        <v>489</v>
      </c>
      <c r="B160" s="90" t="s">
        <v>393</v>
      </c>
      <c r="C160" s="8">
        <f t="shared" si="14"/>
        <v>668024.9191091503</v>
      </c>
      <c r="D160" s="7">
        <f t="shared" si="15"/>
        <v>1770443.1330000001</v>
      </c>
      <c r="E160" s="7">
        <f t="shared" si="16"/>
        <v>361109</v>
      </c>
      <c r="F160" s="7">
        <f t="shared" si="17"/>
        <v>2395007</v>
      </c>
      <c r="G160" s="7">
        <f t="shared" si="18"/>
        <v>635411.60000000009</v>
      </c>
      <c r="H160" s="149">
        <f t="shared" si="19"/>
        <v>912881.20000000007</v>
      </c>
      <c r="I160" s="157">
        <f t="shared" si="20"/>
        <v>2.9019047619047618E-2</v>
      </c>
      <c r="J160" s="153">
        <v>1134045</v>
      </c>
      <c r="K160" s="127">
        <v>0</v>
      </c>
      <c r="L160" s="118">
        <v>988129</v>
      </c>
      <c r="M160" s="128">
        <v>99544</v>
      </c>
      <c r="N160" s="127">
        <v>7</v>
      </c>
      <c r="O160" s="118">
        <v>129</v>
      </c>
      <c r="P160" s="120">
        <v>2</v>
      </c>
      <c r="Q160" s="118">
        <v>170</v>
      </c>
      <c r="R160" s="118">
        <v>0</v>
      </c>
      <c r="S160" s="118">
        <v>0</v>
      </c>
      <c r="T160" s="118">
        <v>0</v>
      </c>
      <c r="U160" s="118">
        <v>0</v>
      </c>
      <c r="V160" s="118">
        <v>0</v>
      </c>
      <c r="W160" s="118">
        <v>0</v>
      </c>
      <c r="X160" s="118">
        <v>0</v>
      </c>
      <c r="Y160" s="128">
        <v>0</v>
      </c>
      <c r="Z160" s="127">
        <v>80</v>
      </c>
      <c r="AA160" s="120">
        <v>111</v>
      </c>
      <c r="AB160" s="118">
        <v>19</v>
      </c>
      <c r="AC160" s="119">
        <v>0</v>
      </c>
      <c r="AD160" s="127">
        <v>780</v>
      </c>
      <c r="AE160" s="118">
        <v>2974</v>
      </c>
      <c r="AF160" s="118">
        <v>292</v>
      </c>
      <c r="AG160" s="128">
        <v>0</v>
      </c>
      <c r="AH160" s="122">
        <v>6094</v>
      </c>
    </row>
    <row r="161" spans="1:34" x14ac:dyDescent="0.25">
      <c r="A161" s="17" t="s">
        <v>394</v>
      </c>
      <c r="B161" s="90" t="s">
        <v>395</v>
      </c>
      <c r="C161" s="8">
        <f t="shared" si="14"/>
        <v>1455477.4995048002</v>
      </c>
      <c r="D161" s="7">
        <f t="shared" si="15"/>
        <v>4172187.4130000002</v>
      </c>
      <c r="E161" s="7">
        <f t="shared" si="16"/>
        <v>354530</v>
      </c>
      <c r="F161" s="7">
        <f t="shared" si="17"/>
        <v>4215391</v>
      </c>
      <c r="G161" s="7">
        <f t="shared" si="18"/>
        <v>1696394.2000000002</v>
      </c>
      <c r="H161" s="149">
        <f t="shared" si="19"/>
        <v>2052859.2000000002</v>
      </c>
      <c r="I161" s="157">
        <f t="shared" si="20"/>
        <v>1.9577142857142855E-2</v>
      </c>
      <c r="J161" s="153">
        <v>2615054</v>
      </c>
      <c r="K161" s="127">
        <v>0</v>
      </c>
      <c r="L161" s="118">
        <v>2586601</v>
      </c>
      <c r="M161" s="128">
        <v>0</v>
      </c>
      <c r="N161" s="127">
        <v>10</v>
      </c>
      <c r="O161" s="118">
        <v>161</v>
      </c>
      <c r="P161" s="120">
        <v>0</v>
      </c>
      <c r="Q161" s="118">
        <v>0</v>
      </c>
      <c r="R161" s="118">
        <v>0</v>
      </c>
      <c r="S161" s="118">
        <v>0</v>
      </c>
      <c r="T161" s="118">
        <v>0</v>
      </c>
      <c r="U161" s="118">
        <v>0</v>
      </c>
      <c r="V161" s="118">
        <v>0</v>
      </c>
      <c r="W161" s="118">
        <v>0</v>
      </c>
      <c r="X161" s="118">
        <v>0</v>
      </c>
      <c r="Y161" s="128">
        <v>0</v>
      </c>
      <c r="Z161" s="127">
        <v>428</v>
      </c>
      <c r="AA161" s="120">
        <v>255</v>
      </c>
      <c r="AB161" s="118">
        <v>17</v>
      </c>
      <c r="AC161" s="119">
        <v>0</v>
      </c>
      <c r="AD161" s="127">
        <v>7245</v>
      </c>
      <c r="AE161" s="118">
        <v>4325</v>
      </c>
      <c r="AF161" s="118">
        <v>291</v>
      </c>
      <c r="AG161" s="128">
        <v>0</v>
      </c>
      <c r="AH161" s="122">
        <v>13704</v>
      </c>
    </row>
    <row r="162" spans="1:34" x14ac:dyDescent="0.25">
      <c r="A162" s="17" t="s">
        <v>396</v>
      </c>
      <c r="B162" s="90" t="s">
        <v>397</v>
      </c>
      <c r="C162" s="8">
        <f t="shared" si="14"/>
        <v>226478.58100874932</v>
      </c>
      <c r="D162" s="7">
        <f t="shared" si="15"/>
        <v>567776</v>
      </c>
      <c r="E162" s="7">
        <f t="shared" si="16"/>
        <v>35453</v>
      </c>
      <c r="F162" s="7">
        <f t="shared" si="17"/>
        <v>453264</v>
      </c>
      <c r="G162" s="7">
        <f t="shared" si="18"/>
        <v>203564.2</v>
      </c>
      <c r="H162" s="149">
        <f t="shared" si="19"/>
        <v>224550.2</v>
      </c>
      <c r="I162" s="157">
        <f t="shared" si="20"/>
        <v>1.3383928571428571E-2</v>
      </c>
      <c r="J162" s="153">
        <v>355340</v>
      </c>
      <c r="K162" s="127"/>
      <c r="L162" s="118">
        <v>352000</v>
      </c>
      <c r="M162" s="128"/>
      <c r="N162" s="127">
        <v>1</v>
      </c>
      <c r="O162" s="118">
        <v>50</v>
      </c>
      <c r="P162" s="120"/>
      <c r="Q162" s="118"/>
      <c r="R162" s="118"/>
      <c r="S162" s="118"/>
      <c r="T162" s="118"/>
      <c r="U162" s="118"/>
      <c r="V162" s="118"/>
      <c r="W162" s="118"/>
      <c r="X162" s="118"/>
      <c r="Y162" s="128"/>
      <c r="Z162" s="127">
        <v>93.85</v>
      </c>
      <c r="AA162" s="120">
        <v>18.149999999999999</v>
      </c>
      <c r="AB162" s="118"/>
      <c r="AC162" s="119"/>
      <c r="AD162" s="127">
        <v>320</v>
      </c>
      <c r="AE162" s="118">
        <v>1179</v>
      </c>
      <c r="AF162" s="118"/>
      <c r="AG162" s="128"/>
      <c r="AH162" s="122">
        <v>1499</v>
      </c>
    </row>
    <row r="163" spans="1:34" x14ac:dyDescent="0.25">
      <c r="A163" s="17" t="s">
        <v>398</v>
      </c>
      <c r="B163" s="90" t="s">
        <v>399</v>
      </c>
      <c r="C163" s="8">
        <f t="shared" si="14"/>
        <v>455583.11921490455</v>
      </c>
      <c r="D163" s="7">
        <f t="shared" si="15"/>
        <v>1148675.368</v>
      </c>
      <c r="E163" s="7">
        <f t="shared" si="16"/>
        <v>0</v>
      </c>
      <c r="F163" s="7">
        <f t="shared" si="17"/>
        <v>220399.62</v>
      </c>
      <c r="G163" s="7">
        <f t="shared" si="18"/>
        <v>219181.2</v>
      </c>
      <c r="H163" s="149">
        <f t="shared" si="19"/>
        <v>244323.80000000002</v>
      </c>
      <c r="I163" s="157">
        <f t="shared" si="20"/>
        <v>2.9948586118251928E-2</v>
      </c>
      <c r="J163" s="153">
        <v>752136</v>
      </c>
      <c r="K163" s="127">
        <v>0</v>
      </c>
      <c r="L163" s="118">
        <v>712136</v>
      </c>
      <c r="M163" s="128">
        <v>0</v>
      </c>
      <c r="N163" s="127">
        <v>0</v>
      </c>
      <c r="O163" s="118">
        <v>0</v>
      </c>
      <c r="P163" s="120">
        <v>0</v>
      </c>
      <c r="Q163" s="118">
        <v>0</v>
      </c>
      <c r="R163" s="118">
        <v>0</v>
      </c>
      <c r="S163" s="118">
        <v>0</v>
      </c>
      <c r="T163" s="118">
        <v>0</v>
      </c>
      <c r="U163" s="118">
        <v>0</v>
      </c>
      <c r="V163" s="118">
        <v>0</v>
      </c>
      <c r="W163" s="118">
        <v>0</v>
      </c>
      <c r="X163" s="118">
        <v>0</v>
      </c>
      <c r="Y163" s="128">
        <v>0</v>
      </c>
      <c r="Z163" s="127">
        <v>22.51</v>
      </c>
      <c r="AA163" s="120">
        <v>31.95</v>
      </c>
      <c r="AB163" s="118">
        <v>0</v>
      </c>
      <c r="AC163" s="119">
        <v>0</v>
      </c>
      <c r="AD163" s="127">
        <v>115</v>
      </c>
      <c r="AE163" s="118">
        <v>1499</v>
      </c>
      <c r="AF163" s="118">
        <v>0</v>
      </c>
      <c r="AG163" s="128">
        <v>0</v>
      </c>
      <c r="AH163" s="122">
        <v>1631</v>
      </c>
    </row>
    <row r="164" spans="1:34" x14ac:dyDescent="0.25">
      <c r="A164" s="17" t="s">
        <v>400</v>
      </c>
      <c r="B164" s="90" t="s">
        <v>401</v>
      </c>
      <c r="C164" s="8">
        <f t="shared" si="14"/>
        <v>195373.1958172959</v>
      </c>
      <c r="D164" s="7">
        <f t="shared" si="15"/>
        <v>472618.67800000001</v>
      </c>
      <c r="E164" s="7">
        <f t="shared" si="16"/>
        <v>56469</v>
      </c>
      <c r="F164" s="7">
        <f t="shared" si="17"/>
        <v>356136</v>
      </c>
      <c r="G164" s="7">
        <f t="shared" si="18"/>
        <v>240094.40000000002</v>
      </c>
      <c r="H164" s="149">
        <f t="shared" si="19"/>
        <v>270538.80000000005</v>
      </c>
      <c r="I164" s="157">
        <f t="shared" si="20"/>
        <v>2.0522727272727272E-2</v>
      </c>
      <c r="J164" s="153">
        <v>303255</v>
      </c>
      <c r="K164" s="127">
        <v>0</v>
      </c>
      <c r="L164" s="118">
        <v>293006</v>
      </c>
      <c r="M164" s="128">
        <v>0</v>
      </c>
      <c r="N164" s="127">
        <v>0</v>
      </c>
      <c r="O164" s="118">
        <v>0</v>
      </c>
      <c r="P164" s="120">
        <v>1</v>
      </c>
      <c r="Q164" s="118">
        <v>50</v>
      </c>
      <c r="R164" s="118">
        <v>0</v>
      </c>
      <c r="S164" s="118">
        <v>0</v>
      </c>
      <c r="T164" s="118">
        <v>0</v>
      </c>
      <c r="U164" s="118">
        <v>0</v>
      </c>
      <c r="V164" s="118">
        <v>0</v>
      </c>
      <c r="W164" s="118">
        <v>0</v>
      </c>
      <c r="X164" s="118">
        <v>0</v>
      </c>
      <c r="Y164" s="128">
        <v>0</v>
      </c>
      <c r="Z164" s="127">
        <v>46</v>
      </c>
      <c r="AA164" s="120">
        <v>42</v>
      </c>
      <c r="AB164" s="118">
        <v>0</v>
      </c>
      <c r="AC164" s="119">
        <v>0</v>
      </c>
      <c r="AD164" s="127">
        <v>174</v>
      </c>
      <c r="AE164" s="118">
        <v>1594</v>
      </c>
      <c r="AF164" s="118">
        <v>0</v>
      </c>
      <c r="AG164" s="128">
        <v>0</v>
      </c>
      <c r="AH164" s="122">
        <v>1806</v>
      </c>
    </row>
    <row r="165" spans="1:34" x14ac:dyDescent="0.25">
      <c r="A165" s="17" t="s">
        <v>402</v>
      </c>
      <c r="B165" s="90" t="s">
        <v>403</v>
      </c>
      <c r="C165" s="8">
        <f t="shared" si="14"/>
        <v>450553.97419777897</v>
      </c>
      <c r="D165" s="7">
        <f t="shared" si="15"/>
        <v>1148444.709</v>
      </c>
      <c r="E165" s="7">
        <f t="shared" si="16"/>
        <v>215679</v>
      </c>
      <c r="F165" s="7">
        <f t="shared" si="17"/>
        <v>3153111</v>
      </c>
      <c r="G165" s="7">
        <f t="shared" si="18"/>
        <v>839684.8</v>
      </c>
      <c r="H165" s="149">
        <f t="shared" si="19"/>
        <v>772968.00000000012</v>
      </c>
      <c r="I165" s="157">
        <f t="shared" si="20"/>
        <v>4.4482758620689657E-2</v>
      </c>
      <c r="J165" s="153">
        <v>743232</v>
      </c>
      <c r="K165" s="127">
        <v>0</v>
      </c>
      <c r="L165" s="118">
        <v>711993</v>
      </c>
      <c r="M165" s="128">
        <v>0</v>
      </c>
      <c r="N165" s="127">
        <v>2</v>
      </c>
      <c r="O165" s="118">
        <v>50</v>
      </c>
      <c r="P165" s="120">
        <v>0</v>
      </c>
      <c r="Q165" s="118">
        <v>0</v>
      </c>
      <c r="R165" s="118">
        <v>1</v>
      </c>
      <c r="S165" s="118">
        <v>150</v>
      </c>
      <c r="T165" s="118">
        <v>0</v>
      </c>
      <c r="U165" s="118">
        <v>0</v>
      </c>
      <c r="V165" s="118">
        <v>0</v>
      </c>
      <c r="W165" s="118">
        <v>0</v>
      </c>
      <c r="X165" s="118">
        <v>0</v>
      </c>
      <c r="Y165" s="128">
        <v>0</v>
      </c>
      <c r="Z165" s="127">
        <v>9</v>
      </c>
      <c r="AA165" s="120">
        <v>74</v>
      </c>
      <c r="AB165" s="118">
        <v>30</v>
      </c>
      <c r="AC165" s="119">
        <v>3</v>
      </c>
      <c r="AD165" s="127">
        <v>57</v>
      </c>
      <c r="AE165" s="118">
        <v>4631</v>
      </c>
      <c r="AF165" s="118">
        <v>472</v>
      </c>
      <c r="AG165" s="128">
        <v>0</v>
      </c>
      <c r="AH165" s="122">
        <v>5160</v>
      </c>
    </row>
    <row r="166" spans="1:34" x14ac:dyDescent="0.25">
      <c r="A166" s="17" t="s">
        <v>55</v>
      </c>
      <c r="B166" s="90" t="s">
        <v>404</v>
      </c>
      <c r="C166" s="8">
        <f t="shared" si="14"/>
        <v>333957.85874040757</v>
      </c>
      <c r="D166" s="7">
        <f t="shared" si="15"/>
        <v>864372.82700000005</v>
      </c>
      <c r="E166" s="7">
        <f t="shared" si="16"/>
        <v>177265</v>
      </c>
      <c r="F166" s="7">
        <f t="shared" si="17"/>
        <v>991515</v>
      </c>
      <c r="G166" s="7">
        <f t="shared" si="18"/>
        <v>401153.2</v>
      </c>
      <c r="H166" s="149">
        <f t="shared" si="19"/>
        <v>488797.4</v>
      </c>
      <c r="I166" s="157">
        <f t="shared" si="20"/>
        <v>1.3318367346938776E-2</v>
      </c>
      <c r="J166" s="153">
        <v>539008</v>
      </c>
      <c r="K166" s="127">
        <v>0</v>
      </c>
      <c r="L166" s="118">
        <v>535879</v>
      </c>
      <c r="M166" s="128">
        <v>0</v>
      </c>
      <c r="N166" s="127">
        <v>5</v>
      </c>
      <c r="O166" s="118">
        <v>125</v>
      </c>
      <c r="P166" s="120">
        <v>0</v>
      </c>
      <c r="Q166" s="118">
        <v>0</v>
      </c>
      <c r="R166" s="118">
        <v>0</v>
      </c>
      <c r="S166" s="118">
        <v>0</v>
      </c>
      <c r="T166" s="118">
        <v>0</v>
      </c>
      <c r="U166" s="118">
        <v>0</v>
      </c>
      <c r="V166" s="118">
        <v>0</v>
      </c>
      <c r="W166" s="118">
        <v>0</v>
      </c>
      <c r="X166" s="118">
        <v>0</v>
      </c>
      <c r="Y166" s="128">
        <v>0</v>
      </c>
      <c r="Z166" s="127">
        <v>68</v>
      </c>
      <c r="AA166" s="120">
        <v>177</v>
      </c>
      <c r="AB166" s="118">
        <v>0</v>
      </c>
      <c r="AC166" s="119">
        <v>0</v>
      </c>
      <c r="AD166" s="127">
        <v>570</v>
      </c>
      <c r="AE166" s="118">
        <v>2384</v>
      </c>
      <c r="AF166" s="118">
        <v>0</v>
      </c>
      <c r="AG166" s="128">
        <v>0</v>
      </c>
      <c r="AH166" s="122">
        <v>3263</v>
      </c>
    </row>
    <row r="167" spans="1:34" x14ac:dyDescent="0.25">
      <c r="A167" s="17" t="s">
        <v>405</v>
      </c>
      <c r="B167" s="90" t="s">
        <v>406</v>
      </c>
      <c r="C167" s="8">
        <f t="shared" si="14"/>
        <v>245342.4617763421</v>
      </c>
      <c r="D167" s="7">
        <f t="shared" si="15"/>
        <v>648403.13500000001</v>
      </c>
      <c r="E167" s="7">
        <f t="shared" si="16"/>
        <v>0</v>
      </c>
      <c r="F167" s="7">
        <f t="shared" si="17"/>
        <v>0</v>
      </c>
      <c r="G167" s="7">
        <f t="shared" si="18"/>
        <v>0</v>
      </c>
      <c r="H167" s="149">
        <f t="shared" si="19"/>
        <v>299.60000000000002</v>
      </c>
      <c r="I167" s="157">
        <f t="shared" si="20"/>
        <v>0</v>
      </c>
      <c r="J167" s="153">
        <v>387187</v>
      </c>
      <c r="K167" s="127">
        <v>0</v>
      </c>
      <c r="L167" s="118">
        <v>238923</v>
      </c>
      <c r="M167" s="128">
        <v>148264</v>
      </c>
      <c r="N167" s="127">
        <v>0</v>
      </c>
      <c r="O167" s="118">
        <v>0</v>
      </c>
      <c r="P167" s="120">
        <v>0</v>
      </c>
      <c r="Q167" s="118">
        <v>0</v>
      </c>
      <c r="R167" s="118">
        <v>0</v>
      </c>
      <c r="S167" s="118">
        <v>0</v>
      </c>
      <c r="T167" s="118">
        <v>0</v>
      </c>
      <c r="U167" s="118">
        <v>0</v>
      </c>
      <c r="V167" s="118">
        <v>0</v>
      </c>
      <c r="W167" s="118">
        <v>0</v>
      </c>
      <c r="X167" s="118">
        <v>0</v>
      </c>
      <c r="Y167" s="128">
        <v>0</v>
      </c>
      <c r="Z167" s="127">
        <v>0</v>
      </c>
      <c r="AA167" s="120">
        <v>0</v>
      </c>
      <c r="AB167" s="118">
        <v>0</v>
      </c>
      <c r="AC167" s="119">
        <v>0</v>
      </c>
      <c r="AD167" s="127">
        <v>0</v>
      </c>
      <c r="AE167" s="118">
        <v>0</v>
      </c>
      <c r="AF167" s="118">
        <v>0</v>
      </c>
      <c r="AG167" s="128">
        <v>0</v>
      </c>
      <c r="AH167" s="122">
        <v>2</v>
      </c>
    </row>
    <row r="168" spans="1:34" x14ac:dyDescent="0.25">
      <c r="A168" s="17" t="s">
        <v>56</v>
      </c>
      <c r="B168" s="90" t="s">
        <v>407</v>
      </c>
      <c r="C168" s="8">
        <f t="shared" si="14"/>
        <v>614951.13695516961</v>
      </c>
      <c r="D168" s="7">
        <f t="shared" si="15"/>
        <v>1661015.784</v>
      </c>
      <c r="E168" s="7">
        <f t="shared" si="16"/>
        <v>35453</v>
      </c>
      <c r="F168" s="7">
        <f t="shared" si="17"/>
        <v>1072455</v>
      </c>
      <c r="G168" s="7">
        <f t="shared" si="18"/>
        <v>703579.8</v>
      </c>
      <c r="H168" s="149">
        <f t="shared" si="19"/>
        <v>797235.60000000009</v>
      </c>
      <c r="I168" s="157">
        <f t="shared" si="20"/>
        <v>2.0083018867924528E-2</v>
      </c>
      <c r="J168" s="153">
        <v>1037670</v>
      </c>
      <c r="K168" s="127">
        <v>0</v>
      </c>
      <c r="L168" s="118">
        <v>1029768</v>
      </c>
      <c r="M168" s="128">
        <v>0</v>
      </c>
      <c r="N168" s="127">
        <v>1</v>
      </c>
      <c r="O168" s="118">
        <v>45</v>
      </c>
      <c r="P168" s="120">
        <v>0</v>
      </c>
      <c r="Q168" s="118">
        <v>0</v>
      </c>
      <c r="R168" s="118">
        <v>0</v>
      </c>
      <c r="S168" s="118">
        <v>0</v>
      </c>
      <c r="T168" s="118">
        <v>0</v>
      </c>
      <c r="U168" s="118">
        <v>0</v>
      </c>
      <c r="V168" s="118">
        <v>0</v>
      </c>
      <c r="W168" s="118">
        <v>0</v>
      </c>
      <c r="X168" s="118">
        <v>0</v>
      </c>
      <c r="Y168" s="128">
        <v>0</v>
      </c>
      <c r="Z168" s="127">
        <v>164</v>
      </c>
      <c r="AA168" s="120">
        <v>101</v>
      </c>
      <c r="AB168" s="118">
        <v>0</v>
      </c>
      <c r="AC168" s="119">
        <v>0</v>
      </c>
      <c r="AD168" s="127">
        <v>1387</v>
      </c>
      <c r="AE168" s="118">
        <v>3794</v>
      </c>
      <c r="AF168" s="118">
        <v>0</v>
      </c>
      <c r="AG168" s="128">
        <v>0</v>
      </c>
      <c r="AH168" s="122">
        <v>5322</v>
      </c>
    </row>
    <row r="169" spans="1:34" x14ac:dyDescent="0.25">
      <c r="A169" s="17" t="s">
        <v>408</v>
      </c>
      <c r="B169" s="90" t="s">
        <v>409</v>
      </c>
      <c r="C169" s="8">
        <f t="shared" si="14"/>
        <v>174422.61985635653</v>
      </c>
      <c r="D169" s="7">
        <f t="shared" si="15"/>
        <v>433103.40399999998</v>
      </c>
      <c r="E169" s="7">
        <f t="shared" si="16"/>
        <v>272148</v>
      </c>
      <c r="F169" s="7">
        <f t="shared" si="17"/>
        <v>137840.82</v>
      </c>
      <c r="G169" s="7">
        <f t="shared" si="18"/>
        <v>219181.2</v>
      </c>
      <c r="H169" s="149">
        <f t="shared" si="19"/>
        <v>241327.80000000002</v>
      </c>
      <c r="I169" s="157">
        <f t="shared" si="20"/>
        <v>4.7298884321785084E-2</v>
      </c>
      <c r="J169" s="153">
        <v>268508</v>
      </c>
      <c r="K169" s="127">
        <v>0</v>
      </c>
      <c r="L169" s="118">
        <v>268508</v>
      </c>
      <c r="M169" s="128">
        <v>0</v>
      </c>
      <c r="N169" s="127">
        <v>2</v>
      </c>
      <c r="O169" s="118">
        <v>48</v>
      </c>
      <c r="P169" s="120">
        <v>1</v>
      </c>
      <c r="Q169" s="118">
        <v>60</v>
      </c>
      <c r="R169" s="118">
        <v>1</v>
      </c>
      <c r="S169" s="118">
        <v>120</v>
      </c>
      <c r="T169" s="118">
        <v>0</v>
      </c>
      <c r="U169" s="118">
        <v>0</v>
      </c>
      <c r="V169" s="118">
        <v>0</v>
      </c>
      <c r="W169" s="118">
        <v>0</v>
      </c>
      <c r="X169" s="118">
        <v>0</v>
      </c>
      <c r="Y169" s="128">
        <v>0</v>
      </c>
      <c r="Z169" s="127">
        <v>0</v>
      </c>
      <c r="AA169" s="120">
        <v>34.06</v>
      </c>
      <c r="AB169" s="118">
        <v>0</v>
      </c>
      <c r="AC169" s="119">
        <v>0</v>
      </c>
      <c r="AD169" s="127">
        <v>0</v>
      </c>
      <c r="AE169" s="118">
        <v>1614</v>
      </c>
      <c r="AF169" s="118">
        <v>0</v>
      </c>
      <c r="AG169" s="128">
        <v>0</v>
      </c>
      <c r="AH169" s="122">
        <v>1611</v>
      </c>
    </row>
    <row r="170" spans="1:34" x14ac:dyDescent="0.25">
      <c r="A170" s="17" t="s">
        <v>57</v>
      </c>
      <c r="B170" s="90" t="s">
        <v>410</v>
      </c>
      <c r="C170" s="8">
        <f t="shared" si="14"/>
        <v>233982.36311113159</v>
      </c>
      <c r="D170" s="7">
        <f t="shared" si="15"/>
        <v>593561.41799999995</v>
      </c>
      <c r="E170" s="7">
        <f t="shared" si="16"/>
        <v>35453</v>
      </c>
      <c r="F170" s="7">
        <f t="shared" si="17"/>
        <v>230679</v>
      </c>
      <c r="G170" s="7">
        <f t="shared" si="18"/>
        <v>373585.80000000005</v>
      </c>
      <c r="H170" s="149">
        <f t="shared" si="19"/>
        <v>412099.80000000005</v>
      </c>
      <c r="I170" s="157">
        <f t="shared" si="20"/>
        <v>4.8263157894736841E-2</v>
      </c>
      <c r="J170" s="153">
        <v>367986</v>
      </c>
      <c r="K170" s="127">
        <v>0</v>
      </c>
      <c r="L170" s="118">
        <v>367986</v>
      </c>
      <c r="M170" s="128">
        <v>0</v>
      </c>
      <c r="N170" s="127">
        <v>1</v>
      </c>
      <c r="O170" s="118">
        <v>5</v>
      </c>
      <c r="P170" s="120">
        <v>0</v>
      </c>
      <c r="Q170" s="118">
        <v>0</v>
      </c>
      <c r="R170" s="118">
        <v>0</v>
      </c>
      <c r="S170" s="118">
        <v>0</v>
      </c>
      <c r="T170" s="118">
        <v>0</v>
      </c>
      <c r="U170" s="118">
        <v>0</v>
      </c>
      <c r="V170" s="118">
        <v>0</v>
      </c>
      <c r="W170" s="118">
        <v>0</v>
      </c>
      <c r="X170" s="118">
        <v>0</v>
      </c>
      <c r="Y170" s="128">
        <v>0</v>
      </c>
      <c r="Z170" s="127">
        <v>0</v>
      </c>
      <c r="AA170" s="120">
        <v>57</v>
      </c>
      <c r="AB170" s="118">
        <v>0</v>
      </c>
      <c r="AC170" s="119">
        <v>0</v>
      </c>
      <c r="AD170" s="127">
        <v>0</v>
      </c>
      <c r="AE170" s="118">
        <v>2751</v>
      </c>
      <c r="AF170" s="118">
        <v>0</v>
      </c>
      <c r="AG170" s="128">
        <v>0</v>
      </c>
      <c r="AH170" s="122">
        <v>2751</v>
      </c>
    </row>
    <row r="171" spans="1:34" x14ac:dyDescent="0.25">
      <c r="A171" s="17" t="s">
        <v>411</v>
      </c>
      <c r="B171" s="90" t="s">
        <v>412</v>
      </c>
      <c r="C171" s="8">
        <f t="shared" si="14"/>
        <v>1223254.5927634961</v>
      </c>
      <c r="D171" s="7">
        <f t="shared" si="15"/>
        <v>3452413.4079999998</v>
      </c>
      <c r="E171" s="7">
        <f t="shared" si="16"/>
        <v>254750</v>
      </c>
      <c r="F171" s="7">
        <f t="shared" si="17"/>
        <v>4752825</v>
      </c>
      <c r="G171" s="7">
        <f t="shared" si="18"/>
        <v>1917767.8</v>
      </c>
      <c r="H171" s="149">
        <f t="shared" si="19"/>
        <v>2131504.2000000002</v>
      </c>
      <c r="I171" s="157">
        <f t="shared" si="20"/>
        <v>3.1549889135254992E-2</v>
      </c>
      <c r="J171" s="153">
        <v>2170166</v>
      </c>
      <c r="K171" s="127">
        <v>0</v>
      </c>
      <c r="L171" s="118">
        <v>2103060</v>
      </c>
      <c r="M171" s="128">
        <v>33922</v>
      </c>
      <c r="N171" s="127">
        <v>4</v>
      </c>
      <c r="O171" s="118">
        <v>55</v>
      </c>
      <c r="P171" s="120">
        <v>2</v>
      </c>
      <c r="Q171" s="118">
        <v>122</v>
      </c>
      <c r="R171" s="118">
        <v>0</v>
      </c>
      <c r="S171" s="118">
        <v>0</v>
      </c>
      <c r="T171" s="118">
        <v>0</v>
      </c>
      <c r="U171" s="118">
        <v>0</v>
      </c>
      <c r="V171" s="118">
        <v>0</v>
      </c>
      <c r="W171" s="118">
        <v>0</v>
      </c>
      <c r="X171" s="118">
        <v>0</v>
      </c>
      <c r="Y171" s="128">
        <v>0</v>
      </c>
      <c r="Z171" s="127">
        <v>230</v>
      </c>
      <c r="AA171" s="120">
        <v>185</v>
      </c>
      <c r="AB171" s="118">
        <v>36</v>
      </c>
      <c r="AC171" s="119">
        <v>0</v>
      </c>
      <c r="AD171" s="127">
        <v>4947</v>
      </c>
      <c r="AE171" s="118">
        <v>6590</v>
      </c>
      <c r="AF171" s="118">
        <v>816</v>
      </c>
      <c r="AG171" s="128">
        <v>0</v>
      </c>
      <c r="AH171" s="122">
        <v>14229</v>
      </c>
    </row>
    <row r="172" spans="1:34" x14ac:dyDescent="0.25">
      <c r="A172" s="17" t="s">
        <v>413</v>
      </c>
      <c r="B172" s="90" t="s">
        <v>414</v>
      </c>
      <c r="C172" s="8">
        <f t="shared" si="14"/>
        <v>340301.47729948751</v>
      </c>
      <c r="D172" s="7">
        <f t="shared" si="15"/>
        <v>887150</v>
      </c>
      <c r="E172" s="7">
        <f t="shared" si="16"/>
        <v>35453</v>
      </c>
      <c r="F172" s="7">
        <f t="shared" si="17"/>
        <v>279728.64000000001</v>
      </c>
      <c r="G172" s="7">
        <f t="shared" si="18"/>
        <v>207095.00000000003</v>
      </c>
      <c r="H172" s="149">
        <f t="shared" si="19"/>
        <v>226198.00000000003</v>
      </c>
      <c r="I172" s="157">
        <f t="shared" si="20"/>
        <v>2.1846064814814815E-2</v>
      </c>
      <c r="J172" s="153">
        <v>550000</v>
      </c>
      <c r="K172" s="127">
        <v>0</v>
      </c>
      <c r="L172" s="118">
        <v>550000</v>
      </c>
      <c r="M172" s="128">
        <v>0</v>
      </c>
      <c r="N172" s="127">
        <v>1</v>
      </c>
      <c r="O172" s="118">
        <v>15</v>
      </c>
      <c r="P172" s="120">
        <v>0</v>
      </c>
      <c r="Q172" s="118">
        <v>0</v>
      </c>
      <c r="R172" s="118">
        <v>0</v>
      </c>
      <c r="S172" s="118">
        <v>0</v>
      </c>
      <c r="T172" s="118">
        <v>0</v>
      </c>
      <c r="U172" s="118">
        <v>0</v>
      </c>
      <c r="V172" s="118">
        <v>0</v>
      </c>
      <c r="W172" s="118">
        <v>0</v>
      </c>
      <c r="X172" s="118">
        <v>0</v>
      </c>
      <c r="Y172" s="128">
        <v>0</v>
      </c>
      <c r="Z172" s="127">
        <v>29.29</v>
      </c>
      <c r="AA172" s="120">
        <v>39.83</v>
      </c>
      <c r="AB172" s="118">
        <v>0</v>
      </c>
      <c r="AC172" s="119">
        <v>0</v>
      </c>
      <c r="AD172" s="127">
        <v>252</v>
      </c>
      <c r="AE172" s="118">
        <v>1273</v>
      </c>
      <c r="AF172" s="118">
        <v>0</v>
      </c>
      <c r="AG172" s="128">
        <v>0</v>
      </c>
      <c r="AH172" s="122">
        <v>1510</v>
      </c>
    </row>
    <row r="173" spans="1:34" x14ac:dyDescent="0.25">
      <c r="A173" s="17" t="s">
        <v>76</v>
      </c>
      <c r="B173" s="90" t="s">
        <v>415</v>
      </c>
      <c r="C173" s="8">
        <f t="shared" si="14"/>
        <v>184998.81684300723</v>
      </c>
      <c r="D173" s="7">
        <f t="shared" si="15"/>
        <v>429703.2</v>
      </c>
      <c r="E173" s="7">
        <f t="shared" si="16"/>
        <v>0</v>
      </c>
      <c r="F173" s="7">
        <f t="shared" si="17"/>
        <v>465405</v>
      </c>
      <c r="G173" s="7">
        <f t="shared" si="18"/>
        <v>268884</v>
      </c>
      <c r="H173" s="149">
        <f t="shared" si="19"/>
        <v>309337</v>
      </c>
      <c r="I173" s="157">
        <f t="shared" si="20"/>
        <v>1.7956521739130434E-2</v>
      </c>
      <c r="J173" s="153">
        <v>286013</v>
      </c>
      <c r="K173" s="127">
        <v>0</v>
      </c>
      <c r="L173" s="118">
        <v>266400</v>
      </c>
      <c r="M173" s="128">
        <v>0</v>
      </c>
      <c r="N173" s="127">
        <v>0</v>
      </c>
      <c r="O173" s="118">
        <v>0</v>
      </c>
      <c r="P173" s="120">
        <v>0</v>
      </c>
      <c r="Q173" s="118">
        <v>0</v>
      </c>
      <c r="R173" s="118">
        <v>0</v>
      </c>
      <c r="S173" s="118">
        <v>0</v>
      </c>
      <c r="T173" s="118">
        <v>0</v>
      </c>
      <c r="U173" s="118">
        <v>0</v>
      </c>
      <c r="V173" s="118">
        <v>0</v>
      </c>
      <c r="W173" s="118">
        <v>0</v>
      </c>
      <c r="X173" s="118">
        <v>0</v>
      </c>
      <c r="Y173" s="128">
        <v>0</v>
      </c>
      <c r="Z173" s="127">
        <v>115</v>
      </c>
      <c r="AA173" s="120">
        <v>0</v>
      </c>
      <c r="AB173" s="118">
        <v>0</v>
      </c>
      <c r="AC173" s="119">
        <v>0</v>
      </c>
      <c r="AD173" s="127">
        <v>1980</v>
      </c>
      <c r="AE173" s="118">
        <v>0</v>
      </c>
      <c r="AF173" s="118">
        <v>0</v>
      </c>
      <c r="AG173" s="128">
        <v>0</v>
      </c>
      <c r="AH173" s="122">
        <v>2065</v>
      </c>
    </row>
    <row r="174" spans="1:34" x14ac:dyDescent="0.25">
      <c r="A174" s="17" t="s">
        <v>58</v>
      </c>
      <c r="B174" s="90" t="s">
        <v>416</v>
      </c>
      <c r="C174" s="8">
        <f t="shared" si="14"/>
        <v>1364696.6574355341</v>
      </c>
      <c r="D174" s="7">
        <f t="shared" si="15"/>
        <v>3936481.3360000001</v>
      </c>
      <c r="E174" s="7">
        <f t="shared" si="16"/>
        <v>236695</v>
      </c>
      <c r="F174" s="7">
        <f t="shared" si="17"/>
        <v>1473108</v>
      </c>
      <c r="G174" s="7">
        <f t="shared" si="18"/>
        <v>1522725.4000000001</v>
      </c>
      <c r="H174" s="149">
        <f t="shared" si="19"/>
        <v>2163261.8000000003</v>
      </c>
      <c r="I174" s="157">
        <f t="shared" si="20"/>
        <v>3.9673076923076922E-2</v>
      </c>
      <c r="J174" s="153">
        <v>2440472</v>
      </c>
      <c r="K174" s="127">
        <v>0</v>
      </c>
      <c r="L174" s="118">
        <v>2440472</v>
      </c>
      <c r="M174" s="128">
        <v>0</v>
      </c>
      <c r="N174" s="127">
        <v>1</v>
      </c>
      <c r="O174" s="118">
        <v>20</v>
      </c>
      <c r="P174" s="120">
        <v>1</v>
      </c>
      <c r="Q174" s="118">
        <v>80</v>
      </c>
      <c r="R174" s="118">
        <v>1</v>
      </c>
      <c r="S174" s="118">
        <v>120</v>
      </c>
      <c r="T174" s="118">
        <v>0</v>
      </c>
      <c r="U174" s="118">
        <v>0</v>
      </c>
      <c r="V174" s="118">
        <v>0</v>
      </c>
      <c r="W174" s="118">
        <v>0</v>
      </c>
      <c r="X174" s="118">
        <v>0</v>
      </c>
      <c r="Y174" s="128">
        <v>0</v>
      </c>
      <c r="Z174" s="127">
        <v>90</v>
      </c>
      <c r="AA174" s="120">
        <v>274</v>
      </c>
      <c r="AB174" s="118">
        <v>0</v>
      </c>
      <c r="AC174" s="119">
        <v>0</v>
      </c>
      <c r="AD174" s="127">
        <v>1237</v>
      </c>
      <c r="AE174" s="118">
        <v>9976</v>
      </c>
      <c r="AF174" s="118">
        <v>0</v>
      </c>
      <c r="AG174" s="128">
        <v>0</v>
      </c>
      <c r="AH174" s="122">
        <v>14441</v>
      </c>
    </row>
    <row r="175" spans="1:34" x14ac:dyDescent="0.25">
      <c r="A175" s="17" t="s">
        <v>417</v>
      </c>
      <c r="B175" s="90" t="s">
        <v>418</v>
      </c>
      <c r="C175" s="8">
        <f t="shared" si="14"/>
        <v>154288.14996183768</v>
      </c>
      <c r="D175" s="7">
        <f t="shared" si="15"/>
        <v>375740.28499999997</v>
      </c>
      <c r="E175" s="7">
        <f t="shared" si="16"/>
        <v>0</v>
      </c>
      <c r="F175" s="7">
        <f t="shared" si="17"/>
        <v>199517.09999999998</v>
      </c>
      <c r="G175" s="7">
        <f t="shared" si="18"/>
        <v>139059.20000000001</v>
      </c>
      <c r="H175" s="149">
        <f t="shared" si="19"/>
        <v>208222.00000000003</v>
      </c>
      <c r="I175" s="157">
        <f t="shared" si="20"/>
        <v>2.81947261663286E-2</v>
      </c>
      <c r="J175" s="153">
        <v>235400</v>
      </c>
      <c r="K175" s="127">
        <v>0</v>
      </c>
      <c r="L175" s="118">
        <v>232945</v>
      </c>
      <c r="M175" s="128">
        <v>0</v>
      </c>
      <c r="N175" s="127">
        <v>0</v>
      </c>
      <c r="O175" s="118">
        <v>0</v>
      </c>
      <c r="P175" s="120">
        <v>0</v>
      </c>
      <c r="Q175" s="118">
        <v>0</v>
      </c>
      <c r="R175" s="118">
        <v>0</v>
      </c>
      <c r="S175" s="118">
        <v>0</v>
      </c>
      <c r="T175" s="118">
        <v>0</v>
      </c>
      <c r="U175" s="118">
        <v>0</v>
      </c>
      <c r="V175" s="118">
        <v>0</v>
      </c>
      <c r="W175" s="118">
        <v>0</v>
      </c>
      <c r="X175" s="118">
        <v>0</v>
      </c>
      <c r="Y175" s="128">
        <v>0</v>
      </c>
      <c r="Z175" s="127">
        <v>17.856999999999999</v>
      </c>
      <c r="AA175" s="120">
        <v>31.443000000000001</v>
      </c>
      <c r="AB175" s="118">
        <v>0</v>
      </c>
      <c r="AC175" s="119">
        <v>0</v>
      </c>
      <c r="AD175" s="127">
        <v>97</v>
      </c>
      <c r="AE175" s="118">
        <v>927</v>
      </c>
      <c r="AF175" s="118">
        <v>0</v>
      </c>
      <c r="AG175" s="128">
        <v>0</v>
      </c>
      <c r="AH175" s="122">
        <v>1390</v>
      </c>
    </row>
    <row r="176" spans="1:34" x14ac:dyDescent="0.25">
      <c r="A176" s="17" t="s">
        <v>59</v>
      </c>
      <c r="B176" s="90" t="s">
        <v>419</v>
      </c>
      <c r="C176" s="8">
        <f t="shared" si="14"/>
        <v>205195.42321167031</v>
      </c>
      <c r="D176" s="7">
        <f t="shared" si="15"/>
        <v>510662.89600000001</v>
      </c>
      <c r="E176" s="7">
        <f t="shared" si="16"/>
        <v>178851</v>
      </c>
      <c r="F176" s="7">
        <f t="shared" si="17"/>
        <v>178068</v>
      </c>
      <c r="G176" s="7">
        <f t="shared" si="18"/>
        <v>219452.80000000002</v>
      </c>
      <c r="H176" s="149">
        <f t="shared" si="19"/>
        <v>400565.2</v>
      </c>
      <c r="I176" s="157">
        <f t="shared" si="20"/>
        <v>6.077272727272727E-2</v>
      </c>
      <c r="J176" s="153">
        <v>319641</v>
      </c>
      <c r="K176" s="127">
        <v>0</v>
      </c>
      <c r="L176" s="118">
        <v>316592</v>
      </c>
      <c r="M176" s="128">
        <v>0</v>
      </c>
      <c r="N176" s="127">
        <v>0</v>
      </c>
      <c r="O176" s="118">
        <v>0</v>
      </c>
      <c r="P176" s="120">
        <v>0</v>
      </c>
      <c r="Q176" s="118">
        <v>0</v>
      </c>
      <c r="R176" s="118">
        <v>0</v>
      </c>
      <c r="S176" s="118">
        <v>0</v>
      </c>
      <c r="T176" s="118">
        <v>1</v>
      </c>
      <c r="U176" s="118">
        <v>300</v>
      </c>
      <c r="V176" s="118">
        <v>0</v>
      </c>
      <c r="W176" s="118">
        <v>0</v>
      </c>
      <c r="X176" s="118">
        <v>0</v>
      </c>
      <c r="Y176" s="128">
        <v>0</v>
      </c>
      <c r="Z176" s="127">
        <v>0</v>
      </c>
      <c r="AA176" s="120">
        <v>44</v>
      </c>
      <c r="AB176" s="118">
        <v>0</v>
      </c>
      <c r="AC176" s="119">
        <v>0</v>
      </c>
      <c r="AD176" s="127">
        <v>0</v>
      </c>
      <c r="AE176" s="118">
        <v>1616</v>
      </c>
      <c r="AF176" s="118">
        <v>0</v>
      </c>
      <c r="AG176" s="128">
        <v>0</v>
      </c>
      <c r="AH176" s="122">
        <v>2674</v>
      </c>
    </row>
    <row r="177" spans="1:34" x14ac:dyDescent="0.25">
      <c r="A177" s="17" t="s">
        <v>420</v>
      </c>
      <c r="B177" s="90" t="s">
        <v>421</v>
      </c>
      <c r="C177" s="8">
        <f t="shared" si="14"/>
        <v>1894138.9550840242</v>
      </c>
      <c r="D177" s="7">
        <f t="shared" si="15"/>
        <v>3433781.4469999997</v>
      </c>
      <c r="E177" s="7">
        <f t="shared" si="16"/>
        <v>460889</v>
      </c>
      <c r="F177" s="7">
        <f t="shared" si="17"/>
        <v>5176279</v>
      </c>
      <c r="G177" s="7">
        <f t="shared" si="18"/>
        <v>1879596.6</v>
      </c>
      <c r="H177" s="149">
        <f t="shared" si="19"/>
        <v>1851378.2000000002</v>
      </c>
      <c r="I177" s="157">
        <f t="shared" si="20"/>
        <v>1.1681474480151229E-2</v>
      </c>
      <c r="J177" s="153">
        <v>3469134</v>
      </c>
      <c r="K177" s="127">
        <v>2499343</v>
      </c>
      <c r="L177" s="118">
        <v>969791</v>
      </c>
      <c r="M177" s="128">
        <v>0</v>
      </c>
      <c r="N177" s="127">
        <v>13</v>
      </c>
      <c r="O177" s="118">
        <v>278</v>
      </c>
      <c r="P177" s="120">
        <v>0</v>
      </c>
      <c r="Q177" s="118">
        <v>0</v>
      </c>
      <c r="R177" s="118">
        <v>0</v>
      </c>
      <c r="S177" s="118">
        <v>0</v>
      </c>
      <c r="T177" s="118">
        <v>0</v>
      </c>
      <c r="U177" s="118">
        <v>0</v>
      </c>
      <c r="V177" s="118">
        <v>0</v>
      </c>
      <c r="W177" s="118">
        <v>0</v>
      </c>
      <c r="X177" s="118">
        <v>0</v>
      </c>
      <c r="Y177" s="128">
        <v>0</v>
      </c>
      <c r="Z177" s="127">
        <v>801</v>
      </c>
      <c r="AA177" s="120">
        <v>246</v>
      </c>
      <c r="AB177" s="118">
        <v>11</v>
      </c>
      <c r="AC177" s="119">
        <v>0</v>
      </c>
      <c r="AD177" s="127">
        <v>5102</v>
      </c>
      <c r="AE177" s="118">
        <v>7231</v>
      </c>
      <c r="AF177" s="118">
        <v>476</v>
      </c>
      <c r="AG177" s="128">
        <v>0</v>
      </c>
      <c r="AH177" s="122">
        <v>12359</v>
      </c>
    </row>
    <row r="178" spans="1:34" x14ac:dyDescent="0.25">
      <c r="A178" s="17" t="s">
        <v>422</v>
      </c>
      <c r="B178" s="90" t="s">
        <v>423</v>
      </c>
      <c r="C178" s="8">
        <f t="shared" si="14"/>
        <v>229106.28222348113</v>
      </c>
      <c r="D178" s="7">
        <f t="shared" si="15"/>
        <v>580300.94499999995</v>
      </c>
      <c r="E178" s="7">
        <f t="shared" si="16"/>
        <v>35453</v>
      </c>
      <c r="F178" s="7">
        <f t="shared" si="17"/>
        <v>424935</v>
      </c>
      <c r="G178" s="7">
        <f t="shared" si="18"/>
        <v>245798.00000000003</v>
      </c>
      <c r="H178" s="149">
        <f t="shared" si="19"/>
        <v>271138</v>
      </c>
      <c r="I178" s="157">
        <f t="shared" si="20"/>
        <v>1.7238095238095236E-2</v>
      </c>
      <c r="J178" s="153">
        <v>359765</v>
      </c>
      <c r="K178" s="127">
        <v>0</v>
      </c>
      <c r="L178" s="118">
        <v>359765</v>
      </c>
      <c r="M178" s="128">
        <v>0</v>
      </c>
      <c r="N178" s="127">
        <v>1</v>
      </c>
      <c r="O178" s="118">
        <v>0</v>
      </c>
      <c r="P178" s="120">
        <v>0</v>
      </c>
      <c r="Q178" s="118">
        <v>0</v>
      </c>
      <c r="R178" s="118">
        <v>0</v>
      </c>
      <c r="S178" s="118">
        <v>0</v>
      </c>
      <c r="T178" s="118">
        <v>0</v>
      </c>
      <c r="U178" s="118">
        <v>0</v>
      </c>
      <c r="V178" s="118">
        <v>0</v>
      </c>
      <c r="W178" s="118">
        <v>0</v>
      </c>
      <c r="X178" s="118">
        <v>0</v>
      </c>
      <c r="Y178" s="128">
        <v>0</v>
      </c>
      <c r="Z178" s="127">
        <v>66</v>
      </c>
      <c r="AA178" s="120">
        <v>39</v>
      </c>
      <c r="AB178" s="118">
        <v>0</v>
      </c>
      <c r="AC178" s="119">
        <v>0</v>
      </c>
      <c r="AD178" s="127">
        <v>1206</v>
      </c>
      <c r="AE178" s="118">
        <v>604</v>
      </c>
      <c r="AF178" s="118">
        <v>0</v>
      </c>
      <c r="AG178" s="128">
        <v>0</v>
      </c>
      <c r="AH178" s="122">
        <v>1810</v>
      </c>
    </row>
    <row r="179" spans="1:34" x14ac:dyDescent="0.25">
      <c r="A179" s="17" t="s">
        <v>424</v>
      </c>
      <c r="B179" s="90" t="s">
        <v>425</v>
      </c>
      <c r="C179" s="8">
        <f t="shared" si="14"/>
        <v>138088.91545974842</v>
      </c>
      <c r="D179" s="7">
        <f t="shared" si="15"/>
        <v>337099.25699999998</v>
      </c>
      <c r="E179" s="7">
        <f t="shared" si="16"/>
        <v>0</v>
      </c>
      <c r="F179" s="7">
        <f t="shared" si="17"/>
        <v>121410</v>
      </c>
      <c r="G179" s="7">
        <f t="shared" si="18"/>
        <v>103208.00000000001</v>
      </c>
      <c r="H179" s="149">
        <f t="shared" si="19"/>
        <v>113848.00000000001</v>
      </c>
      <c r="I179" s="157">
        <f t="shared" si="20"/>
        <v>2.5333333333333333E-2</v>
      </c>
      <c r="J179" s="153">
        <v>208989</v>
      </c>
      <c r="K179" s="127">
        <v>0</v>
      </c>
      <c r="L179" s="118">
        <v>208989</v>
      </c>
      <c r="M179" s="128">
        <v>0</v>
      </c>
      <c r="N179" s="127">
        <v>0</v>
      </c>
      <c r="O179" s="118">
        <v>0</v>
      </c>
      <c r="P179" s="120">
        <v>0</v>
      </c>
      <c r="Q179" s="118">
        <v>0</v>
      </c>
      <c r="R179" s="118">
        <v>0</v>
      </c>
      <c r="S179" s="118">
        <v>0</v>
      </c>
      <c r="T179" s="118">
        <v>0</v>
      </c>
      <c r="U179" s="118">
        <v>0</v>
      </c>
      <c r="V179" s="118">
        <v>0</v>
      </c>
      <c r="W179" s="118">
        <v>0</v>
      </c>
      <c r="X179" s="118">
        <v>0</v>
      </c>
      <c r="Y179" s="128">
        <v>0</v>
      </c>
      <c r="Z179" s="127">
        <v>26</v>
      </c>
      <c r="AA179" s="120">
        <v>4</v>
      </c>
      <c r="AB179" s="118">
        <v>0</v>
      </c>
      <c r="AC179" s="119">
        <v>0</v>
      </c>
      <c r="AD179" s="127">
        <v>91</v>
      </c>
      <c r="AE179" s="118">
        <v>669</v>
      </c>
      <c r="AF179" s="118">
        <v>0</v>
      </c>
      <c r="AG179" s="128">
        <v>0</v>
      </c>
      <c r="AH179" s="122">
        <v>760</v>
      </c>
    </row>
    <row r="180" spans="1:34" x14ac:dyDescent="0.25">
      <c r="A180" s="17" t="s">
        <v>61</v>
      </c>
      <c r="B180" s="90" t="s">
        <v>426</v>
      </c>
      <c r="C180" s="8">
        <f t="shared" si="14"/>
        <v>6237194.0918143205</v>
      </c>
      <c r="D180" s="7">
        <f t="shared" si="15"/>
        <v>20097241.245999999</v>
      </c>
      <c r="E180" s="7">
        <f t="shared" si="16"/>
        <v>1953762</v>
      </c>
      <c r="F180" s="7">
        <f t="shared" si="17"/>
        <v>14139197</v>
      </c>
      <c r="G180" s="7">
        <f t="shared" si="18"/>
        <v>7711628.4000000004</v>
      </c>
      <c r="H180" s="149">
        <f t="shared" si="19"/>
        <v>7064568.0000000009</v>
      </c>
      <c r="I180" s="157">
        <f t="shared" si="20"/>
        <v>3.3117977528089891E-2</v>
      </c>
      <c r="J180" s="153">
        <v>12459542</v>
      </c>
      <c r="K180" s="127">
        <v>0</v>
      </c>
      <c r="L180" s="118">
        <v>12459542</v>
      </c>
      <c r="M180" s="128">
        <v>0</v>
      </c>
      <c r="N180" s="127">
        <v>10</v>
      </c>
      <c r="O180" s="118">
        <v>172</v>
      </c>
      <c r="P180" s="120">
        <v>6</v>
      </c>
      <c r="Q180" s="118">
        <v>558</v>
      </c>
      <c r="R180" s="118">
        <v>5</v>
      </c>
      <c r="S180" s="118">
        <v>672</v>
      </c>
      <c r="T180" s="118">
        <v>3</v>
      </c>
      <c r="U180" s="118">
        <v>665</v>
      </c>
      <c r="V180" s="118">
        <v>0</v>
      </c>
      <c r="W180" s="118">
        <v>0</v>
      </c>
      <c r="X180" s="118">
        <v>0</v>
      </c>
      <c r="Y180" s="128">
        <v>0</v>
      </c>
      <c r="Z180" s="127">
        <v>384</v>
      </c>
      <c r="AA180" s="120">
        <v>937</v>
      </c>
      <c r="AB180" s="118">
        <v>103</v>
      </c>
      <c r="AC180" s="119">
        <v>0</v>
      </c>
      <c r="AD180" s="127">
        <v>2306</v>
      </c>
      <c r="AE180" s="118">
        <v>36430</v>
      </c>
      <c r="AF180" s="118">
        <v>5698</v>
      </c>
      <c r="AG180" s="128">
        <v>0</v>
      </c>
      <c r="AH180" s="122">
        <v>47160</v>
      </c>
    </row>
    <row r="181" spans="1:34" x14ac:dyDescent="0.25">
      <c r="A181" s="17" t="s">
        <v>427</v>
      </c>
      <c r="B181" s="90" t="s">
        <v>428</v>
      </c>
      <c r="C181" s="8">
        <f t="shared" si="14"/>
        <v>166836.95055991819</v>
      </c>
      <c r="D181" s="7">
        <f t="shared" si="15"/>
        <v>359640.93199999997</v>
      </c>
      <c r="E181" s="7">
        <f t="shared" si="16"/>
        <v>0</v>
      </c>
      <c r="F181" s="7">
        <f t="shared" si="17"/>
        <v>194256</v>
      </c>
      <c r="G181" s="7">
        <f t="shared" si="18"/>
        <v>236699.40000000002</v>
      </c>
      <c r="H181" s="149">
        <f t="shared" si="19"/>
        <v>276081.40000000002</v>
      </c>
      <c r="I181" s="157">
        <f t="shared" si="20"/>
        <v>3.839583333333333E-2</v>
      </c>
      <c r="J181" s="153">
        <v>256000</v>
      </c>
      <c r="K181" s="127">
        <v>0</v>
      </c>
      <c r="L181" s="118">
        <v>222964</v>
      </c>
      <c r="M181" s="128">
        <v>0</v>
      </c>
      <c r="N181" s="127">
        <v>0</v>
      </c>
      <c r="O181" s="118">
        <v>0</v>
      </c>
      <c r="P181" s="120">
        <v>0</v>
      </c>
      <c r="Q181" s="118">
        <v>0</v>
      </c>
      <c r="R181" s="118">
        <v>0</v>
      </c>
      <c r="S181" s="118">
        <v>0</v>
      </c>
      <c r="T181" s="118">
        <v>0</v>
      </c>
      <c r="U181" s="118">
        <v>0</v>
      </c>
      <c r="V181" s="118">
        <v>0</v>
      </c>
      <c r="W181" s="118">
        <v>0</v>
      </c>
      <c r="X181" s="118">
        <v>0</v>
      </c>
      <c r="Y181" s="128">
        <v>0</v>
      </c>
      <c r="Z181" s="127">
        <v>22</v>
      </c>
      <c r="AA181" s="120">
        <v>26</v>
      </c>
      <c r="AB181" s="118">
        <v>0</v>
      </c>
      <c r="AC181" s="119">
        <v>0</v>
      </c>
      <c r="AD181" s="127">
        <v>50</v>
      </c>
      <c r="AE181" s="118">
        <v>1693</v>
      </c>
      <c r="AF181" s="118">
        <v>0</v>
      </c>
      <c r="AG181" s="128">
        <v>0</v>
      </c>
      <c r="AH181" s="122">
        <v>1843</v>
      </c>
    </row>
    <row r="182" spans="1:34" x14ac:dyDescent="0.25">
      <c r="A182" s="17" t="s">
        <v>77</v>
      </c>
      <c r="B182" s="90" t="s">
        <v>429</v>
      </c>
      <c r="C182" s="8">
        <f t="shared" si="14"/>
        <v>1026250.4998212975</v>
      </c>
      <c r="D182" s="7">
        <f t="shared" si="15"/>
        <v>2671365.7480000001</v>
      </c>
      <c r="E182" s="7">
        <f t="shared" si="16"/>
        <v>91922</v>
      </c>
      <c r="F182" s="7">
        <f t="shared" si="17"/>
        <v>2221803</v>
      </c>
      <c r="G182" s="7">
        <f t="shared" si="18"/>
        <v>633778.60000000009</v>
      </c>
      <c r="H182" s="149">
        <f t="shared" si="19"/>
        <v>1414711.2000000002</v>
      </c>
      <c r="I182" s="157">
        <f t="shared" si="20"/>
        <v>1.7202185792349726E-2</v>
      </c>
      <c r="J182" s="153">
        <v>1797521</v>
      </c>
      <c r="K182" s="127">
        <v>263625</v>
      </c>
      <c r="L182" s="118">
        <v>1533896</v>
      </c>
      <c r="M182" s="128">
        <v>0</v>
      </c>
      <c r="N182" s="127">
        <v>1</v>
      </c>
      <c r="O182" s="118">
        <v>32</v>
      </c>
      <c r="P182" s="120">
        <v>1</v>
      </c>
      <c r="Q182" s="118">
        <v>100</v>
      </c>
      <c r="R182" s="118">
        <v>0</v>
      </c>
      <c r="S182" s="118">
        <v>0</v>
      </c>
      <c r="T182" s="118">
        <v>0</v>
      </c>
      <c r="U182" s="118">
        <v>0</v>
      </c>
      <c r="V182" s="118">
        <v>0</v>
      </c>
      <c r="W182" s="118">
        <v>0</v>
      </c>
      <c r="X182" s="118">
        <v>0</v>
      </c>
      <c r="Y182" s="128">
        <v>0</v>
      </c>
      <c r="Z182" s="127">
        <v>393</v>
      </c>
      <c r="AA182" s="120">
        <v>156</v>
      </c>
      <c r="AB182" s="118">
        <v>0</v>
      </c>
      <c r="AC182" s="119">
        <v>0</v>
      </c>
      <c r="AD182" s="127">
        <v>769</v>
      </c>
      <c r="AE182" s="118">
        <v>3898</v>
      </c>
      <c r="AF182" s="118">
        <v>0</v>
      </c>
      <c r="AG182" s="128">
        <v>0</v>
      </c>
      <c r="AH182" s="122">
        <v>9444</v>
      </c>
    </row>
    <row r="183" spans="1:34" x14ac:dyDescent="0.25">
      <c r="A183" s="17" t="s">
        <v>62</v>
      </c>
      <c r="B183" s="90" t="s">
        <v>430</v>
      </c>
      <c r="C183" s="8">
        <f t="shared" si="14"/>
        <v>462584.66047497722</v>
      </c>
      <c r="D183" s="7">
        <f t="shared" si="15"/>
        <v>1185529.192</v>
      </c>
      <c r="E183" s="7">
        <f t="shared" si="16"/>
        <v>705302</v>
      </c>
      <c r="F183" s="7">
        <f t="shared" si="17"/>
        <v>2887375</v>
      </c>
      <c r="G183" s="7">
        <f t="shared" si="18"/>
        <v>1475968.8000000003</v>
      </c>
      <c r="H183" s="149">
        <f t="shared" si="19"/>
        <v>1444821</v>
      </c>
      <c r="I183" s="157">
        <f t="shared" si="20"/>
        <v>5.0497382198952882E-2</v>
      </c>
      <c r="J183" s="153">
        <v>764544</v>
      </c>
      <c r="K183" s="127">
        <v>0</v>
      </c>
      <c r="L183" s="118">
        <v>734984</v>
      </c>
      <c r="M183" s="128">
        <v>0</v>
      </c>
      <c r="N183" s="127">
        <v>0</v>
      </c>
      <c r="O183" s="118">
        <v>0</v>
      </c>
      <c r="P183" s="120">
        <v>0</v>
      </c>
      <c r="Q183" s="118">
        <v>0</v>
      </c>
      <c r="R183" s="118">
        <v>0</v>
      </c>
      <c r="S183" s="118">
        <v>0</v>
      </c>
      <c r="T183" s="118">
        <v>1</v>
      </c>
      <c r="U183" s="118">
        <v>300</v>
      </c>
      <c r="V183" s="118">
        <v>1</v>
      </c>
      <c r="W183" s="118">
        <v>540</v>
      </c>
      <c r="X183" s="118">
        <v>1</v>
      </c>
      <c r="Y183" s="128">
        <v>790</v>
      </c>
      <c r="Z183" s="127">
        <v>17</v>
      </c>
      <c r="AA183" s="120">
        <v>148</v>
      </c>
      <c r="AB183" s="118">
        <v>26</v>
      </c>
      <c r="AC183" s="119">
        <v>0</v>
      </c>
      <c r="AD183" s="127">
        <v>269</v>
      </c>
      <c r="AE183" s="118">
        <v>7945</v>
      </c>
      <c r="AF183" s="118">
        <v>838</v>
      </c>
      <c r="AG183" s="128">
        <v>0</v>
      </c>
      <c r="AH183" s="122">
        <v>9645</v>
      </c>
    </row>
    <row r="184" spans="1:34" x14ac:dyDescent="0.25">
      <c r="A184" s="17" t="s">
        <v>431</v>
      </c>
      <c r="B184" s="90" t="s">
        <v>432</v>
      </c>
      <c r="C184" s="8">
        <f t="shared" si="14"/>
        <v>188605.83620894022</v>
      </c>
      <c r="D184" s="7">
        <f t="shared" si="15"/>
        <v>426345.57920000004</v>
      </c>
      <c r="E184" s="7">
        <f t="shared" si="16"/>
        <v>106359</v>
      </c>
      <c r="F184" s="7">
        <f t="shared" si="17"/>
        <v>374347.5</v>
      </c>
      <c r="G184" s="7">
        <f t="shared" si="18"/>
        <v>172601.80000000002</v>
      </c>
      <c r="H184" s="149">
        <f t="shared" si="19"/>
        <v>190395.80000000002</v>
      </c>
      <c r="I184" s="157">
        <f t="shared" si="20"/>
        <v>1.374054054054054E-2</v>
      </c>
      <c r="J184" s="154">
        <v>292000</v>
      </c>
      <c r="K184" s="127">
        <v>0</v>
      </c>
      <c r="L184" s="118">
        <f>J184*0.9052</f>
        <v>264318.40000000002</v>
      </c>
      <c r="M184" s="128">
        <v>0</v>
      </c>
      <c r="N184" s="127">
        <v>3</v>
      </c>
      <c r="O184" s="118"/>
      <c r="P184" s="120"/>
      <c r="Q184" s="118"/>
      <c r="R184" s="118"/>
      <c r="S184" s="118"/>
      <c r="T184" s="118"/>
      <c r="U184" s="118"/>
      <c r="V184" s="118"/>
      <c r="W184" s="118"/>
      <c r="X184" s="118"/>
      <c r="Y184" s="128"/>
      <c r="Z184" s="127">
        <v>78</v>
      </c>
      <c r="AA184" s="120">
        <v>14.5</v>
      </c>
      <c r="AB184" s="118">
        <v>0</v>
      </c>
      <c r="AC184" s="119">
        <v>0</v>
      </c>
      <c r="AD184" s="127">
        <v>225</v>
      </c>
      <c r="AE184" s="118">
        <v>1046</v>
      </c>
      <c r="AF184" s="118"/>
      <c r="AG184" s="128"/>
      <c r="AH184" s="122">
        <v>1271</v>
      </c>
    </row>
    <row r="185" spans="1:34" x14ac:dyDescent="0.25">
      <c r="A185" s="17" t="s">
        <v>433</v>
      </c>
      <c r="B185" s="90" t="s">
        <v>434</v>
      </c>
      <c r="C185" s="8">
        <f t="shared" ref="C185:C211" si="21">1.518*J185^0.9321</f>
        <v>237273.56926962847</v>
      </c>
      <c r="D185" s="7">
        <f t="shared" si="15"/>
        <v>602523.24600000004</v>
      </c>
      <c r="E185" s="7">
        <f t="shared" si="16"/>
        <v>0</v>
      </c>
      <c r="F185" s="7">
        <f t="shared" si="17"/>
        <v>639426</v>
      </c>
      <c r="G185" s="7">
        <f t="shared" si="18"/>
        <v>658222.60000000009</v>
      </c>
      <c r="H185" s="149">
        <f t="shared" si="19"/>
        <v>726080.60000000009</v>
      </c>
      <c r="I185" s="157">
        <f t="shared" si="20"/>
        <v>3.0677215189873416E-2</v>
      </c>
      <c r="J185" s="153">
        <v>373542</v>
      </c>
      <c r="K185" s="127">
        <v>0</v>
      </c>
      <c r="L185" s="118">
        <v>373542</v>
      </c>
      <c r="M185" s="128">
        <v>0</v>
      </c>
      <c r="N185" s="127">
        <v>0</v>
      </c>
      <c r="O185" s="118">
        <v>0</v>
      </c>
      <c r="P185" s="120">
        <v>0</v>
      </c>
      <c r="Q185" s="118">
        <v>0</v>
      </c>
      <c r="R185" s="118">
        <v>0</v>
      </c>
      <c r="S185" s="118">
        <v>0</v>
      </c>
      <c r="T185" s="118">
        <v>0</v>
      </c>
      <c r="U185" s="118">
        <v>1</v>
      </c>
      <c r="V185" s="118">
        <v>0</v>
      </c>
      <c r="W185" s="118">
        <v>0</v>
      </c>
      <c r="X185" s="118">
        <v>0</v>
      </c>
      <c r="Y185" s="128">
        <v>0</v>
      </c>
      <c r="Z185" s="127">
        <v>150</v>
      </c>
      <c r="AA185" s="120">
        <v>8</v>
      </c>
      <c r="AB185" s="118">
        <v>0</v>
      </c>
      <c r="AC185" s="119">
        <v>0</v>
      </c>
      <c r="AD185" s="127">
        <v>4358</v>
      </c>
      <c r="AE185" s="118">
        <v>489</v>
      </c>
      <c r="AF185" s="118">
        <v>0</v>
      </c>
      <c r="AG185" s="128">
        <v>0</v>
      </c>
      <c r="AH185" s="122">
        <v>4847</v>
      </c>
    </row>
    <row r="186" spans="1:34" x14ac:dyDescent="0.25">
      <c r="A186" s="17" t="s">
        <v>435</v>
      </c>
      <c r="B186" s="90" t="s">
        <v>436</v>
      </c>
      <c r="C186" s="8">
        <f t="shared" si="21"/>
        <v>229314.62254577296</v>
      </c>
      <c r="D186" s="7">
        <f t="shared" ref="D186:D211" si="22">0.748*K186+1.613*L186+1.774*M186</f>
        <v>539588.82499999995</v>
      </c>
      <c r="E186" s="7">
        <f t="shared" ref="E186:E211" si="23">35453*N186+56469*P186+144773*R186+178851*(T186+V186)+440*Y186</f>
        <v>56469</v>
      </c>
      <c r="F186" s="7">
        <f t="shared" ref="F186:F211" si="24">4047*(Z186+AA186)+85370*(AB186+AC186)</f>
        <v>704178</v>
      </c>
      <c r="G186" s="7">
        <f t="shared" ref="G186:G211" si="25">135.8*(AD186+AE186)+430.2*AF186+1208.1*AG186</f>
        <v>478966.60000000003</v>
      </c>
      <c r="H186" s="149">
        <f t="shared" ref="H186:H211" si="26">149.8*AH186</f>
        <v>524150.2</v>
      </c>
      <c r="I186" s="157">
        <f t="shared" ref="I186:I211" si="27">IF(SUM(Z186:AC186)&gt;0,(AH186/(SUM(Z186:AC186)*1000)),0)</f>
        <v>2.010919540229885E-2</v>
      </c>
      <c r="J186" s="153">
        <v>360116</v>
      </c>
      <c r="K186" s="127">
        <v>0</v>
      </c>
      <c r="L186" s="118">
        <v>334525</v>
      </c>
      <c r="M186" s="128">
        <v>0</v>
      </c>
      <c r="N186" s="127">
        <v>0</v>
      </c>
      <c r="O186" s="118">
        <v>0</v>
      </c>
      <c r="P186" s="120">
        <v>1</v>
      </c>
      <c r="Q186" s="118">
        <v>60</v>
      </c>
      <c r="R186" s="118">
        <v>0</v>
      </c>
      <c r="S186" s="118">
        <v>0</v>
      </c>
      <c r="T186" s="118">
        <v>0</v>
      </c>
      <c r="U186" s="118">
        <v>0</v>
      </c>
      <c r="V186" s="118">
        <v>0</v>
      </c>
      <c r="W186" s="118">
        <v>0</v>
      </c>
      <c r="X186" s="118">
        <v>0</v>
      </c>
      <c r="Y186" s="128">
        <v>0</v>
      </c>
      <c r="Z186" s="127">
        <v>174</v>
      </c>
      <c r="AA186" s="120">
        <v>0</v>
      </c>
      <c r="AB186" s="118">
        <v>0</v>
      </c>
      <c r="AC186" s="119">
        <v>0</v>
      </c>
      <c r="AD186" s="127">
        <v>3527</v>
      </c>
      <c r="AE186" s="118">
        <v>0</v>
      </c>
      <c r="AF186" s="118">
        <v>0</v>
      </c>
      <c r="AG186" s="128">
        <v>0</v>
      </c>
      <c r="AH186" s="122">
        <v>3499</v>
      </c>
    </row>
    <row r="187" spans="1:34" x14ac:dyDescent="0.25">
      <c r="A187" s="17" t="s">
        <v>78</v>
      </c>
      <c r="B187" s="90" t="s">
        <v>437</v>
      </c>
      <c r="C187" s="8">
        <f t="shared" si="21"/>
        <v>220811.78572444021</v>
      </c>
      <c r="D187" s="7">
        <f t="shared" si="22"/>
        <v>557791.53</v>
      </c>
      <c r="E187" s="7">
        <f t="shared" si="23"/>
        <v>0</v>
      </c>
      <c r="F187" s="7">
        <f t="shared" si="24"/>
        <v>449217</v>
      </c>
      <c r="G187" s="7">
        <f t="shared" si="25"/>
        <v>265896.40000000002</v>
      </c>
      <c r="H187" s="149">
        <f t="shared" si="26"/>
        <v>305741.80000000005</v>
      </c>
      <c r="I187" s="157">
        <f t="shared" si="27"/>
        <v>1.8387387387387388E-2</v>
      </c>
      <c r="J187" s="153">
        <v>345810</v>
      </c>
      <c r="K187" s="127">
        <v>0</v>
      </c>
      <c r="L187" s="118">
        <v>345810</v>
      </c>
      <c r="M187" s="128">
        <v>0</v>
      </c>
      <c r="N187" s="127">
        <v>0</v>
      </c>
      <c r="O187" s="118">
        <v>0</v>
      </c>
      <c r="P187" s="120">
        <v>0</v>
      </c>
      <c r="Q187" s="118">
        <v>0</v>
      </c>
      <c r="R187" s="118">
        <v>0</v>
      </c>
      <c r="S187" s="118">
        <v>0</v>
      </c>
      <c r="T187" s="118">
        <v>0</v>
      </c>
      <c r="U187" s="118">
        <v>0</v>
      </c>
      <c r="V187" s="118">
        <v>0</v>
      </c>
      <c r="W187" s="118">
        <v>0</v>
      </c>
      <c r="X187" s="118">
        <v>0</v>
      </c>
      <c r="Y187" s="128">
        <v>0</v>
      </c>
      <c r="Z187" s="127">
        <v>54</v>
      </c>
      <c r="AA187" s="120">
        <v>57</v>
      </c>
      <c r="AB187" s="118">
        <v>0</v>
      </c>
      <c r="AC187" s="119">
        <v>0</v>
      </c>
      <c r="AD187" s="127">
        <v>325</v>
      </c>
      <c r="AE187" s="118">
        <v>1633</v>
      </c>
      <c r="AF187" s="118">
        <v>0</v>
      </c>
      <c r="AG187" s="128">
        <v>0</v>
      </c>
      <c r="AH187" s="122">
        <v>2041</v>
      </c>
    </row>
    <row r="188" spans="1:34" x14ac:dyDescent="0.25">
      <c r="A188" s="17" t="s">
        <v>64</v>
      </c>
      <c r="B188" s="90" t="s">
        <v>438</v>
      </c>
      <c r="C188" s="8">
        <f t="shared" si="21"/>
        <v>1016413.2774537484</v>
      </c>
      <c r="D188" s="7">
        <f t="shared" si="22"/>
        <v>2826179.2379999999</v>
      </c>
      <c r="E188" s="7">
        <f t="shared" si="23"/>
        <v>734800</v>
      </c>
      <c r="F188" s="7">
        <f t="shared" si="24"/>
        <v>8447417</v>
      </c>
      <c r="G188" s="7">
        <f t="shared" si="25"/>
        <v>1893783.2000000002</v>
      </c>
      <c r="H188" s="149">
        <f t="shared" si="26"/>
        <v>1722700.0000000002</v>
      </c>
      <c r="I188" s="157">
        <f t="shared" si="27"/>
        <v>3.6050156739811913E-2</v>
      </c>
      <c r="J188" s="153">
        <v>1779042</v>
      </c>
      <c r="K188" s="127">
        <v>0</v>
      </c>
      <c r="L188" s="118">
        <v>1752126</v>
      </c>
      <c r="M188" s="128">
        <v>0</v>
      </c>
      <c r="N188" s="127">
        <v>0</v>
      </c>
      <c r="O188" s="118">
        <v>0</v>
      </c>
      <c r="P188" s="120">
        <v>0</v>
      </c>
      <c r="Q188" s="118">
        <v>0</v>
      </c>
      <c r="R188" s="118">
        <v>0</v>
      </c>
      <c r="S188" s="118">
        <v>0</v>
      </c>
      <c r="T188" s="118">
        <v>0</v>
      </c>
      <c r="U188" s="118">
        <v>0</v>
      </c>
      <c r="V188" s="118">
        <v>0</v>
      </c>
      <c r="W188" s="118">
        <v>0</v>
      </c>
      <c r="X188" s="118">
        <v>2</v>
      </c>
      <c r="Y188" s="128">
        <v>1670</v>
      </c>
      <c r="Z188" s="127">
        <v>36</v>
      </c>
      <c r="AA188" s="120">
        <v>195</v>
      </c>
      <c r="AB188" s="118">
        <v>88</v>
      </c>
      <c r="AC188" s="119">
        <v>0</v>
      </c>
      <c r="AD188" s="127">
        <v>264</v>
      </c>
      <c r="AE188" s="118">
        <v>10108</v>
      </c>
      <c r="AF188" s="118">
        <v>1128</v>
      </c>
      <c r="AG188" s="128">
        <v>0</v>
      </c>
      <c r="AH188" s="122">
        <v>11500</v>
      </c>
    </row>
    <row r="189" spans="1:34" x14ac:dyDescent="0.25">
      <c r="A189" s="17" t="s">
        <v>439</v>
      </c>
      <c r="B189" s="90" t="s">
        <v>440</v>
      </c>
      <c r="C189" s="8">
        <f t="shared" si="21"/>
        <v>936810.68950992078</v>
      </c>
      <c r="D189" s="7">
        <f t="shared" si="22"/>
        <v>2642394.0180000002</v>
      </c>
      <c r="E189" s="7">
        <f t="shared" si="23"/>
        <v>576788</v>
      </c>
      <c r="F189" s="7">
        <f t="shared" si="24"/>
        <v>1773818</v>
      </c>
      <c r="G189" s="7">
        <f t="shared" si="25"/>
        <v>727511.6</v>
      </c>
      <c r="H189" s="149">
        <f t="shared" si="26"/>
        <v>1018640.0000000001</v>
      </c>
      <c r="I189" s="157">
        <f t="shared" si="27"/>
        <v>2.5420560747663551E-2</v>
      </c>
      <c r="J189" s="153">
        <v>1630000</v>
      </c>
      <c r="K189" s="127">
        <v>0</v>
      </c>
      <c r="L189" s="118">
        <v>1638186</v>
      </c>
      <c r="M189" s="128">
        <v>0</v>
      </c>
      <c r="N189" s="127">
        <v>9</v>
      </c>
      <c r="O189" s="118">
        <v>211</v>
      </c>
      <c r="P189" s="120">
        <v>2</v>
      </c>
      <c r="Q189" s="118">
        <v>120</v>
      </c>
      <c r="R189" s="118">
        <v>1</v>
      </c>
      <c r="S189" s="118">
        <v>122</v>
      </c>
      <c r="T189" s="118">
        <v>0</v>
      </c>
      <c r="U189" s="118">
        <v>0</v>
      </c>
      <c r="V189" s="118">
        <v>0</v>
      </c>
      <c r="W189" s="118">
        <v>0</v>
      </c>
      <c r="X189" s="118">
        <v>0</v>
      </c>
      <c r="Y189" s="128">
        <v>0</v>
      </c>
      <c r="Z189" s="127">
        <v>128</v>
      </c>
      <c r="AA189" s="120">
        <v>131</v>
      </c>
      <c r="AB189" s="118">
        <v>8.5</v>
      </c>
      <c r="AC189" s="119">
        <v>0</v>
      </c>
      <c r="AD189" s="127">
        <v>1377</v>
      </c>
      <c r="AE189" s="118">
        <v>3391</v>
      </c>
      <c r="AF189" s="118">
        <v>186</v>
      </c>
      <c r="AG189" s="128">
        <v>0</v>
      </c>
      <c r="AH189" s="122">
        <v>6800</v>
      </c>
    </row>
    <row r="190" spans="1:34" x14ac:dyDescent="0.25">
      <c r="A190" s="17" t="s">
        <v>490</v>
      </c>
      <c r="B190" s="90" t="s">
        <v>441</v>
      </c>
      <c r="C190" s="8">
        <f t="shared" si="21"/>
        <v>4985033.5719260033</v>
      </c>
      <c r="D190" s="7">
        <f t="shared" si="22"/>
        <v>14725786.720000001</v>
      </c>
      <c r="E190" s="7">
        <f t="shared" si="23"/>
        <v>2803358</v>
      </c>
      <c r="F190" s="7">
        <f t="shared" si="24"/>
        <v>17201091</v>
      </c>
      <c r="G190" s="7">
        <f t="shared" si="25"/>
        <v>6789064</v>
      </c>
      <c r="H190" s="149">
        <f t="shared" si="26"/>
        <v>7397723.2000000002</v>
      </c>
      <c r="I190" s="157">
        <f t="shared" si="27"/>
        <v>4.9632160804020102E-2</v>
      </c>
      <c r="J190" s="153">
        <v>9796962</v>
      </c>
      <c r="K190" s="127">
        <v>0</v>
      </c>
      <c r="L190" s="118">
        <v>9129440</v>
      </c>
      <c r="M190" s="128">
        <v>0</v>
      </c>
      <c r="N190" s="127">
        <v>3</v>
      </c>
      <c r="O190" s="118">
        <v>72</v>
      </c>
      <c r="P190" s="120">
        <v>3</v>
      </c>
      <c r="Q190" s="118">
        <v>181</v>
      </c>
      <c r="R190" s="118">
        <v>3</v>
      </c>
      <c r="S190" s="118">
        <v>443</v>
      </c>
      <c r="T190" s="118">
        <v>3</v>
      </c>
      <c r="U190" s="118">
        <v>1000</v>
      </c>
      <c r="V190" s="118">
        <v>0</v>
      </c>
      <c r="W190" s="118">
        <v>0</v>
      </c>
      <c r="X190" s="118">
        <v>4</v>
      </c>
      <c r="Y190" s="128">
        <v>3538</v>
      </c>
      <c r="Z190" s="127">
        <v>234</v>
      </c>
      <c r="AA190" s="120">
        <v>599</v>
      </c>
      <c r="AB190" s="118">
        <v>151</v>
      </c>
      <c r="AC190" s="119">
        <v>11</v>
      </c>
      <c r="AD190" s="127">
        <v>2678</v>
      </c>
      <c r="AE190" s="118">
        <v>24183</v>
      </c>
      <c r="AF190" s="118">
        <v>5853</v>
      </c>
      <c r="AG190" s="128">
        <v>516</v>
      </c>
      <c r="AH190" s="122">
        <v>49384</v>
      </c>
    </row>
    <row r="191" spans="1:34" x14ac:dyDescent="0.25">
      <c r="A191" s="17" t="s">
        <v>442</v>
      </c>
      <c r="B191" s="90" t="s">
        <v>443</v>
      </c>
      <c r="C191" s="8">
        <f t="shared" si="21"/>
        <v>184116.01676183901</v>
      </c>
      <c r="D191" s="7">
        <f t="shared" si="22"/>
        <v>458977.53700000001</v>
      </c>
      <c r="E191" s="7">
        <f t="shared" si="23"/>
        <v>0</v>
      </c>
      <c r="F191" s="7">
        <f t="shared" si="24"/>
        <v>44517</v>
      </c>
      <c r="G191" s="7">
        <f t="shared" si="25"/>
        <v>407.40000000000003</v>
      </c>
      <c r="H191" s="149">
        <f t="shared" si="26"/>
        <v>449.40000000000003</v>
      </c>
      <c r="I191" s="157">
        <f t="shared" si="27"/>
        <v>2.7272727272727274E-4</v>
      </c>
      <c r="J191" s="153">
        <v>284549</v>
      </c>
      <c r="K191" s="127">
        <v>0</v>
      </c>
      <c r="L191" s="118">
        <v>284549</v>
      </c>
      <c r="M191" s="128">
        <v>0</v>
      </c>
      <c r="N191" s="127">
        <v>0</v>
      </c>
      <c r="O191" s="118">
        <v>0</v>
      </c>
      <c r="P191" s="120">
        <v>0</v>
      </c>
      <c r="Q191" s="118">
        <v>0</v>
      </c>
      <c r="R191" s="118">
        <v>0</v>
      </c>
      <c r="S191" s="118">
        <v>0</v>
      </c>
      <c r="T191" s="118">
        <v>0</v>
      </c>
      <c r="U191" s="118">
        <v>0</v>
      </c>
      <c r="V191" s="118">
        <v>0</v>
      </c>
      <c r="W191" s="118">
        <v>0</v>
      </c>
      <c r="X191" s="118">
        <v>0</v>
      </c>
      <c r="Y191" s="128">
        <v>0</v>
      </c>
      <c r="Z191" s="127">
        <v>11</v>
      </c>
      <c r="AA191" s="120">
        <v>0</v>
      </c>
      <c r="AB191" s="118">
        <v>0</v>
      </c>
      <c r="AC191" s="119">
        <v>0</v>
      </c>
      <c r="AD191" s="127">
        <v>0</v>
      </c>
      <c r="AE191" s="118">
        <v>3</v>
      </c>
      <c r="AF191" s="118">
        <v>0</v>
      </c>
      <c r="AG191" s="128">
        <v>0</v>
      </c>
      <c r="AH191" s="122">
        <v>3</v>
      </c>
    </row>
    <row r="192" spans="1:34" x14ac:dyDescent="0.25">
      <c r="A192" s="17" t="s">
        <v>444</v>
      </c>
      <c r="B192" s="90" t="s">
        <v>445</v>
      </c>
      <c r="C192" s="8">
        <f t="shared" si="21"/>
        <v>139123.31656802556</v>
      </c>
      <c r="D192" s="7">
        <f t="shared" si="22"/>
        <v>501338.29200000002</v>
      </c>
      <c r="E192" s="7">
        <f t="shared" si="23"/>
        <v>70906</v>
      </c>
      <c r="F192" s="7">
        <f t="shared" si="24"/>
        <v>408747</v>
      </c>
      <c r="G192" s="7">
        <f t="shared" si="25"/>
        <v>220810.80000000002</v>
      </c>
      <c r="H192" s="149">
        <f t="shared" si="26"/>
        <v>243574.80000000002</v>
      </c>
      <c r="I192" s="157">
        <f t="shared" si="27"/>
        <v>1.6099009900990099E-2</v>
      </c>
      <c r="J192" s="153">
        <v>210669</v>
      </c>
      <c r="K192" s="127">
        <v>198786</v>
      </c>
      <c r="L192" s="118">
        <v>0</v>
      </c>
      <c r="M192" s="128">
        <v>198786</v>
      </c>
      <c r="N192" s="127">
        <v>2</v>
      </c>
      <c r="O192" s="118">
        <v>30</v>
      </c>
      <c r="P192" s="120">
        <v>0</v>
      </c>
      <c r="Q192" s="118">
        <v>0</v>
      </c>
      <c r="R192" s="118">
        <v>0</v>
      </c>
      <c r="S192" s="118">
        <v>0</v>
      </c>
      <c r="T192" s="118">
        <v>0</v>
      </c>
      <c r="U192" s="118">
        <v>0</v>
      </c>
      <c r="V192" s="118">
        <v>0</v>
      </c>
      <c r="W192" s="118">
        <v>0</v>
      </c>
      <c r="X192" s="118">
        <v>0</v>
      </c>
      <c r="Y192" s="128">
        <v>0</v>
      </c>
      <c r="Z192" s="127">
        <v>57</v>
      </c>
      <c r="AA192" s="120">
        <v>44</v>
      </c>
      <c r="AB192" s="118">
        <v>0</v>
      </c>
      <c r="AC192" s="119">
        <v>0</v>
      </c>
      <c r="AD192" s="127">
        <v>221</v>
      </c>
      <c r="AE192" s="118">
        <v>1405</v>
      </c>
      <c r="AF192" s="118">
        <v>0</v>
      </c>
      <c r="AG192" s="128">
        <v>0</v>
      </c>
      <c r="AH192" s="122">
        <v>1626</v>
      </c>
    </row>
    <row r="193" spans="1:34" x14ac:dyDescent="0.25">
      <c r="A193" s="17" t="s">
        <v>446</v>
      </c>
      <c r="B193" s="90" t="s">
        <v>447</v>
      </c>
      <c r="C193" s="8">
        <f t="shared" si="21"/>
        <v>189446.76798586865</v>
      </c>
      <c r="D193" s="7">
        <f t="shared" si="22"/>
        <v>473249.36099999998</v>
      </c>
      <c r="E193" s="7">
        <f t="shared" si="23"/>
        <v>382125</v>
      </c>
      <c r="F193" s="7">
        <f t="shared" si="24"/>
        <v>101175</v>
      </c>
      <c r="G193" s="7">
        <f t="shared" si="25"/>
        <v>0</v>
      </c>
      <c r="H193" s="149">
        <f t="shared" si="26"/>
        <v>149.80000000000001</v>
      </c>
      <c r="I193" s="157">
        <f t="shared" si="27"/>
        <v>4.0000000000000003E-5</v>
      </c>
      <c r="J193" s="153">
        <v>293397</v>
      </c>
      <c r="K193" s="127">
        <v>0</v>
      </c>
      <c r="L193" s="118">
        <v>293397</v>
      </c>
      <c r="M193" s="128">
        <v>0</v>
      </c>
      <c r="N193" s="127">
        <v>6</v>
      </c>
      <c r="O193" s="118">
        <v>100</v>
      </c>
      <c r="P193" s="120">
        <v>3</v>
      </c>
      <c r="Q193" s="118">
        <v>200</v>
      </c>
      <c r="R193" s="118">
        <v>0</v>
      </c>
      <c r="S193" s="118">
        <v>0</v>
      </c>
      <c r="T193" s="118">
        <v>0</v>
      </c>
      <c r="U193" s="118">
        <v>0</v>
      </c>
      <c r="V193" s="118">
        <v>0</v>
      </c>
      <c r="W193" s="118">
        <v>0</v>
      </c>
      <c r="X193" s="118">
        <v>0</v>
      </c>
      <c r="Y193" s="128">
        <v>0</v>
      </c>
      <c r="Z193" s="127">
        <v>25</v>
      </c>
      <c r="AA193" s="120">
        <v>0</v>
      </c>
      <c r="AB193" s="118">
        <v>0</v>
      </c>
      <c r="AC193" s="119">
        <v>0</v>
      </c>
      <c r="AD193" s="127">
        <v>0</v>
      </c>
      <c r="AE193" s="118">
        <v>0</v>
      </c>
      <c r="AF193" s="118">
        <v>0</v>
      </c>
      <c r="AG193" s="128">
        <v>0</v>
      </c>
      <c r="AH193" s="122">
        <v>1</v>
      </c>
    </row>
    <row r="194" spans="1:34" x14ac:dyDescent="0.25">
      <c r="A194" s="17" t="s">
        <v>448</v>
      </c>
      <c r="B194" s="90" t="s">
        <v>449</v>
      </c>
      <c r="C194" s="8">
        <f t="shared" si="21"/>
        <v>210273.41071560245</v>
      </c>
      <c r="D194" s="7">
        <f t="shared" si="22"/>
        <v>480123.967</v>
      </c>
      <c r="E194" s="7">
        <f t="shared" si="23"/>
        <v>0</v>
      </c>
      <c r="F194" s="7">
        <f t="shared" si="24"/>
        <v>198303</v>
      </c>
      <c r="G194" s="7">
        <f t="shared" si="25"/>
        <v>269834.60000000003</v>
      </c>
      <c r="H194" s="149">
        <f t="shared" si="26"/>
        <v>301397.60000000003</v>
      </c>
      <c r="I194" s="157">
        <f t="shared" si="27"/>
        <v>4.1061224489795919E-2</v>
      </c>
      <c r="J194" s="153">
        <v>328135</v>
      </c>
      <c r="K194" s="127">
        <v>0</v>
      </c>
      <c r="L194" s="118">
        <v>297659</v>
      </c>
      <c r="M194" s="128">
        <v>0</v>
      </c>
      <c r="N194" s="127">
        <v>0</v>
      </c>
      <c r="O194" s="118">
        <v>0</v>
      </c>
      <c r="P194" s="120">
        <v>0</v>
      </c>
      <c r="Q194" s="118">
        <v>0</v>
      </c>
      <c r="R194" s="118">
        <v>0</v>
      </c>
      <c r="S194" s="118">
        <v>0</v>
      </c>
      <c r="T194" s="118">
        <v>0</v>
      </c>
      <c r="U194" s="118">
        <v>0</v>
      </c>
      <c r="V194" s="118">
        <v>0</v>
      </c>
      <c r="W194" s="118">
        <v>0</v>
      </c>
      <c r="X194" s="118">
        <v>0</v>
      </c>
      <c r="Y194" s="128">
        <v>0</v>
      </c>
      <c r="Z194" s="127">
        <v>2</v>
      </c>
      <c r="AA194" s="120">
        <v>47</v>
      </c>
      <c r="AB194" s="118">
        <v>0</v>
      </c>
      <c r="AC194" s="119">
        <v>0</v>
      </c>
      <c r="AD194" s="127">
        <v>0</v>
      </c>
      <c r="AE194" s="118">
        <v>1987</v>
      </c>
      <c r="AF194" s="118">
        <v>0</v>
      </c>
      <c r="AG194" s="128">
        <v>0</v>
      </c>
      <c r="AH194" s="122">
        <v>2012</v>
      </c>
    </row>
    <row r="195" spans="1:34" x14ac:dyDescent="0.25">
      <c r="A195" s="17" t="s">
        <v>450</v>
      </c>
      <c r="B195" s="90" t="s">
        <v>451</v>
      </c>
      <c r="C195" s="8">
        <f t="shared" si="21"/>
        <v>933631.95085396385</v>
      </c>
      <c r="D195" s="7">
        <f t="shared" si="22"/>
        <v>2268128.0150000001</v>
      </c>
      <c r="E195" s="7">
        <f t="shared" si="23"/>
        <v>346672</v>
      </c>
      <c r="F195" s="7">
        <f t="shared" si="24"/>
        <v>2799924</v>
      </c>
      <c r="G195" s="7">
        <f t="shared" si="25"/>
        <v>1351808.4</v>
      </c>
      <c r="H195" s="149">
        <f t="shared" si="26"/>
        <v>1351495.6</v>
      </c>
      <c r="I195" s="157">
        <f t="shared" si="27"/>
        <v>1.7655577299412917E-2</v>
      </c>
      <c r="J195" s="153">
        <v>1624067</v>
      </c>
      <c r="K195" s="127">
        <v>0</v>
      </c>
      <c r="L195" s="118">
        <v>1406155</v>
      </c>
      <c r="M195" s="128">
        <v>0</v>
      </c>
      <c r="N195" s="127">
        <v>5</v>
      </c>
      <c r="O195" s="118">
        <v>172</v>
      </c>
      <c r="P195" s="120">
        <v>3</v>
      </c>
      <c r="Q195" s="118">
        <v>192</v>
      </c>
      <c r="R195" s="118">
        <v>0</v>
      </c>
      <c r="S195" s="118">
        <v>0</v>
      </c>
      <c r="T195" s="118">
        <v>0</v>
      </c>
      <c r="U195" s="118">
        <v>0</v>
      </c>
      <c r="V195" s="118">
        <v>0</v>
      </c>
      <c r="W195" s="118">
        <v>0</v>
      </c>
      <c r="X195" s="118">
        <v>0</v>
      </c>
      <c r="Y195" s="128">
        <v>0</v>
      </c>
      <c r="Z195" s="127">
        <v>323</v>
      </c>
      <c r="AA195" s="120">
        <v>179</v>
      </c>
      <c r="AB195" s="118">
        <v>9</v>
      </c>
      <c r="AC195" s="119">
        <v>0</v>
      </c>
      <c r="AD195" s="127">
        <v>1291</v>
      </c>
      <c r="AE195" s="118">
        <v>7184</v>
      </c>
      <c r="AF195" s="118">
        <v>467</v>
      </c>
      <c r="AG195" s="128">
        <v>0</v>
      </c>
      <c r="AH195" s="122">
        <v>9022</v>
      </c>
    </row>
    <row r="196" spans="1:34" x14ac:dyDescent="0.25">
      <c r="A196" s="17" t="s">
        <v>452</v>
      </c>
      <c r="B196" s="90" t="s">
        <v>453</v>
      </c>
      <c r="C196" s="8">
        <f t="shared" si="21"/>
        <v>439346.76084410847</v>
      </c>
      <c r="D196" s="7">
        <f t="shared" si="22"/>
        <v>1191736.0160000001</v>
      </c>
      <c r="E196" s="7">
        <f t="shared" si="23"/>
        <v>0</v>
      </c>
      <c r="F196" s="7">
        <f t="shared" si="24"/>
        <v>716319</v>
      </c>
      <c r="G196" s="7">
        <f t="shared" si="25"/>
        <v>486707.20000000007</v>
      </c>
      <c r="H196" s="149">
        <f t="shared" si="26"/>
        <v>770271.60000000009</v>
      </c>
      <c r="I196" s="157">
        <f t="shared" si="27"/>
        <v>2.9050847457627118E-2</v>
      </c>
      <c r="J196" s="153">
        <v>723416</v>
      </c>
      <c r="K196" s="127">
        <v>0</v>
      </c>
      <c r="L196" s="118">
        <v>738832</v>
      </c>
      <c r="M196" s="128">
        <v>0</v>
      </c>
      <c r="N196" s="127">
        <v>0</v>
      </c>
      <c r="O196" s="118">
        <v>0</v>
      </c>
      <c r="P196" s="120">
        <v>0</v>
      </c>
      <c r="Q196" s="118">
        <v>0</v>
      </c>
      <c r="R196" s="118">
        <v>0</v>
      </c>
      <c r="S196" s="118">
        <v>0</v>
      </c>
      <c r="T196" s="118">
        <v>0</v>
      </c>
      <c r="U196" s="118">
        <v>0</v>
      </c>
      <c r="V196" s="118">
        <v>0</v>
      </c>
      <c r="W196" s="118">
        <v>0</v>
      </c>
      <c r="X196" s="118">
        <v>0</v>
      </c>
      <c r="Y196" s="128">
        <v>0</v>
      </c>
      <c r="Z196" s="127">
        <v>70</v>
      </c>
      <c r="AA196" s="120">
        <v>107</v>
      </c>
      <c r="AB196" s="118">
        <v>0</v>
      </c>
      <c r="AC196" s="119">
        <v>0</v>
      </c>
      <c r="AD196" s="127">
        <v>403</v>
      </c>
      <c r="AE196" s="118">
        <v>3181</v>
      </c>
      <c r="AF196" s="118">
        <v>0</v>
      </c>
      <c r="AG196" s="128">
        <v>0</v>
      </c>
      <c r="AH196" s="122">
        <v>5142</v>
      </c>
    </row>
    <row r="197" spans="1:34" x14ac:dyDescent="0.25">
      <c r="A197" s="17" t="s">
        <v>454</v>
      </c>
      <c r="B197" s="90" t="s">
        <v>455</v>
      </c>
      <c r="C197" s="8">
        <f t="shared" si="21"/>
        <v>1401517.5956979389</v>
      </c>
      <c r="D197" s="7">
        <f t="shared" si="22"/>
        <v>4021038.0219999999</v>
      </c>
      <c r="E197" s="7">
        <f t="shared" si="23"/>
        <v>1133463</v>
      </c>
      <c r="F197" s="7">
        <f t="shared" si="24"/>
        <v>4462207</v>
      </c>
      <c r="G197" s="7">
        <f t="shared" si="25"/>
        <v>2132952</v>
      </c>
      <c r="H197" s="149">
        <f t="shared" si="26"/>
        <v>1657387.2000000002</v>
      </c>
      <c r="I197" s="157">
        <f t="shared" si="27"/>
        <v>3.2637168141592919E-2</v>
      </c>
      <c r="J197" s="153">
        <v>2511184</v>
      </c>
      <c r="K197" s="127">
        <v>0</v>
      </c>
      <c r="L197" s="118">
        <v>2492894</v>
      </c>
      <c r="M197" s="128">
        <v>0</v>
      </c>
      <c r="N197" s="127">
        <v>3</v>
      </c>
      <c r="O197" s="118">
        <v>72</v>
      </c>
      <c r="P197" s="120">
        <v>1</v>
      </c>
      <c r="Q197" s="118">
        <v>82</v>
      </c>
      <c r="R197" s="118">
        <v>1</v>
      </c>
      <c r="S197" s="118">
        <v>120</v>
      </c>
      <c r="T197" s="118">
        <v>2</v>
      </c>
      <c r="U197" s="118">
        <v>720</v>
      </c>
      <c r="V197" s="118">
        <v>0</v>
      </c>
      <c r="W197" s="118">
        <v>0</v>
      </c>
      <c r="X197" s="118">
        <v>1</v>
      </c>
      <c r="Y197" s="128">
        <v>1064</v>
      </c>
      <c r="Z197" s="127">
        <v>91</v>
      </c>
      <c r="AA197" s="120">
        <v>210</v>
      </c>
      <c r="AB197" s="118">
        <v>38</v>
      </c>
      <c r="AC197" s="119">
        <v>0</v>
      </c>
      <c r="AD197" s="127">
        <v>677</v>
      </c>
      <c r="AE197" s="118">
        <v>8830</v>
      </c>
      <c r="AF197" s="118">
        <v>1957</v>
      </c>
      <c r="AG197" s="128">
        <v>0</v>
      </c>
      <c r="AH197" s="122">
        <v>11064</v>
      </c>
    </row>
    <row r="198" spans="1:34" x14ac:dyDescent="0.25">
      <c r="A198" s="17" t="s">
        <v>456</v>
      </c>
      <c r="B198" s="90" t="s">
        <v>457</v>
      </c>
      <c r="C198" s="8">
        <f t="shared" si="21"/>
        <v>2083777.5673199997</v>
      </c>
      <c r="D198" s="7">
        <f t="shared" si="22"/>
        <v>6147057.5109999999</v>
      </c>
      <c r="E198" s="7">
        <f t="shared" si="23"/>
        <v>1530919</v>
      </c>
      <c r="F198" s="7">
        <f t="shared" si="24"/>
        <v>8721349</v>
      </c>
      <c r="G198" s="7">
        <f t="shared" si="25"/>
        <v>2740756.0000000005</v>
      </c>
      <c r="H198" s="149">
        <f t="shared" si="26"/>
        <v>2554539.4000000004</v>
      </c>
      <c r="I198" s="157">
        <f t="shared" si="27"/>
        <v>1.5644954128440369E-2</v>
      </c>
      <c r="J198" s="153">
        <v>3843079</v>
      </c>
      <c r="K198" s="127">
        <v>0</v>
      </c>
      <c r="L198" s="118">
        <v>3810947</v>
      </c>
      <c r="M198" s="128">
        <v>0</v>
      </c>
      <c r="N198" s="127">
        <v>16</v>
      </c>
      <c r="O198" s="118">
        <v>235</v>
      </c>
      <c r="P198" s="120">
        <v>5</v>
      </c>
      <c r="Q198" s="118">
        <v>367</v>
      </c>
      <c r="R198" s="118">
        <v>1</v>
      </c>
      <c r="S198" s="118">
        <v>144</v>
      </c>
      <c r="T198" s="118">
        <v>0</v>
      </c>
      <c r="U198" s="118">
        <v>0</v>
      </c>
      <c r="V198" s="118">
        <v>3</v>
      </c>
      <c r="W198" s="118">
        <v>1449</v>
      </c>
      <c r="X198" s="118">
        <v>0</v>
      </c>
      <c r="Y198" s="128">
        <v>0</v>
      </c>
      <c r="Z198" s="127">
        <v>658</v>
      </c>
      <c r="AA198" s="120">
        <v>379</v>
      </c>
      <c r="AB198" s="118">
        <v>53</v>
      </c>
      <c r="AC198" s="119">
        <v>0</v>
      </c>
      <c r="AD198" s="127">
        <v>3015</v>
      </c>
      <c r="AE198" s="118">
        <v>13388</v>
      </c>
      <c r="AF198" s="118">
        <v>1193</v>
      </c>
      <c r="AG198" s="128">
        <v>0</v>
      </c>
      <c r="AH198" s="122">
        <v>17053</v>
      </c>
    </row>
    <row r="199" spans="1:34" x14ac:dyDescent="0.25">
      <c r="A199" s="17" t="s">
        <v>65</v>
      </c>
      <c r="B199" s="90" t="s">
        <v>458</v>
      </c>
      <c r="C199" s="8">
        <f t="shared" si="21"/>
        <v>40417.851158623795</v>
      </c>
      <c r="D199" s="7">
        <f t="shared" si="22"/>
        <v>86363.245999999999</v>
      </c>
      <c r="E199" s="7">
        <f t="shared" si="23"/>
        <v>0</v>
      </c>
      <c r="F199" s="7">
        <f t="shared" si="24"/>
        <v>210444</v>
      </c>
      <c r="G199" s="7">
        <f t="shared" si="25"/>
        <v>140145.60000000001</v>
      </c>
      <c r="H199" s="149">
        <f t="shared" si="26"/>
        <v>154593.60000000001</v>
      </c>
      <c r="I199" s="157">
        <f t="shared" si="27"/>
        <v>1.9846153846153847E-2</v>
      </c>
      <c r="J199" s="153">
        <v>55933</v>
      </c>
      <c r="K199" s="127">
        <v>0</v>
      </c>
      <c r="L199" s="118">
        <v>53542</v>
      </c>
      <c r="M199" s="128">
        <v>0</v>
      </c>
      <c r="N199" s="127">
        <v>0</v>
      </c>
      <c r="O199" s="118">
        <v>0</v>
      </c>
      <c r="P199" s="120">
        <v>0</v>
      </c>
      <c r="Q199" s="118">
        <v>0</v>
      </c>
      <c r="R199" s="118">
        <v>0</v>
      </c>
      <c r="S199" s="118">
        <v>0</v>
      </c>
      <c r="T199" s="118">
        <v>0</v>
      </c>
      <c r="U199" s="118">
        <v>0</v>
      </c>
      <c r="V199" s="118">
        <v>0</v>
      </c>
      <c r="W199" s="118">
        <v>0</v>
      </c>
      <c r="X199" s="118">
        <v>0</v>
      </c>
      <c r="Y199" s="128">
        <v>0</v>
      </c>
      <c r="Z199" s="127">
        <v>51</v>
      </c>
      <c r="AA199" s="120">
        <v>1</v>
      </c>
      <c r="AB199" s="118">
        <v>0</v>
      </c>
      <c r="AC199" s="119">
        <v>0</v>
      </c>
      <c r="AD199" s="127">
        <v>1032</v>
      </c>
      <c r="AE199" s="118">
        <v>0</v>
      </c>
      <c r="AF199" s="118">
        <v>0</v>
      </c>
      <c r="AG199" s="128">
        <v>0</v>
      </c>
      <c r="AH199" s="122">
        <v>1032</v>
      </c>
    </row>
    <row r="200" spans="1:34" x14ac:dyDescent="0.25">
      <c r="A200" s="17" t="s">
        <v>491</v>
      </c>
      <c r="B200" s="90" t="s">
        <v>459</v>
      </c>
      <c r="C200" s="8">
        <f t="shared" si="21"/>
        <v>264668.60915064969</v>
      </c>
      <c r="D200" s="7">
        <f t="shared" si="22"/>
        <v>650995.50899999996</v>
      </c>
      <c r="E200" s="7">
        <f t="shared" si="23"/>
        <v>487827</v>
      </c>
      <c r="F200" s="7">
        <f t="shared" si="24"/>
        <v>627285</v>
      </c>
      <c r="G200" s="7">
        <f t="shared" si="25"/>
        <v>320623.80000000005</v>
      </c>
      <c r="H200" s="149">
        <f t="shared" si="26"/>
        <v>355325.60000000003</v>
      </c>
      <c r="I200" s="157">
        <f t="shared" si="27"/>
        <v>1.5303225806451612E-2</v>
      </c>
      <c r="J200" s="153">
        <v>420000</v>
      </c>
      <c r="K200" s="127">
        <v>0</v>
      </c>
      <c r="L200" s="118">
        <v>403593</v>
      </c>
      <c r="M200" s="128">
        <v>0</v>
      </c>
      <c r="N200" s="127">
        <v>4</v>
      </c>
      <c r="O200" s="118">
        <v>75</v>
      </c>
      <c r="P200" s="120">
        <v>1</v>
      </c>
      <c r="Q200" s="118">
        <v>82</v>
      </c>
      <c r="R200" s="118">
        <v>2</v>
      </c>
      <c r="S200" s="118">
        <v>240</v>
      </c>
      <c r="T200" s="118">
        <v>0</v>
      </c>
      <c r="U200" s="118">
        <v>0</v>
      </c>
      <c r="V200" s="118">
        <v>0</v>
      </c>
      <c r="W200" s="118">
        <v>0</v>
      </c>
      <c r="X200" s="118">
        <v>0</v>
      </c>
      <c r="Y200" s="128">
        <v>0</v>
      </c>
      <c r="Z200" s="127">
        <v>97</v>
      </c>
      <c r="AA200" s="120">
        <v>58</v>
      </c>
      <c r="AB200" s="118">
        <v>0</v>
      </c>
      <c r="AC200" s="119">
        <v>0</v>
      </c>
      <c r="AD200" s="127">
        <v>312</v>
      </c>
      <c r="AE200" s="118">
        <v>2049</v>
      </c>
      <c r="AF200" s="118">
        <v>0</v>
      </c>
      <c r="AG200" s="128">
        <v>0</v>
      </c>
      <c r="AH200" s="122">
        <v>2372</v>
      </c>
    </row>
    <row r="201" spans="1:34" x14ac:dyDescent="0.25">
      <c r="A201" s="17" t="s">
        <v>66</v>
      </c>
      <c r="B201" s="90" t="s">
        <v>460</v>
      </c>
      <c r="C201" s="8">
        <f t="shared" si="21"/>
        <v>325633.53111886187</v>
      </c>
      <c r="D201" s="7">
        <f t="shared" si="22"/>
        <v>837271.201</v>
      </c>
      <c r="E201" s="7">
        <f t="shared" si="23"/>
        <v>183844</v>
      </c>
      <c r="F201" s="7">
        <f t="shared" si="24"/>
        <v>687990</v>
      </c>
      <c r="G201" s="7">
        <f t="shared" si="25"/>
        <v>330808.80000000005</v>
      </c>
      <c r="H201" s="149">
        <f t="shared" si="26"/>
        <v>368508</v>
      </c>
      <c r="I201" s="157">
        <f t="shared" si="27"/>
        <v>1.4470588235294117E-2</v>
      </c>
      <c r="J201" s="153">
        <v>524607</v>
      </c>
      <c r="K201" s="127">
        <v>0</v>
      </c>
      <c r="L201" s="118">
        <v>519077</v>
      </c>
      <c r="M201" s="128">
        <v>0</v>
      </c>
      <c r="N201" s="127">
        <v>2</v>
      </c>
      <c r="O201" s="118">
        <v>8</v>
      </c>
      <c r="P201" s="120">
        <v>2</v>
      </c>
      <c r="Q201" s="118">
        <v>81</v>
      </c>
      <c r="R201" s="118">
        <v>0</v>
      </c>
      <c r="S201" s="118">
        <v>0</v>
      </c>
      <c r="T201" s="118">
        <v>0</v>
      </c>
      <c r="U201" s="118">
        <v>0</v>
      </c>
      <c r="V201" s="118">
        <v>0</v>
      </c>
      <c r="W201" s="118">
        <v>0</v>
      </c>
      <c r="X201" s="118">
        <v>0</v>
      </c>
      <c r="Y201" s="128">
        <v>0</v>
      </c>
      <c r="Z201" s="127">
        <v>117</v>
      </c>
      <c r="AA201" s="120">
        <v>53</v>
      </c>
      <c r="AB201" s="118">
        <v>0</v>
      </c>
      <c r="AC201" s="119">
        <v>0</v>
      </c>
      <c r="AD201" s="127">
        <v>665</v>
      </c>
      <c r="AE201" s="118">
        <v>1771</v>
      </c>
      <c r="AF201" s="118">
        <v>0</v>
      </c>
      <c r="AG201" s="128">
        <v>0</v>
      </c>
      <c r="AH201" s="122">
        <v>2460</v>
      </c>
    </row>
    <row r="202" spans="1:34" x14ac:dyDescent="0.25">
      <c r="A202" s="17" t="s">
        <v>67</v>
      </c>
      <c r="B202" s="90" t="s">
        <v>461</v>
      </c>
      <c r="C202" s="8">
        <f t="shared" si="21"/>
        <v>697760.91592968709</v>
      </c>
      <c r="D202" s="7">
        <f t="shared" si="22"/>
        <v>1561704.987</v>
      </c>
      <c r="E202" s="7">
        <f t="shared" si="23"/>
        <v>212718</v>
      </c>
      <c r="F202" s="7">
        <f t="shared" si="24"/>
        <v>1455937</v>
      </c>
      <c r="G202" s="7">
        <f t="shared" si="25"/>
        <v>1188887</v>
      </c>
      <c r="H202" s="149">
        <f t="shared" si="26"/>
        <v>1232105</v>
      </c>
      <c r="I202" s="157">
        <f t="shared" si="27"/>
        <v>4.1331658291457289E-2</v>
      </c>
      <c r="J202" s="153">
        <v>1188289</v>
      </c>
      <c r="K202" s="127">
        <v>0</v>
      </c>
      <c r="L202" s="118">
        <v>968199</v>
      </c>
      <c r="M202" s="128">
        <v>0</v>
      </c>
      <c r="N202" s="127">
        <v>6</v>
      </c>
      <c r="O202" s="118">
        <v>47</v>
      </c>
      <c r="P202" s="120">
        <v>0</v>
      </c>
      <c r="Q202" s="118">
        <v>0</v>
      </c>
      <c r="R202" s="118">
        <v>0</v>
      </c>
      <c r="S202" s="118">
        <v>0</v>
      </c>
      <c r="T202" s="118">
        <v>0</v>
      </c>
      <c r="U202" s="118">
        <v>0</v>
      </c>
      <c r="V202" s="118">
        <v>0</v>
      </c>
      <c r="W202" s="118">
        <v>0</v>
      </c>
      <c r="X202" s="118">
        <v>0</v>
      </c>
      <c r="Y202" s="128">
        <v>0</v>
      </c>
      <c r="Z202" s="127">
        <v>67</v>
      </c>
      <c r="AA202" s="120">
        <v>124</v>
      </c>
      <c r="AB202" s="118">
        <v>8</v>
      </c>
      <c r="AC202" s="119">
        <v>0</v>
      </c>
      <c r="AD202" s="127">
        <v>649</v>
      </c>
      <c r="AE202" s="118">
        <v>6753</v>
      </c>
      <c r="AF202" s="118">
        <v>427</v>
      </c>
      <c r="AG202" s="128">
        <v>0</v>
      </c>
      <c r="AH202" s="122">
        <v>8225</v>
      </c>
    </row>
    <row r="203" spans="1:34" x14ac:dyDescent="0.25">
      <c r="A203" s="17" t="s">
        <v>462</v>
      </c>
      <c r="B203" s="90" t="s">
        <v>463</v>
      </c>
      <c r="C203" s="8">
        <f t="shared" si="21"/>
        <v>0</v>
      </c>
      <c r="D203" s="7">
        <f t="shared" si="22"/>
        <v>0</v>
      </c>
      <c r="E203" s="7">
        <f t="shared" si="23"/>
        <v>0</v>
      </c>
      <c r="F203" s="7">
        <f t="shared" si="24"/>
        <v>263552.78100000002</v>
      </c>
      <c r="G203" s="7">
        <f t="shared" si="25"/>
        <v>0</v>
      </c>
      <c r="H203" s="149">
        <f t="shared" si="26"/>
        <v>0</v>
      </c>
      <c r="I203" s="157">
        <f t="shared" si="27"/>
        <v>0</v>
      </c>
      <c r="J203" s="153"/>
      <c r="K203" s="127"/>
      <c r="L203" s="118"/>
      <c r="M203" s="128"/>
      <c r="N203" s="127"/>
      <c r="O203" s="118"/>
      <c r="P203" s="120"/>
      <c r="Q203" s="118"/>
      <c r="R203" s="118"/>
      <c r="S203" s="118"/>
      <c r="T203" s="118"/>
      <c r="U203" s="118"/>
      <c r="V203" s="118"/>
      <c r="W203" s="118"/>
      <c r="X203" s="118"/>
      <c r="Y203" s="128"/>
      <c r="Z203" s="207">
        <v>65.123000000000005</v>
      </c>
      <c r="AA203" s="120"/>
      <c r="AB203" s="118"/>
      <c r="AC203" s="119"/>
      <c r="AD203" s="127"/>
      <c r="AE203" s="118"/>
      <c r="AF203" s="118"/>
      <c r="AG203" s="128"/>
      <c r="AH203" s="122"/>
    </row>
    <row r="204" spans="1:34" x14ac:dyDescent="0.25">
      <c r="A204" s="17" t="s">
        <v>79</v>
      </c>
      <c r="B204" s="90" t="s">
        <v>464</v>
      </c>
      <c r="C204" s="8">
        <f t="shared" si="21"/>
        <v>114950.060843641</v>
      </c>
      <c r="D204" s="7">
        <f t="shared" si="22"/>
        <v>293882.614</v>
      </c>
      <c r="E204" s="7">
        <f t="shared" si="23"/>
        <v>127375</v>
      </c>
      <c r="F204" s="7">
        <f t="shared" si="24"/>
        <v>194256</v>
      </c>
      <c r="G204" s="7">
        <f t="shared" si="25"/>
        <v>283550.40000000002</v>
      </c>
      <c r="H204" s="149">
        <f t="shared" si="26"/>
        <v>312782.40000000002</v>
      </c>
      <c r="I204" s="157">
        <f t="shared" si="27"/>
        <v>4.3499999999999997E-2</v>
      </c>
      <c r="J204" s="153">
        <v>171661</v>
      </c>
      <c r="K204" s="127">
        <v>0</v>
      </c>
      <c r="L204" s="118">
        <v>0</v>
      </c>
      <c r="M204" s="128">
        <v>165661</v>
      </c>
      <c r="N204" s="127">
        <v>2</v>
      </c>
      <c r="O204" s="118">
        <v>100</v>
      </c>
      <c r="P204" s="120">
        <v>1</v>
      </c>
      <c r="Q204" s="118">
        <v>60</v>
      </c>
      <c r="R204" s="118">
        <v>0</v>
      </c>
      <c r="S204" s="118">
        <v>0</v>
      </c>
      <c r="T204" s="118">
        <v>0</v>
      </c>
      <c r="U204" s="118">
        <v>0</v>
      </c>
      <c r="V204" s="118">
        <v>0</v>
      </c>
      <c r="W204" s="118">
        <v>0</v>
      </c>
      <c r="X204" s="118">
        <v>0</v>
      </c>
      <c r="Y204" s="128">
        <v>0</v>
      </c>
      <c r="Z204" s="127">
        <v>15</v>
      </c>
      <c r="AA204" s="120">
        <v>33</v>
      </c>
      <c r="AB204" s="118">
        <v>0</v>
      </c>
      <c r="AC204" s="119">
        <v>0</v>
      </c>
      <c r="AD204" s="127">
        <v>0</v>
      </c>
      <c r="AE204" s="118">
        <v>2088</v>
      </c>
      <c r="AF204" s="118">
        <v>0</v>
      </c>
      <c r="AG204" s="128">
        <v>0</v>
      </c>
      <c r="AH204" s="122">
        <v>2088</v>
      </c>
    </row>
    <row r="205" spans="1:34" x14ac:dyDescent="0.25">
      <c r="A205" s="17" t="s">
        <v>465</v>
      </c>
      <c r="B205" s="90" t="s">
        <v>466</v>
      </c>
      <c r="C205" s="8">
        <f t="shared" si="21"/>
        <v>278049.42333671602</v>
      </c>
      <c r="D205" s="7">
        <f t="shared" si="22"/>
        <v>688144.51199999999</v>
      </c>
      <c r="E205" s="7">
        <f t="shared" si="23"/>
        <v>0</v>
      </c>
      <c r="F205" s="7">
        <f t="shared" si="24"/>
        <v>615144</v>
      </c>
      <c r="G205" s="7">
        <f t="shared" si="25"/>
        <v>275674</v>
      </c>
      <c r="H205" s="149">
        <f t="shared" si="26"/>
        <v>304094</v>
      </c>
      <c r="I205" s="157">
        <f t="shared" si="27"/>
        <v>1.3355263157894736E-2</v>
      </c>
      <c r="J205" s="153">
        <v>442822</v>
      </c>
      <c r="K205" s="127">
        <v>0</v>
      </c>
      <c r="L205" s="118">
        <v>426624</v>
      </c>
      <c r="M205" s="128">
        <v>0</v>
      </c>
      <c r="N205" s="127">
        <v>0</v>
      </c>
      <c r="O205" s="118">
        <v>0</v>
      </c>
      <c r="P205" s="120">
        <v>0</v>
      </c>
      <c r="Q205" s="118">
        <v>0</v>
      </c>
      <c r="R205" s="118">
        <v>0</v>
      </c>
      <c r="S205" s="118">
        <v>0</v>
      </c>
      <c r="T205" s="118">
        <v>0</v>
      </c>
      <c r="U205" s="118">
        <v>0</v>
      </c>
      <c r="V205" s="118">
        <v>0</v>
      </c>
      <c r="W205" s="118">
        <v>0</v>
      </c>
      <c r="X205" s="118">
        <v>0</v>
      </c>
      <c r="Y205" s="128">
        <v>0</v>
      </c>
      <c r="Z205" s="127">
        <v>115</v>
      </c>
      <c r="AA205" s="120">
        <v>37</v>
      </c>
      <c r="AB205" s="118">
        <v>0</v>
      </c>
      <c r="AC205" s="119">
        <v>0</v>
      </c>
      <c r="AD205" s="127">
        <v>322</v>
      </c>
      <c r="AE205" s="118">
        <v>1708</v>
      </c>
      <c r="AF205" s="118">
        <v>0</v>
      </c>
      <c r="AG205" s="128">
        <v>0</v>
      </c>
      <c r="AH205" s="122">
        <v>2030</v>
      </c>
    </row>
    <row r="206" spans="1:34" x14ac:dyDescent="0.25">
      <c r="A206" s="17" t="s">
        <v>467</v>
      </c>
      <c r="B206" s="90" t="s">
        <v>468</v>
      </c>
      <c r="C206" s="8">
        <f t="shared" si="21"/>
        <v>278240.80141314986</v>
      </c>
      <c r="D206" s="7">
        <f t="shared" si="22"/>
        <v>0</v>
      </c>
      <c r="E206" s="7">
        <f t="shared" si="23"/>
        <v>35453</v>
      </c>
      <c r="F206" s="7">
        <f t="shared" si="24"/>
        <v>0</v>
      </c>
      <c r="G206" s="7">
        <f t="shared" si="25"/>
        <v>0</v>
      </c>
      <c r="H206" s="149">
        <f t="shared" si="26"/>
        <v>1048.6000000000001</v>
      </c>
      <c r="I206" s="157">
        <f t="shared" si="27"/>
        <v>0</v>
      </c>
      <c r="J206" s="153">
        <v>443149</v>
      </c>
      <c r="K206" s="127">
        <v>0</v>
      </c>
      <c r="L206" s="118">
        <v>0</v>
      </c>
      <c r="M206" s="128">
        <v>0</v>
      </c>
      <c r="N206" s="127">
        <v>1</v>
      </c>
      <c r="O206" s="118">
        <v>30</v>
      </c>
      <c r="P206" s="120">
        <v>0</v>
      </c>
      <c r="Q206" s="118">
        <v>0</v>
      </c>
      <c r="R206" s="118">
        <v>0</v>
      </c>
      <c r="S206" s="118">
        <v>0</v>
      </c>
      <c r="T206" s="118">
        <v>0</v>
      </c>
      <c r="U206" s="118">
        <v>0</v>
      </c>
      <c r="V206" s="118">
        <v>0</v>
      </c>
      <c r="W206" s="118">
        <v>0</v>
      </c>
      <c r="X206" s="118">
        <v>0</v>
      </c>
      <c r="Y206" s="128">
        <v>0</v>
      </c>
      <c r="Z206" s="127">
        <v>0</v>
      </c>
      <c r="AA206" s="120">
        <v>0</v>
      </c>
      <c r="AB206" s="118">
        <v>0</v>
      </c>
      <c r="AC206" s="119">
        <v>0</v>
      </c>
      <c r="AD206" s="127">
        <v>0</v>
      </c>
      <c r="AE206" s="118">
        <v>0</v>
      </c>
      <c r="AF206" s="118">
        <v>0</v>
      </c>
      <c r="AG206" s="128">
        <v>0</v>
      </c>
      <c r="AH206" s="122">
        <v>7</v>
      </c>
    </row>
    <row r="207" spans="1:34" x14ac:dyDescent="0.25">
      <c r="A207" s="17" t="s">
        <v>469</v>
      </c>
      <c r="B207" s="90" t="s">
        <v>470</v>
      </c>
      <c r="C207" s="8">
        <f t="shared" si="21"/>
        <v>297071.05175755371</v>
      </c>
      <c r="D207" s="7">
        <f t="shared" si="22"/>
        <v>765860.46499999997</v>
      </c>
      <c r="E207" s="7">
        <f t="shared" si="23"/>
        <v>0</v>
      </c>
      <c r="F207" s="7">
        <f t="shared" si="24"/>
        <v>607050</v>
      </c>
      <c r="G207" s="7">
        <f t="shared" si="25"/>
        <v>383635.00000000006</v>
      </c>
      <c r="H207" s="149">
        <f t="shared" si="26"/>
        <v>423185.00000000006</v>
      </c>
      <c r="I207" s="157">
        <f t="shared" si="27"/>
        <v>1.8833333333333334E-2</v>
      </c>
      <c r="J207" s="153">
        <v>475402</v>
      </c>
      <c r="K207" s="127">
        <v>0</v>
      </c>
      <c r="L207" s="118">
        <v>474805</v>
      </c>
      <c r="M207" s="128">
        <v>0</v>
      </c>
      <c r="N207" s="127">
        <v>0</v>
      </c>
      <c r="O207" s="118">
        <v>0</v>
      </c>
      <c r="P207" s="120">
        <v>0</v>
      </c>
      <c r="Q207" s="118">
        <v>0</v>
      </c>
      <c r="R207" s="118">
        <v>0</v>
      </c>
      <c r="S207" s="118">
        <v>0</v>
      </c>
      <c r="T207" s="118">
        <v>0</v>
      </c>
      <c r="U207" s="118">
        <v>0</v>
      </c>
      <c r="V207" s="118">
        <v>0</v>
      </c>
      <c r="W207" s="118">
        <v>0</v>
      </c>
      <c r="X207" s="118">
        <v>0</v>
      </c>
      <c r="Y207" s="128">
        <v>0</v>
      </c>
      <c r="Z207" s="127">
        <v>117</v>
      </c>
      <c r="AA207" s="120">
        <v>33</v>
      </c>
      <c r="AB207" s="118">
        <v>0</v>
      </c>
      <c r="AC207" s="119">
        <v>0</v>
      </c>
      <c r="AD207" s="127">
        <v>940</v>
      </c>
      <c r="AE207" s="118">
        <v>1885</v>
      </c>
      <c r="AF207" s="118">
        <v>0</v>
      </c>
      <c r="AG207" s="128">
        <v>0</v>
      </c>
      <c r="AH207" s="122">
        <v>2825</v>
      </c>
    </row>
    <row r="208" spans="1:34" x14ac:dyDescent="0.25">
      <c r="A208" s="17" t="s">
        <v>71</v>
      </c>
      <c r="B208" s="90" t="s">
        <v>471</v>
      </c>
      <c r="C208" s="8">
        <f t="shared" si="21"/>
        <v>3725847.4014287139</v>
      </c>
      <c r="D208" s="7">
        <f t="shared" si="22"/>
        <v>9064471.8279999997</v>
      </c>
      <c r="E208" s="7">
        <f t="shared" si="23"/>
        <v>1538934</v>
      </c>
      <c r="F208" s="7">
        <f t="shared" si="24"/>
        <v>9863484</v>
      </c>
      <c r="G208" s="7">
        <f t="shared" si="25"/>
        <v>6243193.1999999993</v>
      </c>
      <c r="H208" s="149">
        <f t="shared" si="26"/>
        <v>3290506.8000000003</v>
      </c>
      <c r="I208" s="157">
        <f t="shared" si="27"/>
        <v>3.1880986937590713E-2</v>
      </c>
      <c r="J208" s="153">
        <v>7168652</v>
      </c>
      <c r="K208" s="127">
        <v>3090830</v>
      </c>
      <c r="L208" s="118">
        <v>2990840</v>
      </c>
      <c r="M208" s="128">
        <v>1086982</v>
      </c>
      <c r="N208" s="127">
        <v>5</v>
      </c>
      <c r="O208" s="118">
        <v>73</v>
      </c>
      <c r="P208" s="120">
        <v>3</v>
      </c>
      <c r="Q208" s="118">
        <v>227</v>
      </c>
      <c r="R208" s="118">
        <v>7</v>
      </c>
      <c r="S208" s="118">
        <v>1020</v>
      </c>
      <c r="T208" s="118">
        <v>1</v>
      </c>
      <c r="U208" s="118">
        <v>225</v>
      </c>
      <c r="V208" s="118">
        <v>0</v>
      </c>
      <c r="W208" s="118">
        <v>0</v>
      </c>
      <c r="X208" s="118">
        <v>0</v>
      </c>
      <c r="Y208" s="128">
        <v>0</v>
      </c>
      <c r="Z208" s="127">
        <v>110</v>
      </c>
      <c r="AA208" s="120">
        <v>492</v>
      </c>
      <c r="AB208" s="118">
        <v>28</v>
      </c>
      <c r="AC208" s="119">
        <v>59</v>
      </c>
      <c r="AD208" s="127">
        <v>728</v>
      </c>
      <c r="AE208" s="118">
        <v>15544</v>
      </c>
      <c r="AF208" s="118">
        <v>923</v>
      </c>
      <c r="AG208" s="128">
        <v>3010</v>
      </c>
      <c r="AH208" s="122">
        <v>21966</v>
      </c>
    </row>
    <row r="209" spans="1:34" x14ac:dyDescent="0.25">
      <c r="A209" s="17" t="s">
        <v>72</v>
      </c>
      <c r="B209" s="90" t="s">
        <v>472</v>
      </c>
      <c r="C209" s="8">
        <f t="shared" si="21"/>
        <v>142116.85713619646</v>
      </c>
      <c r="D209" s="7">
        <f t="shared" si="22"/>
        <v>347659.56799999997</v>
      </c>
      <c r="E209" s="7">
        <f t="shared" si="23"/>
        <v>35453</v>
      </c>
      <c r="F209" s="7">
        <f t="shared" si="24"/>
        <v>169974</v>
      </c>
      <c r="G209" s="7">
        <f t="shared" si="25"/>
        <v>195552.00000000003</v>
      </c>
      <c r="H209" s="149">
        <f t="shared" si="26"/>
        <v>218408.40000000002</v>
      </c>
      <c r="I209" s="157">
        <f t="shared" si="27"/>
        <v>3.4714285714285711E-2</v>
      </c>
      <c r="J209" s="153">
        <v>215536</v>
      </c>
      <c r="K209" s="127">
        <v>0</v>
      </c>
      <c r="L209" s="118">
        <v>215536</v>
      </c>
      <c r="M209" s="128">
        <v>0</v>
      </c>
      <c r="N209" s="127">
        <v>1</v>
      </c>
      <c r="O209" s="118">
        <v>20</v>
      </c>
      <c r="P209" s="120">
        <v>0</v>
      </c>
      <c r="Q209" s="118">
        <v>0</v>
      </c>
      <c r="R209" s="118">
        <v>0</v>
      </c>
      <c r="S209" s="118">
        <v>0</v>
      </c>
      <c r="T209" s="118">
        <v>0</v>
      </c>
      <c r="U209" s="118">
        <v>0</v>
      </c>
      <c r="V209" s="118">
        <v>0</v>
      </c>
      <c r="W209" s="118">
        <v>0</v>
      </c>
      <c r="X209" s="118">
        <v>0</v>
      </c>
      <c r="Y209" s="128">
        <v>0</v>
      </c>
      <c r="Z209" s="127">
        <v>7</v>
      </c>
      <c r="AA209" s="120">
        <v>35</v>
      </c>
      <c r="AB209" s="118">
        <v>0</v>
      </c>
      <c r="AC209" s="119">
        <v>0</v>
      </c>
      <c r="AD209" s="127">
        <v>0</v>
      </c>
      <c r="AE209" s="118">
        <v>1440</v>
      </c>
      <c r="AF209" s="118">
        <v>0</v>
      </c>
      <c r="AG209" s="128">
        <v>0</v>
      </c>
      <c r="AH209" s="122">
        <v>1458</v>
      </c>
    </row>
    <row r="210" spans="1:34" x14ac:dyDescent="0.25">
      <c r="A210" s="17" t="s">
        <v>73</v>
      </c>
      <c r="B210" s="90" t="s">
        <v>473</v>
      </c>
      <c r="C210" s="8">
        <f t="shared" si="21"/>
        <v>7852269.721323194</v>
      </c>
      <c r="D210" s="7">
        <f t="shared" si="22"/>
        <v>24573596.908</v>
      </c>
      <c r="E210" s="7">
        <f t="shared" si="23"/>
        <v>1760988</v>
      </c>
      <c r="F210" s="7">
        <f t="shared" si="24"/>
        <v>28435091</v>
      </c>
      <c r="G210" s="7">
        <f t="shared" si="25"/>
        <v>14075250.800000001</v>
      </c>
      <c r="H210" s="149">
        <f t="shared" si="26"/>
        <v>9087467.2000000011</v>
      </c>
      <c r="I210" s="157">
        <f t="shared" si="27"/>
        <v>4.1550684931506848E-2</v>
      </c>
      <c r="J210" s="153">
        <v>15951190</v>
      </c>
      <c r="K210" s="127">
        <v>0</v>
      </c>
      <c r="L210" s="118">
        <v>15234716</v>
      </c>
      <c r="M210" s="128">
        <v>0</v>
      </c>
      <c r="N210" s="127">
        <v>6</v>
      </c>
      <c r="O210" s="118">
        <v>49</v>
      </c>
      <c r="P210" s="120">
        <v>1</v>
      </c>
      <c r="Q210" s="118">
        <v>80</v>
      </c>
      <c r="R210" s="118">
        <v>2</v>
      </c>
      <c r="S210" s="118">
        <v>300</v>
      </c>
      <c r="T210" s="118">
        <v>5</v>
      </c>
      <c r="U210" s="118">
        <v>1262</v>
      </c>
      <c r="V210" s="118">
        <v>0</v>
      </c>
      <c r="W210" s="118">
        <v>0</v>
      </c>
      <c r="X210" s="118">
        <v>1</v>
      </c>
      <c r="Y210" s="128">
        <v>700</v>
      </c>
      <c r="Z210" s="127">
        <v>293</v>
      </c>
      <c r="AA210" s="120">
        <v>890</v>
      </c>
      <c r="AB210" s="118">
        <v>146</v>
      </c>
      <c r="AC210" s="119">
        <v>131</v>
      </c>
      <c r="AD210" s="127">
        <v>4285</v>
      </c>
      <c r="AE210" s="118">
        <v>36384</v>
      </c>
      <c r="AF210" s="118">
        <v>3070</v>
      </c>
      <c r="AG210" s="128">
        <v>5986</v>
      </c>
      <c r="AH210" s="122">
        <v>60664</v>
      </c>
    </row>
    <row r="211" spans="1:34" ht="15.75" thickBot="1" x14ac:dyDescent="0.3">
      <c r="A211" s="111" t="s">
        <v>75</v>
      </c>
      <c r="B211" s="49" t="s">
        <v>474</v>
      </c>
      <c r="C211" s="15">
        <f t="shared" si="21"/>
        <v>328752.68584595708</v>
      </c>
      <c r="D211" s="99">
        <f t="shared" si="22"/>
        <v>824147.83299999998</v>
      </c>
      <c r="E211" s="99">
        <f t="shared" si="23"/>
        <v>141812</v>
      </c>
      <c r="F211" s="99">
        <f t="shared" si="24"/>
        <v>404700</v>
      </c>
      <c r="G211" s="99">
        <f t="shared" si="25"/>
        <v>369511.80000000005</v>
      </c>
      <c r="H211" s="151">
        <f t="shared" si="26"/>
        <v>622718.60000000009</v>
      </c>
      <c r="I211" s="158">
        <f t="shared" si="27"/>
        <v>4.1570000000000003E-2</v>
      </c>
      <c r="J211" s="155">
        <v>530000</v>
      </c>
      <c r="K211" s="129">
        <v>0</v>
      </c>
      <c r="L211" s="130">
        <v>510941</v>
      </c>
      <c r="M211" s="131">
        <v>0</v>
      </c>
      <c r="N211" s="129">
        <v>4</v>
      </c>
      <c r="O211" s="130">
        <v>60</v>
      </c>
      <c r="P211" s="133">
        <v>0</v>
      </c>
      <c r="Q211" s="130">
        <v>0</v>
      </c>
      <c r="R211" s="130">
        <v>0</v>
      </c>
      <c r="S211" s="130">
        <v>0</v>
      </c>
      <c r="T211" s="130">
        <v>0</v>
      </c>
      <c r="U211" s="130">
        <v>0</v>
      </c>
      <c r="V211" s="130">
        <v>0</v>
      </c>
      <c r="W211" s="130">
        <v>0</v>
      </c>
      <c r="X211" s="130">
        <v>0</v>
      </c>
      <c r="Y211" s="131">
        <v>0</v>
      </c>
      <c r="Z211" s="129">
        <v>16</v>
      </c>
      <c r="AA211" s="133">
        <v>84</v>
      </c>
      <c r="AB211" s="130">
        <v>0</v>
      </c>
      <c r="AC211" s="135">
        <v>0</v>
      </c>
      <c r="AD211" s="129">
        <v>129</v>
      </c>
      <c r="AE211" s="130">
        <v>2592</v>
      </c>
      <c r="AF211" s="130">
        <v>0</v>
      </c>
      <c r="AG211" s="131">
        <v>0</v>
      </c>
      <c r="AH211" s="123">
        <v>4157</v>
      </c>
    </row>
    <row r="212" spans="1:34" x14ac:dyDescent="0.25">
      <c r="J212" s="1"/>
      <c r="K212" s="1"/>
      <c r="L212" s="1"/>
      <c r="M212" s="1"/>
    </row>
    <row r="213" spans="1:34" x14ac:dyDescent="0.25">
      <c r="J213" s="1"/>
      <c r="K213" s="1"/>
      <c r="L213" s="1"/>
      <c r="AH213" s="147"/>
    </row>
    <row r="214" spans="1:34" x14ac:dyDescent="0.25">
      <c r="J214" s="1"/>
      <c r="K214" s="1"/>
      <c r="L214" s="1"/>
    </row>
    <row r="215" spans="1:34" x14ac:dyDescent="0.25">
      <c r="J215" s="1"/>
      <c r="K215" s="1"/>
      <c r="L215" s="1"/>
    </row>
    <row r="216" spans="1:34" x14ac:dyDescent="0.25">
      <c r="J216" s="1"/>
      <c r="K216" s="1"/>
      <c r="L216" s="1"/>
    </row>
    <row r="217" spans="1:34" x14ac:dyDescent="0.25">
      <c r="J217" s="1"/>
      <c r="K217" s="1"/>
      <c r="L217" s="1"/>
    </row>
    <row r="218" spans="1:34" x14ac:dyDescent="0.25">
      <c r="C218" s="180"/>
    </row>
  </sheetData>
  <sortState ref="A4:AH225">
    <sortCondition ref="A3:A225"/>
  </sortState>
  <customSheetViews>
    <customSheetView guid="{FEEC711D-7441-45C2-BE37-0D81F72CC105}" scale="90">
      <pane xSplit="1" ySplit="2" topLeftCell="R194" activePane="bottomRight" state="frozen"/>
      <selection pane="bottomRight" activeCell="AE227" sqref="AE227"/>
      <pageMargins left="0.7" right="0.7" top="0.75" bottom="0.75" header="0.3" footer="0.3"/>
      <pageSetup paperSize="9" orientation="portrait" r:id="rId1"/>
    </customSheetView>
    <customSheetView guid="{78FE0F1E-5FAE-4FF8-8A21-26E2BBE4E4B0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2"/>
    </customSheetView>
    <customSheetView guid="{937D496E-72A5-40F1-952C-5E35A20ED697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3"/>
    </customSheetView>
    <customSheetView guid="{082EB568-E16F-479D-9194-FC30FECA5931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4"/>
    </customSheetView>
    <customSheetView guid="{2AFD09B4-3A91-4FAA-89A0-6904C5D29F07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5"/>
    </customSheetView>
    <customSheetView guid="{91CAE626-C22B-43EE-8559-3D995B6A9B34}" scale="90">
      <pane xSplit="1" ySplit="2" topLeftCell="B48" activePane="bottomRight" state="frozen"/>
      <selection pane="bottomRight" activeCell="B97" sqref="B97"/>
      <pageMargins left="0.7" right="0.7" top="0.75" bottom="0.75" header="0.3" footer="0.3"/>
      <pageSetup paperSize="9" orientation="portrait" r:id="rId6"/>
    </customSheetView>
    <customSheetView guid="{68BED3F3-B66D-4BDF-B289-CEB7B90BD70C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7"/>
    </customSheetView>
    <customSheetView guid="{66AAE60A-A1F0-42D3-9B00-B3E131221C26}" scale="90">
      <pane xSplit="1" ySplit="2" topLeftCell="AN194" activePane="bottomRight" state="frozen"/>
      <selection pane="bottomRight" activeCell="AZ216" sqref="AZ216"/>
      <pageMargins left="0.7" right="0.7" top="0.75" bottom="0.75" header="0.3" footer="0.3"/>
      <pageSetup paperSize="9" orientation="portrait" r:id="rId8"/>
    </customSheetView>
    <customSheetView guid="{4DF14E47-3879-4E88-BE38-529244598D27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9"/>
    </customSheetView>
    <customSheetView guid="{BB5CC8CF-3004-46A6-928F-22EA17328835}" scale="90">
      <pane xSplit="1" ySplit="2" topLeftCell="L84" activePane="bottomRight" state="frozen"/>
      <selection pane="bottomRight" activeCell="A85" sqref="A85"/>
      <pageMargins left="0.7" right="0.7" top="0.75" bottom="0.75" header="0.3" footer="0.3"/>
      <pageSetup paperSize="9" orientation="portrait" r:id="rId10"/>
    </customSheetView>
    <customSheetView guid="{63D1720F-4071-49FA-85F9-136B4284D4AA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11"/>
    </customSheetView>
    <customSheetView guid="{F1F3E055-B5A3-4FD4-BADC-A75DAF105B15}" scale="90">
      <pane xSplit="1" ySplit="2" topLeftCell="B189" activePane="bottomRight" state="frozen"/>
      <selection pane="bottomRight" activeCell="A3" sqref="A3:A223"/>
      <pageMargins left="0.7" right="0.7" top="0.75" bottom="0.75" header="0.3" footer="0.3"/>
      <pageSetup paperSize="9" orientation="portrait" r:id="rId12"/>
    </customSheetView>
  </customSheetViews>
  <mergeCells count="7">
    <mergeCell ref="AD1:AG1"/>
    <mergeCell ref="A1:A2"/>
    <mergeCell ref="C1:H1"/>
    <mergeCell ref="K1:M1"/>
    <mergeCell ref="N1:Y1"/>
    <mergeCell ref="Z1:AC1"/>
    <mergeCell ref="B1:B2"/>
  </mergeCell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Potentialer og krav</vt:lpstr>
      <vt:lpstr>Netvolumenmål</vt:lpstr>
      <vt:lpstr>Costdrivere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Rikke Leerberg Jørgensen</cp:lastModifiedBy>
  <dcterms:created xsi:type="dcterms:W3CDTF">2006-09-16T00:00:00Z</dcterms:created>
  <dcterms:modified xsi:type="dcterms:W3CDTF">2014-10-03T10:52:04Z</dcterms:modified>
</cp:coreProperties>
</file>