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4805" windowHeight="7950"/>
  </bookViews>
  <sheets>
    <sheet name="Potentialer og krav" sheetId="1" r:id="rId1"/>
    <sheet name="Netvolumenmål" sheetId="2" r:id="rId2"/>
    <sheet name="Costdrivere" sheetId="3" r:id="rId3"/>
    <sheet name="Renseanlæg" sheetId="4" r:id="rId4"/>
  </sheets>
  <definedNames>
    <definedName name="rente">'Potentialer og krav'!#REF!</definedName>
  </definedNames>
  <calcPr calcId="145621"/>
  <customWorkbookViews>
    <customWorkbookView name="Rikke Leerberg Jørgensen - Privat visning" guid="{CA125778-F8FD-4378-B746-C94ABF8D8556}" mergeInterval="0" personalView="1" maximized="1" windowWidth="1680" windowHeight="864" activeSheetId="1"/>
    <customWorkbookView name="Kirstine Sewohl (KFST) - Privat visning" guid="{630A50AD-37E0-4B13-8A0F-82608C065D57}" mergeInterval="0" personalView="1" maximized="1" windowWidth="1920" windowHeight="985" activeSheetId="1"/>
    <customWorkbookView name="Eske Benn Thomsen - Privat visning" guid="{80E426B4-B9D0-45E3-ACA1-6AA797532F97}" mergeInterval="0" personalView="1" maximized="1" windowWidth="1680" windowHeight="835" activeSheetId="1"/>
    <customWorkbookView name="Eske Benn Thomsen (KFST) - Privat visning" guid="{A178F800-3B7E-4511-BF10-5AA233FDE985}" mergeInterval="0" personalView="1" maximized="1" windowWidth="1680" windowHeight="827" activeSheetId="1"/>
    <customWorkbookView name="Rikke Leerberg Jørgensen (KFST) - Privat visning" guid="{1AAC2EB3-B963-4CB8-8604-06326666FF8C}" mergeInterval="0" personalView="1" maximized="1" windowWidth="1680" windowHeight="860" activeSheetId="1"/>
    <customWorkbookView name="Lasse Trøjborg Krogh (KFST) - Privat visning" guid="{898A57C7-EA84-4A1C-AA42-8284F31DD32C}" mergeInterval="0" personalView="1" maximized="1" windowWidth="1280" windowHeight="834" activeSheetId="2"/>
    <customWorkbookView name="Lasse Trøjborg Krogh - Privat visning" guid="{88D7A6C6-1D77-4300-8600-F7BD640C7FF4}" mergeInterval="0" personalView="1" maximized="1" windowWidth="1680" windowHeight="864" activeSheetId="2"/>
    <customWorkbookView name="Astrid Else Grønbæk (KFST) - Privat visning" guid="{15973B62-11BC-4FDE-92B3-1DF2358CDD3E}" mergeInterval="0" personalView="1" maximized="1" windowWidth="1920" windowHeight="1043" activeSheetId="1"/>
  </customWorkbookViews>
</workbook>
</file>

<file path=xl/calcChain.xml><?xml version="1.0" encoding="utf-8"?>
<calcChain xmlns="http://schemas.openxmlformats.org/spreadsheetml/2006/main">
  <c r="E41" i="1" l="1"/>
  <c r="H41" i="1"/>
  <c r="O41" i="1" s="1"/>
  <c r="P41" i="1" s="1"/>
  <c r="J41" i="1"/>
  <c r="K41" i="1"/>
  <c r="L41" i="1"/>
  <c r="M41" i="1"/>
  <c r="N41" i="1"/>
  <c r="Q41" i="1"/>
  <c r="R41" i="1"/>
  <c r="S41" i="1" s="1"/>
  <c r="E42" i="1"/>
  <c r="H42" i="1"/>
  <c r="O42" i="1" s="1"/>
  <c r="P42" i="1" s="1"/>
  <c r="J42" i="1"/>
  <c r="K42" i="1"/>
  <c r="L42" i="1"/>
  <c r="M42" i="1"/>
  <c r="N42" i="1"/>
  <c r="Q42" i="1"/>
  <c r="R42" i="1"/>
  <c r="S42" i="1" s="1"/>
  <c r="E43" i="1"/>
  <c r="H43" i="1"/>
  <c r="O43" i="1" s="1"/>
  <c r="P43" i="1" s="1"/>
  <c r="J43" i="1"/>
  <c r="K43" i="1"/>
  <c r="L43" i="1"/>
  <c r="M43" i="1"/>
  <c r="N43" i="1"/>
  <c r="Q43" i="1"/>
  <c r="R43" i="1"/>
  <c r="S43" i="1" s="1"/>
  <c r="E44" i="1"/>
  <c r="H44" i="1"/>
  <c r="O44" i="1" s="1"/>
  <c r="P44" i="1" s="1"/>
  <c r="J44" i="1"/>
  <c r="K44" i="1"/>
  <c r="L44" i="1"/>
  <c r="M44" i="1"/>
  <c r="N44" i="1"/>
  <c r="Q44" i="1"/>
  <c r="R44" i="1"/>
  <c r="S44" i="1" s="1"/>
  <c r="E45" i="1"/>
  <c r="H45" i="1"/>
  <c r="O45" i="1" s="1"/>
  <c r="P45" i="1" s="1"/>
  <c r="J45" i="1"/>
  <c r="K45" i="1"/>
  <c r="L45" i="1"/>
  <c r="M45" i="1"/>
  <c r="N45" i="1"/>
  <c r="Q45" i="1"/>
  <c r="R45" i="1"/>
  <c r="S45" i="1" s="1"/>
  <c r="E46" i="1"/>
  <c r="H46" i="1"/>
  <c r="O46" i="1" s="1"/>
  <c r="P46" i="1" s="1"/>
  <c r="J46" i="1"/>
  <c r="K46" i="1"/>
  <c r="L46" i="1"/>
  <c r="M46" i="1"/>
  <c r="N46" i="1"/>
  <c r="Q46" i="1"/>
  <c r="R46" i="1"/>
  <c r="S46" i="1" s="1"/>
  <c r="E47" i="1"/>
  <c r="H47" i="1"/>
  <c r="J47" i="1"/>
  <c r="K47" i="1"/>
  <c r="L47" i="1"/>
  <c r="M47" i="1"/>
  <c r="N47" i="1"/>
  <c r="O47" i="1"/>
  <c r="P47" i="1"/>
  <c r="Q47" i="1"/>
  <c r="R47" i="1"/>
  <c r="S47" i="1" s="1"/>
  <c r="E48" i="1"/>
  <c r="H48" i="1"/>
  <c r="O48" i="1" s="1"/>
  <c r="P48" i="1" s="1"/>
  <c r="J48" i="1"/>
  <c r="K48" i="1"/>
  <c r="L48" i="1"/>
  <c r="M48" i="1"/>
  <c r="N48" i="1"/>
  <c r="Q48" i="1"/>
  <c r="R48" i="1"/>
  <c r="S48" i="1" s="1"/>
  <c r="E49" i="1"/>
  <c r="H49" i="1"/>
  <c r="O49" i="1" s="1"/>
  <c r="P49" i="1" s="1"/>
  <c r="J49" i="1"/>
  <c r="K49" i="1"/>
  <c r="L49" i="1"/>
  <c r="M49" i="1"/>
  <c r="N49" i="1"/>
  <c r="Q49" i="1"/>
  <c r="R49" i="1"/>
  <c r="S49" i="1" s="1"/>
  <c r="E50" i="1"/>
  <c r="H50" i="1"/>
  <c r="J50" i="1"/>
  <c r="K50" i="1"/>
  <c r="L50" i="1"/>
  <c r="M50" i="1"/>
  <c r="N50" i="1"/>
  <c r="O50" i="1"/>
  <c r="P50" i="1"/>
  <c r="Q50" i="1"/>
  <c r="R50" i="1"/>
  <c r="S50" i="1" s="1"/>
  <c r="E51" i="1"/>
  <c r="H51" i="1"/>
  <c r="O51" i="1" s="1"/>
  <c r="P51" i="1" s="1"/>
  <c r="J51" i="1"/>
  <c r="K51" i="1"/>
  <c r="L51" i="1"/>
  <c r="M51" i="1"/>
  <c r="N51" i="1"/>
  <c r="Q51" i="1"/>
  <c r="R51" i="1"/>
  <c r="S51" i="1" s="1"/>
  <c r="E52" i="1"/>
  <c r="H52" i="1"/>
  <c r="O52" i="1" s="1"/>
  <c r="P52" i="1" s="1"/>
  <c r="J52" i="1"/>
  <c r="K52" i="1"/>
  <c r="L52" i="1"/>
  <c r="M52" i="1"/>
  <c r="N52" i="1"/>
  <c r="Q52" i="1"/>
  <c r="R52" i="1"/>
  <c r="S52" i="1" s="1"/>
  <c r="E53" i="1"/>
  <c r="H53" i="1"/>
  <c r="O53" i="1" s="1"/>
  <c r="P53" i="1" s="1"/>
  <c r="J53" i="1"/>
  <c r="K53" i="1"/>
  <c r="L53" i="1"/>
  <c r="M53" i="1"/>
  <c r="N53" i="1"/>
  <c r="Q53" i="1"/>
  <c r="R53" i="1"/>
  <c r="S53" i="1" s="1"/>
  <c r="E54" i="1"/>
  <c r="H54" i="1"/>
  <c r="O54" i="1" s="1"/>
  <c r="P54" i="1" s="1"/>
  <c r="J54" i="1"/>
  <c r="K54" i="1"/>
  <c r="L54" i="1"/>
  <c r="M54" i="1"/>
  <c r="N54" i="1"/>
  <c r="Q54" i="1"/>
  <c r="R54" i="1"/>
  <c r="S54" i="1" s="1"/>
  <c r="E55" i="1"/>
  <c r="H55" i="1"/>
  <c r="O55" i="1" s="1"/>
  <c r="P55" i="1" s="1"/>
  <c r="J55" i="1"/>
  <c r="K55" i="1"/>
  <c r="L55" i="1"/>
  <c r="M55" i="1"/>
  <c r="N55" i="1"/>
  <c r="Q55" i="1"/>
  <c r="R55" i="1"/>
  <c r="S55" i="1" s="1"/>
  <c r="E56" i="1"/>
  <c r="H56" i="1"/>
  <c r="J56" i="1"/>
  <c r="K56" i="1"/>
  <c r="L56" i="1"/>
  <c r="M56" i="1"/>
  <c r="N56" i="1"/>
  <c r="O56" i="1"/>
  <c r="P56" i="1"/>
  <c r="Q56" i="1"/>
  <c r="R56" i="1"/>
  <c r="S56" i="1" s="1"/>
  <c r="E57" i="1"/>
  <c r="H57" i="1"/>
  <c r="O57" i="1" s="1"/>
  <c r="P57" i="1" s="1"/>
  <c r="J57" i="1"/>
  <c r="K57" i="1"/>
  <c r="L57" i="1"/>
  <c r="M57" i="1"/>
  <c r="N57" i="1"/>
  <c r="Q57" i="1"/>
  <c r="R57" i="1"/>
  <c r="S57" i="1" s="1"/>
  <c r="E58" i="1"/>
  <c r="H58" i="1"/>
  <c r="J58" i="1"/>
  <c r="K58" i="1"/>
  <c r="L58" i="1"/>
  <c r="M58" i="1"/>
  <c r="N58" i="1"/>
  <c r="O58" i="1"/>
  <c r="P58" i="1"/>
  <c r="Q58" i="1"/>
  <c r="R58" i="1"/>
  <c r="S58" i="1" s="1"/>
  <c r="E59" i="1"/>
  <c r="H59" i="1"/>
  <c r="O59" i="1" s="1"/>
  <c r="P59" i="1" s="1"/>
  <c r="J59" i="1"/>
  <c r="K59" i="1"/>
  <c r="L59" i="1"/>
  <c r="M59" i="1"/>
  <c r="N59" i="1"/>
  <c r="Q59" i="1"/>
  <c r="R59" i="1"/>
  <c r="S59" i="1" s="1"/>
  <c r="E60" i="1"/>
  <c r="H60" i="1"/>
  <c r="O60" i="1" s="1"/>
  <c r="P60" i="1" s="1"/>
  <c r="J60" i="1"/>
  <c r="K60" i="1"/>
  <c r="L60" i="1"/>
  <c r="M60" i="1"/>
  <c r="N60" i="1"/>
  <c r="Q60" i="1"/>
  <c r="R60" i="1"/>
  <c r="S60" i="1" s="1"/>
  <c r="K39" i="1"/>
  <c r="L39" i="1"/>
  <c r="M39" i="1" s="1"/>
  <c r="J39" i="1"/>
  <c r="H39" i="1"/>
  <c r="O39" i="1" s="1"/>
  <c r="P39" i="1" s="1"/>
  <c r="E39" i="1"/>
  <c r="AR40" i="2"/>
  <c r="AS40" i="2"/>
  <c r="AT40" i="2"/>
  <c r="AI40" i="2"/>
  <c r="AJ40" i="2"/>
  <c r="AK40" i="2"/>
  <c r="AL40" i="2"/>
  <c r="AM40" i="2"/>
  <c r="AN40" i="2"/>
  <c r="AO40" i="2"/>
  <c r="AP40" i="2"/>
  <c r="AG40" i="2"/>
  <c r="X40" i="2"/>
  <c r="Y40" i="2"/>
  <c r="Z40" i="2"/>
  <c r="AA40" i="2"/>
  <c r="AB40" i="2"/>
  <c r="AC40" i="2"/>
  <c r="AD40" i="2"/>
  <c r="AE40" i="2"/>
  <c r="B40" i="2"/>
  <c r="C40" i="2"/>
  <c r="D40" i="2"/>
  <c r="L40" i="2" s="1"/>
  <c r="E40" i="2"/>
  <c r="F40" i="2"/>
  <c r="G40" i="2"/>
  <c r="H40" i="2"/>
  <c r="I40" i="2"/>
  <c r="K40" i="2"/>
  <c r="J40" i="4"/>
  <c r="K40" i="4" s="1"/>
  <c r="F41" i="3" s="1"/>
  <c r="B41" i="3"/>
  <c r="C41" i="3"/>
  <c r="D41" i="3"/>
  <c r="E41" i="3"/>
  <c r="G41" i="3"/>
  <c r="H41" i="3"/>
  <c r="I41" i="3"/>
  <c r="Q39" i="1" l="1"/>
  <c r="N39" i="1"/>
  <c r="O40" i="2"/>
  <c r="M40" i="2"/>
  <c r="N40" i="2"/>
  <c r="P40" i="2" l="1"/>
  <c r="S40" i="2" s="1"/>
  <c r="Q40" i="2"/>
  <c r="T40" i="2" s="1"/>
  <c r="R40" i="2"/>
  <c r="J59" i="4" l="1"/>
  <c r="K59" i="4" s="1"/>
  <c r="J5" i="4"/>
  <c r="J10" i="4"/>
  <c r="J13" i="4"/>
  <c r="J14" i="4"/>
  <c r="J22" i="4"/>
  <c r="J23" i="4"/>
  <c r="J52" i="4"/>
  <c r="J55" i="4"/>
  <c r="J2" i="4"/>
  <c r="K2" i="4" s="1"/>
  <c r="F2" i="4"/>
  <c r="G2" i="4" s="1"/>
  <c r="M5" i="1"/>
  <c r="N5" i="1" s="1"/>
  <c r="M10" i="1"/>
  <c r="N10" i="1" s="1"/>
  <c r="M27" i="1"/>
  <c r="N27" i="1" s="1"/>
  <c r="M31" i="1"/>
  <c r="N31" i="1" s="1"/>
  <c r="T58" i="2" l="1"/>
  <c r="O5" i="1" l="1"/>
  <c r="P5" i="1" s="1"/>
  <c r="B11" i="3" l="1"/>
  <c r="J57" i="3"/>
  <c r="J58" i="3"/>
  <c r="J63" i="3"/>
  <c r="J60" i="3"/>
  <c r="J56" i="3"/>
  <c r="J48" i="3"/>
  <c r="J47" i="3"/>
  <c r="J46" i="3"/>
  <c r="J45" i="3"/>
  <c r="J42" i="3"/>
  <c r="J34" i="3"/>
  <c r="J35" i="3"/>
  <c r="J31" i="3"/>
  <c r="J29" i="3"/>
  <c r="J27" i="3"/>
  <c r="J22" i="3"/>
  <c r="J23" i="3"/>
  <c r="J24" i="3"/>
  <c r="J25" i="3"/>
  <c r="J20" i="3"/>
  <c r="J21" i="3"/>
  <c r="J17" i="3"/>
  <c r="J14" i="3"/>
  <c r="J15" i="3"/>
  <c r="J9" i="3"/>
  <c r="J6" i="3"/>
  <c r="J5" i="3"/>
  <c r="J3" i="3"/>
  <c r="J4" i="3"/>
  <c r="J7" i="3"/>
  <c r="J8" i="3"/>
  <c r="J10" i="3"/>
  <c r="J11" i="3"/>
  <c r="J12" i="3"/>
  <c r="J13" i="3"/>
  <c r="J19" i="3"/>
  <c r="J26" i="3"/>
  <c r="J28" i="3"/>
  <c r="J30" i="3"/>
  <c r="J33" i="3"/>
  <c r="J36" i="3"/>
  <c r="J38" i="3"/>
  <c r="J39" i="3"/>
  <c r="J40" i="3"/>
  <c r="J43" i="3"/>
  <c r="J44" i="3"/>
  <c r="J49" i="3"/>
  <c r="J50" i="3"/>
  <c r="J51" i="3"/>
  <c r="J53" i="3"/>
  <c r="J54" i="3"/>
  <c r="J55" i="3"/>
  <c r="J61" i="3"/>
  <c r="C40" i="3" l="1"/>
  <c r="E40" i="1" l="1"/>
  <c r="N16" i="3" l="1"/>
  <c r="J16" i="3" s="1"/>
  <c r="B16" i="3" l="1"/>
  <c r="D23" i="3" l="1"/>
  <c r="G18" i="3"/>
  <c r="F288" i="4" l="1"/>
  <c r="G288" i="4" s="1"/>
  <c r="C45" i="3" l="1"/>
  <c r="L31" i="1" l="1"/>
  <c r="C12" i="3"/>
  <c r="I51" i="3" l="1"/>
  <c r="O31" i="1" l="1"/>
  <c r="P31" i="1" s="1"/>
  <c r="C19" i="3" l="1"/>
  <c r="H26" i="1" l="1"/>
  <c r="O26" i="1" s="1"/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H10" i="1" l="1"/>
  <c r="O10" i="1" s="1"/>
  <c r="H5" i="1"/>
  <c r="H7" i="1"/>
  <c r="O7" i="1" s="1"/>
  <c r="P7" i="1" s="1"/>
  <c r="H8" i="1"/>
  <c r="O8" i="1" s="1"/>
  <c r="P8" i="1" s="1"/>
  <c r="H12" i="1"/>
  <c r="H13" i="1"/>
  <c r="O13" i="1" s="1"/>
  <c r="P13" i="1" s="1"/>
  <c r="H15" i="1"/>
  <c r="O15" i="1" s="1"/>
  <c r="P15" i="1" s="1"/>
  <c r="H17" i="1"/>
  <c r="O17" i="1" s="1"/>
  <c r="P17" i="1" s="1"/>
  <c r="H19" i="1"/>
  <c r="O19" i="1" s="1"/>
  <c r="P19" i="1" s="1"/>
  <c r="H20" i="1"/>
  <c r="O20" i="1" s="1"/>
  <c r="P20" i="1" s="1"/>
  <c r="H22" i="1"/>
  <c r="O22" i="1" s="1"/>
  <c r="P22" i="1" s="1"/>
  <c r="H24" i="1"/>
  <c r="O24" i="1" s="1"/>
  <c r="P24" i="1" s="1"/>
  <c r="H27" i="1"/>
  <c r="O27" i="1" s="1"/>
  <c r="P27" i="1" s="1"/>
  <c r="H29" i="1"/>
  <c r="O29" i="1" s="1"/>
  <c r="P29" i="1" s="1"/>
  <c r="H30" i="1"/>
  <c r="O30" i="1" s="1"/>
  <c r="P30" i="1" s="1"/>
  <c r="H31" i="1"/>
  <c r="H33" i="1"/>
  <c r="O33" i="1" s="1"/>
  <c r="P33" i="1" s="1"/>
  <c r="H34" i="1"/>
  <c r="O34" i="1" s="1"/>
  <c r="P34" i="1" s="1"/>
  <c r="H37" i="1"/>
  <c r="O37" i="1" s="1"/>
  <c r="P37" i="1" s="1"/>
  <c r="H40" i="1"/>
  <c r="O40" i="1" s="1"/>
  <c r="P40" i="1" s="1"/>
  <c r="H2" i="1"/>
  <c r="H3" i="1"/>
  <c r="O3" i="1" s="1"/>
  <c r="P3" i="1" s="1"/>
  <c r="H4" i="1"/>
  <c r="O4" i="1" s="1"/>
  <c r="P4" i="1" s="1"/>
  <c r="H6" i="1"/>
  <c r="O6" i="1" s="1"/>
  <c r="P6" i="1" s="1"/>
  <c r="H9" i="1"/>
  <c r="O9" i="1" s="1"/>
  <c r="P9" i="1" s="1"/>
  <c r="H11" i="1"/>
  <c r="O11" i="1" s="1"/>
  <c r="P11" i="1" s="1"/>
  <c r="H14" i="1"/>
  <c r="O14" i="1" s="1"/>
  <c r="P14" i="1" s="1"/>
  <c r="H16" i="1"/>
  <c r="O16" i="1" s="1"/>
  <c r="P16" i="1" s="1"/>
  <c r="H18" i="1"/>
  <c r="H21" i="1"/>
  <c r="O21" i="1" s="1"/>
  <c r="P21" i="1" s="1"/>
  <c r="H23" i="1"/>
  <c r="H25" i="1"/>
  <c r="O25" i="1" s="1"/>
  <c r="P25" i="1" s="1"/>
  <c r="P26" i="1"/>
  <c r="H28" i="1"/>
  <c r="O28" i="1" s="1"/>
  <c r="P28" i="1" s="1"/>
  <c r="H32" i="1"/>
  <c r="O32" i="1" s="1"/>
  <c r="P32" i="1" s="1"/>
  <c r="H35" i="1"/>
  <c r="O35" i="1" s="1"/>
  <c r="P35" i="1" s="1"/>
  <c r="H36" i="1"/>
  <c r="O36" i="1" s="1"/>
  <c r="P36" i="1" s="1"/>
  <c r="H38" i="1"/>
  <c r="O38" i="1" s="1"/>
  <c r="P38" i="1" s="1"/>
  <c r="O18" i="1" l="1"/>
  <c r="P18" i="1" s="1"/>
  <c r="O12" i="1"/>
  <c r="P12" i="1" s="1"/>
  <c r="P10" i="1"/>
  <c r="O23" i="1"/>
  <c r="P23" i="1" s="1"/>
  <c r="O2" i="1"/>
  <c r="P2" i="1" l="1"/>
  <c r="V32" i="2"/>
  <c r="B33" i="3"/>
  <c r="C33" i="3"/>
  <c r="C32" i="2" s="1"/>
  <c r="D33" i="3"/>
  <c r="D32" i="2" s="1"/>
  <c r="E33" i="3"/>
  <c r="E32" i="2" s="1"/>
  <c r="G33" i="3"/>
  <c r="H33" i="3"/>
  <c r="H32" i="2" s="1"/>
  <c r="I33" i="3"/>
  <c r="I32" i="2" s="1"/>
  <c r="K32" i="2"/>
  <c r="G32" i="2" l="1"/>
  <c r="B32" i="2"/>
  <c r="J29" i="1"/>
  <c r="J30" i="1"/>
  <c r="J31" i="1"/>
  <c r="J28" i="1"/>
  <c r="J12" i="1"/>
  <c r="J3" i="1" l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32" i="1"/>
  <c r="J33" i="1"/>
  <c r="J34" i="1"/>
  <c r="J35" i="1"/>
  <c r="J36" i="1"/>
  <c r="J37" i="1"/>
  <c r="J38" i="1"/>
  <c r="J40" i="1"/>
  <c r="J2" i="1"/>
  <c r="V59" i="2" l="1"/>
  <c r="V60" i="2"/>
  <c r="V61" i="2"/>
  <c r="V51" i="2" l="1"/>
  <c r="V52" i="2"/>
  <c r="V53" i="2"/>
  <c r="V54" i="2"/>
  <c r="V55" i="2"/>
  <c r="V56" i="2"/>
  <c r="V57" i="2"/>
  <c r="B52" i="3" l="1"/>
  <c r="C52" i="3"/>
  <c r="D52" i="3"/>
  <c r="E52" i="3"/>
  <c r="G52" i="3"/>
  <c r="H52" i="3"/>
  <c r="I52" i="3"/>
  <c r="B53" i="3"/>
  <c r="C53" i="3"/>
  <c r="D53" i="3"/>
  <c r="E53" i="3"/>
  <c r="G53" i="3"/>
  <c r="H53" i="3"/>
  <c r="I53" i="3"/>
  <c r="B54" i="3"/>
  <c r="C54" i="3"/>
  <c r="D54" i="3"/>
  <c r="E54" i="3"/>
  <c r="G54" i="3"/>
  <c r="H54" i="3"/>
  <c r="I54" i="3"/>
  <c r="B55" i="3"/>
  <c r="C55" i="3"/>
  <c r="D55" i="3"/>
  <c r="E55" i="3"/>
  <c r="G55" i="3"/>
  <c r="H55" i="3"/>
  <c r="I55" i="3"/>
  <c r="B56" i="3"/>
  <c r="C56" i="3"/>
  <c r="D56" i="3"/>
  <c r="E56" i="3"/>
  <c r="G56" i="3"/>
  <c r="H56" i="3"/>
  <c r="I56" i="3"/>
  <c r="B57" i="3"/>
  <c r="C57" i="3"/>
  <c r="D57" i="3"/>
  <c r="E57" i="3"/>
  <c r="G57" i="3"/>
  <c r="H57" i="3"/>
  <c r="I57" i="3"/>
  <c r="K56" i="2"/>
  <c r="B58" i="3"/>
  <c r="C58" i="3"/>
  <c r="D58" i="3"/>
  <c r="E58" i="3"/>
  <c r="G58" i="3"/>
  <c r="H58" i="3"/>
  <c r="I58" i="3"/>
  <c r="B59" i="3"/>
  <c r="C59" i="3"/>
  <c r="D59" i="3"/>
  <c r="E59" i="3"/>
  <c r="G59" i="3"/>
  <c r="H59" i="3"/>
  <c r="I59" i="3"/>
  <c r="F317" i="4"/>
  <c r="G317" i="4" s="1"/>
  <c r="F318" i="4"/>
  <c r="G318" i="4" s="1"/>
  <c r="F319" i="4"/>
  <c r="G319" i="4" s="1"/>
  <c r="F320" i="4"/>
  <c r="G320" i="4" s="1"/>
  <c r="F321" i="4"/>
  <c r="G321" i="4" s="1"/>
  <c r="F322" i="4"/>
  <c r="G322" i="4" s="1"/>
  <c r="F323" i="4"/>
  <c r="G323" i="4" s="1"/>
  <c r="F324" i="4"/>
  <c r="G324" i="4" s="1"/>
  <c r="F325" i="4"/>
  <c r="G325" i="4" s="1"/>
  <c r="F326" i="4"/>
  <c r="G326" i="4" s="1"/>
  <c r="F327" i="4"/>
  <c r="G327" i="4" s="1"/>
  <c r="F328" i="4"/>
  <c r="G328" i="4" s="1"/>
  <c r="F329" i="4"/>
  <c r="G329" i="4" s="1"/>
  <c r="F330" i="4"/>
  <c r="G330" i="4" s="1"/>
  <c r="F331" i="4"/>
  <c r="G331" i="4" s="1"/>
  <c r="F332" i="4"/>
  <c r="G332" i="4" s="1"/>
  <c r="F333" i="4"/>
  <c r="G333" i="4" s="1"/>
  <c r="F334" i="4"/>
  <c r="G334" i="4"/>
  <c r="F335" i="4"/>
  <c r="G335" i="4" s="1"/>
  <c r="F336" i="4"/>
  <c r="G336" i="4" s="1"/>
  <c r="F337" i="4"/>
  <c r="G337" i="4"/>
  <c r="F338" i="4"/>
  <c r="G338" i="4"/>
  <c r="F339" i="4"/>
  <c r="G339" i="4" s="1"/>
  <c r="F340" i="4"/>
  <c r="G340" i="4" s="1"/>
  <c r="F341" i="4"/>
  <c r="G341" i="4" s="1"/>
  <c r="F342" i="4"/>
  <c r="G342" i="4" s="1"/>
  <c r="F343" i="4"/>
  <c r="G343" i="4" s="1"/>
  <c r="F344" i="4"/>
  <c r="G344" i="4" s="1"/>
  <c r="F345" i="4"/>
  <c r="G345" i="4" s="1"/>
  <c r="F346" i="4"/>
  <c r="G346" i="4" s="1"/>
  <c r="F347" i="4"/>
  <c r="G347" i="4" s="1"/>
  <c r="F348" i="4"/>
  <c r="G348" i="4" s="1"/>
  <c r="F349" i="4"/>
  <c r="G349" i="4" s="1"/>
  <c r="F350" i="4"/>
  <c r="G350" i="4"/>
  <c r="J62" i="4" l="1"/>
  <c r="K62" i="4" s="1"/>
  <c r="J56" i="4"/>
  <c r="K56" i="4" s="1"/>
  <c r="J61" i="4"/>
  <c r="K61" i="4" s="1"/>
  <c r="J60" i="4"/>
  <c r="K60" i="4" s="1"/>
  <c r="J58" i="4"/>
  <c r="K58" i="4" s="1"/>
  <c r="J57" i="4"/>
  <c r="K57" i="4" s="1"/>
  <c r="F58" i="3" s="1"/>
  <c r="K55" i="2"/>
  <c r="H55" i="2"/>
  <c r="E55" i="2"/>
  <c r="C55" i="2"/>
  <c r="K54" i="2"/>
  <c r="H54" i="2"/>
  <c r="E54" i="2"/>
  <c r="C54" i="2"/>
  <c r="K53" i="2"/>
  <c r="H53" i="2"/>
  <c r="E53" i="2"/>
  <c r="C53" i="2"/>
  <c r="K52" i="2"/>
  <c r="H52" i="2"/>
  <c r="E52" i="2"/>
  <c r="C52" i="2"/>
  <c r="K51" i="2"/>
  <c r="H51" i="2"/>
  <c r="E51" i="2"/>
  <c r="C51" i="2"/>
  <c r="I55" i="2"/>
  <c r="G55" i="2"/>
  <c r="D55" i="2"/>
  <c r="B55" i="2"/>
  <c r="I54" i="2"/>
  <c r="G54" i="2"/>
  <c r="D54" i="2"/>
  <c r="B54" i="2"/>
  <c r="I53" i="2"/>
  <c r="G53" i="2"/>
  <c r="D53" i="2"/>
  <c r="B53" i="2"/>
  <c r="I52" i="2"/>
  <c r="G52" i="2"/>
  <c r="D52" i="2"/>
  <c r="B52" i="2"/>
  <c r="I51" i="2"/>
  <c r="G51" i="2"/>
  <c r="D51" i="2"/>
  <c r="B51" i="2"/>
  <c r="B5" i="3"/>
  <c r="F63" i="3" l="1"/>
  <c r="F61" i="2" s="1"/>
  <c r="F60" i="3"/>
  <c r="F59" i="2" s="1"/>
  <c r="F62" i="3"/>
  <c r="F59" i="3"/>
  <c r="F58" i="2" s="1"/>
  <c r="F61" i="3"/>
  <c r="F60" i="2" s="1"/>
  <c r="F57" i="3"/>
  <c r="F56" i="2" s="1"/>
  <c r="F57" i="2"/>
  <c r="B23" i="3"/>
  <c r="B4" i="3"/>
  <c r="B6" i="3"/>
  <c r="B21" i="3"/>
  <c r="B7" i="3"/>
  <c r="B8" i="3"/>
  <c r="B9" i="3"/>
  <c r="B10" i="3"/>
  <c r="B60" i="3"/>
  <c r="B12" i="3"/>
  <c r="B13" i="3"/>
  <c r="B14" i="3"/>
  <c r="B15" i="3"/>
  <c r="B17" i="3"/>
  <c r="B18" i="3"/>
  <c r="B19" i="3"/>
  <c r="B20" i="3"/>
  <c r="B27" i="3"/>
  <c r="B22" i="3"/>
  <c r="B28" i="3"/>
  <c r="B25" i="3"/>
  <c r="B29" i="3"/>
  <c r="B61" i="3"/>
  <c r="B60" i="2" s="1"/>
  <c r="B30" i="3"/>
  <c r="B62" i="3"/>
  <c r="B31" i="3"/>
  <c r="B63" i="3"/>
  <c r="B32" i="3"/>
  <c r="B34" i="3"/>
  <c r="B35" i="3"/>
  <c r="B36" i="3"/>
  <c r="B37" i="3"/>
  <c r="B38" i="3"/>
  <c r="B39" i="3"/>
  <c r="B40" i="3"/>
  <c r="B42" i="3"/>
  <c r="B43" i="3"/>
  <c r="B26" i="3"/>
  <c r="B44" i="3"/>
  <c r="B45" i="3"/>
  <c r="B24" i="3"/>
  <c r="B46" i="3"/>
  <c r="B47" i="3"/>
  <c r="B48" i="3"/>
  <c r="B49" i="3"/>
  <c r="B50" i="3"/>
  <c r="B51" i="3"/>
  <c r="B50" i="2" s="1"/>
  <c r="B3" i="3"/>
  <c r="B49" i="2" l="1"/>
  <c r="B48" i="2"/>
  <c r="B35" i="2"/>
  <c r="B34" i="2"/>
  <c r="B31" i="2"/>
  <c r="B27" i="2"/>
  <c r="B21" i="2"/>
  <c r="B18" i="2"/>
  <c r="B12" i="2"/>
  <c r="B3" i="2"/>
  <c r="B46" i="2"/>
  <c r="B28" i="2"/>
  <c r="B24" i="2"/>
  <c r="B26" i="2"/>
  <c r="B56" i="2"/>
  <c r="B59" i="2"/>
  <c r="B58" i="2"/>
  <c r="B57" i="2"/>
  <c r="B61" i="2"/>
  <c r="B23" i="2"/>
  <c r="B44" i="2"/>
  <c r="B25" i="2"/>
  <c r="B41" i="2"/>
  <c r="B38" i="2"/>
  <c r="B17" i="2"/>
  <c r="B15" i="2"/>
  <c r="B9" i="2"/>
  <c r="B8" i="2"/>
  <c r="B7" i="2"/>
  <c r="B6" i="2"/>
  <c r="B4" i="2"/>
  <c r="B22" i="2"/>
  <c r="B47" i="2"/>
  <c r="B45" i="2"/>
  <c r="B43" i="2"/>
  <c r="B42" i="2"/>
  <c r="B39" i="2"/>
  <c r="B37" i="2"/>
  <c r="B36" i="2"/>
  <c r="B33" i="2"/>
  <c r="B30" i="2"/>
  <c r="B29" i="2"/>
  <c r="B19" i="2"/>
  <c r="B16" i="2"/>
  <c r="B14" i="2"/>
  <c r="B13" i="2"/>
  <c r="B11" i="2"/>
  <c r="B10" i="2"/>
  <c r="B20" i="2"/>
  <c r="B5" i="2"/>
  <c r="C23" i="3"/>
  <c r="E23" i="3"/>
  <c r="G23" i="3"/>
  <c r="H23" i="3"/>
  <c r="I23" i="3"/>
  <c r="C4" i="3"/>
  <c r="D4" i="3"/>
  <c r="E4" i="3"/>
  <c r="G4" i="3"/>
  <c r="H4" i="3"/>
  <c r="I4" i="3"/>
  <c r="C5" i="3"/>
  <c r="D5" i="3"/>
  <c r="E5" i="3"/>
  <c r="G5" i="3"/>
  <c r="H5" i="3"/>
  <c r="H5" i="2" s="1"/>
  <c r="I5" i="3"/>
  <c r="I5" i="2" s="1"/>
  <c r="C6" i="3"/>
  <c r="D6" i="3"/>
  <c r="E6" i="3"/>
  <c r="G6" i="3"/>
  <c r="H6" i="3"/>
  <c r="I6" i="3"/>
  <c r="C21" i="3"/>
  <c r="D21" i="3"/>
  <c r="D20" i="2" s="1"/>
  <c r="E21" i="3"/>
  <c r="G21" i="3"/>
  <c r="H21" i="3"/>
  <c r="I21" i="3"/>
  <c r="C7" i="3"/>
  <c r="D7" i="3"/>
  <c r="E7" i="3"/>
  <c r="G7" i="3"/>
  <c r="H7" i="3"/>
  <c r="I7" i="3"/>
  <c r="C8" i="3"/>
  <c r="D8" i="3"/>
  <c r="E8" i="3"/>
  <c r="G8" i="3"/>
  <c r="H8" i="3"/>
  <c r="I8" i="3"/>
  <c r="C9" i="3"/>
  <c r="D9" i="3"/>
  <c r="D9" i="2" s="1"/>
  <c r="E9" i="3"/>
  <c r="G9" i="3"/>
  <c r="H9" i="3"/>
  <c r="I9" i="3"/>
  <c r="C10" i="3"/>
  <c r="D10" i="3"/>
  <c r="E10" i="3"/>
  <c r="G10" i="3"/>
  <c r="H10" i="3"/>
  <c r="I10" i="3"/>
  <c r="C11" i="3"/>
  <c r="D11" i="3"/>
  <c r="E11" i="3"/>
  <c r="G11" i="3"/>
  <c r="H11" i="3"/>
  <c r="I11" i="3"/>
  <c r="C60" i="3"/>
  <c r="D60" i="3"/>
  <c r="E60" i="3"/>
  <c r="G60" i="3"/>
  <c r="H60" i="3"/>
  <c r="I60" i="3"/>
  <c r="D12" i="3"/>
  <c r="E12" i="3"/>
  <c r="G12" i="3"/>
  <c r="H12" i="3"/>
  <c r="I12" i="3"/>
  <c r="C13" i="3"/>
  <c r="D13" i="3"/>
  <c r="E13" i="3"/>
  <c r="G13" i="3"/>
  <c r="H13" i="3"/>
  <c r="I13" i="3"/>
  <c r="C14" i="3"/>
  <c r="D14" i="3"/>
  <c r="E14" i="3"/>
  <c r="G14" i="3"/>
  <c r="H14" i="3"/>
  <c r="I14" i="3"/>
  <c r="I14" i="2" s="1"/>
  <c r="C15" i="3"/>
  <c r="D15" i="3"/>
  <c r="E15" i="3"/>
  <c r="G15" i="3"/>
  <c r="H15" i="3"/>
  <c r="I15" i="3"/>
  <c r="C16" i="3"/>
  <c r="D16" i="3"/>
  <c r="E16" i="3"/>
  <c r="G16" i="3"/>
  <c r="H16" i="3"/>
  <c r="I16" i="3"/>
  <c r="C17" i="3"/>
  <c r="D17" i="3"/>
  <c r="E17" i="3"/>
  <c r="G17" i="3"/>
  <c r="H17" i="3"/>
  <c r="I17" i="3"/>
  <c r="C18" i="3"/>
  <c r="D18" i="3"/>
  <c r="E18" i="3"/>
  <c r="H18" i="3"/>
  <c r="I18" i="3"/>
  <c r="C18" i="2"/>
  <c r="D19" i="3"/>
  <c r="D18" i="2" s="1"/>
  <c r="E19" i="3"/>
  <c r="E18" i="2" s="1"/>
  <c r="G19" i="3"/>
  <c r="H19" i="3"/>
  <c r="H18" i="2" s="1"/>
  <c r="I19" i="3"/>
  <c r="I18" i="2" s="1"/>
  <c r="C20" i="3"/>
  <c r="D20" i="3"/>
  <c r="E20" i="3"/>
  <c r="G20" i="3"/>
  <c r="H20" i="3"/>
  <c r="I20" i="3"/>
  <c r="C27" i="3"/>
  <c r="C26" i="2" s="1"/>
  <c r="D27" i="3"/>
  <c r="D26" i="2" s="1"/>
  <c r="E27" i="3"/>
  <c r="E26" i="2" s="1"/>
  <c r="G27" i="3"/>
  <c r="H27" i="3"/>
  <c r="H26" i="2" s="1"/>
  <c r="I27" i="3"/>
  <c r="I26" i="2" s="1"/>
  <c r="C22" i="3"/>
  <c r="C21" i="2" s="1"/>
  <c r="D22" i="3"/>
  <c r="D21" i="2" s="1"/>
  <c r="E22" i="3"/>
  <c r="E21" i="2" s="1"/>
  <c r="G22" i="3"/>
  <c r="H22" i="3"/>
  <c r="H21" i="2" s="1"/>
  <c r="I22" i="3"/>
  <c r="I21" i="2" s="1"/>
  <c r="C28" i="3"/>
  <c r="C27" i="2" s="1"/>
  <c r="D28" i="3"/>
  <c r="D27" i="2" s="1"/>
  <c r="E28" i="3"/>
  <c r="E27" i="2" s="1"/>
  <c r="G28" i="3"/>
  <c r="H28" i="3"/>
  <c r="H27" i="2" s="1"/>
  <c r="I28" i="3"/>
  <c r="I27" i="2" s="1"/>
  <c r="C25" i="3"/>
  <c r="C24" i="2" s="1"/>
  <c r="D25" i="3"/>
  <c r="D24" i="2" s="1"/>
  <c r="E25" i="3"/>
  <c r="E24" i="2" s="1"/>
  <c r="G25" i="3"/>
  <c r="H25" i="3"/>
  <c r="H24" i="2" s="1"/>
  <c r="I25" i="3"/>
  <c r="I24" i="2" s="1"/>
  <c r="C29" i="3"/>
  <c r="C28" i="2" s="1"/>
  <c r="D29" i="3"/>
  <c r="D28" i="2" s="1"/>
  <c r="E29" i="3"/>
  <c r="E28" i="2" s="1"/>
  <c r="G29" i="3"/>
  <c r="H29" i="3"/>
  <c r="H28" i="2" s="1"/>
  <c r="I29" i="3"/>
  <c r="I28" i="2" s="1"/>
  <c r="C61" i="3"/>
  <c r="D61" i="3"/>
  <c r="E61" i="3"/>
  <c r="G61" i="3"/>
  <c r="H61" i="3"/>
  <c r="I61" i="3"/>
  <c r="C30" i="3"/>
  <c r="D30" i="3"/>
  <c r="E30" i="3"/>
  <c r="G30" i="3"/>
  <c r="H30" i="3"/>
  <c r="I30" i="3"/>
  <c r="I29" i="2" s="1"/>
  <c r="C62" i="3"/>
  <c r="D62" i="3"/>
  <c r="E62" i="3"/>
  <c r="G62" i="3"/>
  <c r="H62" i="3"/>
  <c r="I62" i="3"/>
  <c r="C31" i="3"/>
  <c r="D31" i="3"/>
  <c r="E31" i="3"/>
  <c r="G31" i="3"/>
  <c r="H31" i="3"/>
  <c r="I31" i="3"/>
  <c r="C63" i="3"/>
  <c r="D63" i="3"/>
  <c r="E63" i="3"/>
  <c r="G63" i="3"/>
  <c r="H63" i="3"/>
  <c r="I63" i="3"/>
  <c r="C32" i="3"/>
  <c r="D32" i="3"/>
  <c r="E32" i="3"/>
  <c r="G32" i="3"/>
  <c r="H32" i="3"/>
  <c r="I32" i="3"/>
  <c r="C34" i="3"/>
  <c r="D34" i="3"/>
  <c r="E34" i="3"/>
  <c r="G34" i="3"/>
  <c r="H34" i="3"/>
  <c r="I34" i="3"/>
  <c r="C35" i="3"/>
  <c r="D35" i="3"/>
  <c r="E35" i="3"/>
  <c r="G35" i="3"/>
  <c r="H35" i="3"/>
  <c r="I35" i="3"/>
  <c r="C36" i="3"/>
  <c r="D36" i="3"/>
  <c r="E36" i="3"/>
  <c r="G36" i="3"/>
  <c r="H36" i="3"/>
  <c r="I36" i="3"/>
  <c r="C37" i="3"/>
  <c r="D37" i="3"/>
  <c r="E37" i="3"/>
  <c r="G37" i="3"/>
  <c r="H37" i="3"/>
  <c r="I37" i="3"/>
  <c r="C38" i="3"/>
  <c r="D38" i="3"/>
  <c r="E38" i="3"/>
  <c r="G38" i="3"/>
  <c r="H38" i="3"/>
  <c r="I38" i="3"/>
  <c r="C39" i="3"/>
  <c r="D39" i="3"/>
  <c r="E39" i="3"/>
  <c r="G39" i="3"/>
  <c r="H39" i="3"/>
  <c r="I39" i="3"/>
  <c r="D40" i="3"/>
  <c r="E40" i="3"/>
  <c r="G40" i="3"/>
  <c r="H40" i="3"/>
  <c r="I40" i="3"/>
  <c r="C42" i="3"/>
  <c r="D42" i="3"/>
  <c r="E42" i="3"/>
  <c r="G42" i="3"/>
  <c r="H42" i="3"/>
  <c r="I42" i="3"/>
  <c r="C43" i="3"/>
  <c r="D43" i="3"/>
  <c r="E43" i="3"/>
  <c r="G43" i="3"/>
  <c r="H43" i="3"/>
  <c r="I43" i="3"/>
  <c r="C26" i="3"/>
  <c r="D26" i="3"/>
  <c r="E26" i="3"/>
  <c r="G26" i="3"/>
  <c r="H26" i="3"/>
  <c r="I26" i="3"/>
  <c r="C44" i="3"/>
  <c r="D44" i="3"/>
  <c r="E44" i="3"/>
  <c r="G44" i="3"/>
  <c r="H44" i="3"/>
  <c r="I44" i="3"/>
  <c r="I43" i="2" s="1"/>
  <c r="D45" i="3"/>
  <c r="E45" i="3"/>
  <c r="G45" i="3"/>
  <c r="H45" i="3"/>
  <c r="I45" i="3"/>
  <c r="C24" i="3"/>
  <c r="D24" i="3"/>
  <c r="E24" i="3"/>
  <c r="G24" i="3"/>
  <c r="H24" i="3"/>
  <c r="I24" i="3"/>
  <c r="C46" i="3"/>
  <c r="D46" i="3"/>
  <c r="E46" i="3"/>
  <c r="G46" i="3"/>
  <c r="H46" i="3"/>
  <c r="I46" i="3"/>
  <c r="C47" i="3"/>
  <c r="D47" i="3"/>
  <c r="E47" i="3"/>
  <c r="G47" i="3"/>
  <c r="H47" i="3"/>
  <c r="I47" i="3"/>
  <c r="C48" i="3"/>
  <c r="D48" i="3"/>
  <c r="E48" i="3"/>
  <c r="G48" i="3"/>
  <c r="H48" i="3"/>
  <c r="I48" i="3"/>
  <c r="C49" i="3"/>
  <c r="C48" i="2" s="1"/>
  <c r="D49" i="3"/>
  <c r="D48" i="2" s="1"/>
  <c r="E49" i="3"/>
  <c r="E48" i="2" s="1"/>
  <c r="G49" i="3"/>
  <c r="H49" i="3"/>
  <c r="H48" i="2" s="1"/>
  <c r="I49" i="3"/>
  <c r="I48" i="2" s="1"/>
  <c r="C50" i="3"/>
  <c r="C49" i="2" s="1"/>
  <c r="D50" i="3"/>
  <c r="D49" i="2" s="1"/>
  <c r="E50" i="3"/>
  <c r="E49" i="2" s="1"/>
  <c r="G50" i="3"/>
  <c r="H50" i="3"/>
  <c r="H49" i="2" s="1"/>
  <c r="I50" i="3"/>
  <c r="I49" i="2" s="1"/>
  <c r="C51" i="3"/>
  <c r="C50" i="2" s="1"/>
  <c r="D51" i="3"/>
  <c r="D50" i="2" s="1"/>
  <c r="E51" i="3"/>
  <c r="E50" i="2" s="1"/>
  <c r="G51" i="3"/>
  <c r="H51" i="3"/>
  <c r="H50" i="2" s="1"/>
  <c r="K10" i="4"/>
  <c r="F3" i="3"/>
  <c r="F3" i="2" s="1"/>
  <c r="F3" i="4"/>
  <c r="G3" i="4" s="1"/>
  <c r="F4" i="4"/>
  <c r="G4" i="4" s="1"/>
  <c r="F5" i="4"/>
  <c r="G5" i="4" s="1"/>
  <c r="F6" i="4"/>
  <c r="G6" i="4" s="1"/>
  <c r="F7" i="4"/>
  <c r="G7" i="4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J12" i="4" s="1"/>
  <c r="F53" i="4"/>
  <c r="G53" i="4" s="1"/>
  <c r="J15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 s="1"/>
  <c r="F68" i="4"/>
  <c r="G68" i="4" s="1"/>
  <c r="F69" i="4"/>
  <c r="G69" i="4" s="1"/>
  <c r="J17" i="4" s="1"/>
  <c r="F70" i="4"/>
  <c r="G70" i="4" s="1"/>
  <c r="F71" i="4"/>
  <c r="G71" i="4" s="1"/>
  <c r="F72" i="4"/>
  <c r="G72" i="4" s="1"/>
  <c r="F73" i="4"/>
  <c r="G73" i="4" s="1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 s="1"/>
  <c r="F82" i="4"/>
  <c r="G82" i="4" s="1"/>
  <c r="F83" i="4"/>
  <c r="G83" i="4" s="1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 s="1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G117" i="4" s="1"/>
  <c r="F118" i="4"/>
  <c r="G118" i="4" s="1"/>
  <c r="F119" i="4"/>
  <c r="G119" i="4"/>
  <c r="F120" i="4"/>
  <c r="G120" i="4" s="1"/>
  <c r="F121" i="4"/>
  <c r="G121" i="4" s="1"/>
  <c r="F122" i="4"/>
  <c r="G122" i="4" s="1"/>
  <c r="F123" i="4"/>
  <c r="G123" i="4" s="1"/>
  <c r="F124" i="4"/>
  <c r="G124" i="4"/>
  <c r="F125" i="4"/>
  <c r="G125" i="4" s="1"/>
  <c r="F126" i="4"/>
  <c r="G126" i="4" s="1"/>
  <c r="J26" i="4" s="1"/>
  <c r="F127" i="4"/>
  <c r="G127" i="4" s="1"/>
  <c r="F128" i="4"/>
  <c r="G128" i="4" s="1"/>
  <c r="F129" i="4"/>
  <c r="G129" i="4" s="1"/>
  <c r="F130" i="4"/>
  <c r="G130" i="4" s="1"/>
  <c r="F131" i="4"/>
  <c r="G131" i="4" s="1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 s="1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 s="1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 s="1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J35" i="4" s="1"/>
  <c r="F179" i="4"/>
  <c r="G179" i="4" s="1"/>
  <c r="J36" i="4" s="1"/>
  <c r="F180" i="4"/>
  <c r="G180" i="4" s="1"/>
  <c r="F181" i="4"/>
  <c r="G181" i="4" s="1"/>
  <c r="F182" i="4"/>
  <c r="G182" i="4" s="1"/>
  <c r="F183" i="4"/>
  <c r="G183" i="4" s="1"/>
  <c r="F184" i="4"/>
  <c r="G184" i="4" s="1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208" i="4"/>
  <c r="G208" i="4" s="1"/>
  <c r="F209" i="4"/>
  <c r="G209" i="4" s="1"/>
  <c r="F210" i="4"/>
  <c r="G210" i="4" s="1"/>
  <c r="F211" i="4"/>
  <c r="G211" i="4" s="1"/>
  <c r="F212" i="4"/>
  <c r="G212" i="4" s="1"/>
  <c r="F213" i="4"/>
  <c r="G213" i="4" s="1"/>
  <c r="F214" i="4"/>
  <c r="G214" i="4" s="1"/>
  <c r="F215" i="4"/>
  <c r="G215" i="4" s="1"/>
  <c r="F216" i="4"/>
  <c r="G216" i="4" s="1"/>
  <c r="F217" i="4"/>
  <c r="G217" i="4" s="1"/>
  <c r="F218" i="4"/>
  <c r="G218" i="4" s="1"/>
  <c r="F219" i="4"/>
  <c r="G219" i="4" s="1"/>
  <c r="F220" i="4"/>
  <c r="G220" i="4" s="1"/>
  <c r="F221" i="4"/>
  <c r="G221" i="4" s="1"/>
  <c r="F222" i="4"/>
  <c r="G222" i="4" s="1"/>
  <c r="F223" i="4"/>
  <c r="G223" i="4" s="1"/>
  <c r="F224" i="4"/>
  <c r="G224" i="4" s="1"/>
  <c r="F225" i="4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J42" i="4" s="1"/>
  <c r="F232" i="4"/>
  <c r="G232" i="4" s="1"/>
  <c r="F233" i="4"/>
  <c r="G233" i="4" s="1"/>
  <c r="F234" i="4"/>
  <c r="G234" i="4" s="1"/>
  <c r="F235" i="4"/>
  <c r="G235" i="4" s="1"/>
  <c r="F236" i="4"/>
  <c r="G236" i="4" s="1"/>
  <c r="F237" i="4"/>
  <c r="G237" i="4" s="1"/>
  <c r="F238" i="4"/>
  <c r="G238" i="4" s="1"/>
  <c r="F239" i="4"/>
  <c r="G239" i="4" s="1"/>
  <c r="F240" i="4"/>
  <c r="G240" i="4" s="1"/>
  <c r="F241" i="4"/>
  <c r="G241" i="4" s="1"/>
  <c r="F242" i="4"/>
  <c r="G242" i="4" s="1"/>
  <c r="F243" i="4"/>
  <c r="G243" i="4" s="1"/>
  <c r="F244" i="4"/>
  <c r="G244" i="4" s="1"/>
  <c r="F245" i="4"/>
  <c r="G245" i="4" s="1"/>
  <c r="F246" i="4"/>
  <c r="G246" i="4" s="1"/>
  <c r="F247" i="4"/>
  <c r="G247" i="4" s="1"/>
  <c r="F248" i="4"/>
  <c r="G248" i="4" s="1"/>
  <c r="F249" i="4"/>
  <c r="G249" i="4" s="1"/>
  <c r="F250" i="4"/>
  <c r="G250" i="4" s="1"/>
  <c r="F251" i="4"/>
  <c r="G251" i="4" s="1"/>
  <c r="F252" i="4"/>
  <c r="G252" i="4" s="1"/>
  <c r="F253" i="4"/>
  <c r="G253" i="4" s="1"/>
  <c r="F254" i="4"/>
  <c r="G254" i="4" s="1"/>
  <c r="F255" i="4"/>
  <c r="G255" i="4" s="1"/>
  <c r="F256" i="4"/>
  <c r="G256" i="4" s="1"/>
  <c r="F257" i="4"/>
  <c r="G257" i="4" s="1"/>
  <c r="F258" i="4"/>
  <c r="G258" i="4" s="1"/>
  <c r="F259" i="4"/>
  <c r="G259" i="4" s="1"/>
  <c r="F260" i="4"/>
  <c r="G260" i="4" s="1"/>
  <c r="F261" i="4"/>
  <c r="G261" i="4" s="1"/>
  <c r="F262" i="4"/>
  <c r="G262" i="4" s="1"/>
  <c r="F263" i="4"/>
  <c r="G263" i="4" s="1"/>
  <c r="F264" i="4"/>
  <c r="G264" i="4" s="1"/>
  <c r="F265" i="4"/>
  <c r="G265" i="4" s="1"/>
  <c r="F266" i="4"/>
  <c r="G266" i="4" s="1"/>
  <c r="F267" i="4"/>
  <c r="G267" i="4" s="1"/>
  <c r="F268" i="4"/>
  <c r="G268" i="4" s="1"/>
  <c r="F269" i="4"/>
  <c r="G269" i="4" s="1"/>
  <c r="F270" i="4"/>
  <c r="G270" i="4" s="1"/>
  <c r="F271" i="4"/>
  <c r="G271" i="4" s="1"/>
  <c r="F272" i="4"/>
  <c r="G272" i="4" s="1"/>
  <c r="F273" i="4"/>
  <c r="G273" i="4" s="1"/>
  <c r="F274" i="4"/>
  <c r="G274" i="4" s="1"/>
  <c r="F275" i="4"/>
  <c r="G275" i="4" s="1"/>
  <c r="F276" i="4"/>
  <c r="G276" i="4" s="1"/>
  <c r="F277" i="4"/>
  <c r="G277" i="4" s="1"/>
  <c r="F278" i="4"/>
  <c r="G278" i="4" s="1"/>
  <c r="F279" i="4"/>
  <c r="G279" i="4" s="1"/>
  <c r="F280" i="4"/>
  <c r="G280" i="4" s="1"/>
  <c r="F281" i="4"/>
  <c r="G281" i="4" s="1"/>
  <c r="F282" i="4"/>
  <c r="G282" i="4" s="1"/>
  <c r="F283" i="4"/>
  <c r="G283" i="4" s="1"/>
  <c r="F284" i="4"/>
  <c r="G284" i="4" s="1"/>
  <c r="F285" i="4"/>
  <c r="G285" i="4" s="1"/>
  <c r="F286" i="4"/>
  <c r="G286" i="4" s="1"/>
  <c r="F287" i="4"/>
  <c r="G287" i="4" s="1"/>
  <c r="F289" i="4"/>
  <c r="G289" i="4" s="1"/>
  <c r="F290" i="4"/>
  <c r="G290" i="4" s="1"/>
  <c r="F291" i="4"/>
  <c r="G291" i="4" s="1"/>
  <c r="F292" i="4"/>
  <c r="G292" i="4" s="1"/>
  <c r="F293" i="4"/>
  <c r="G293" i="4" s="1"/>
  <c r="F294" i="4"/>
  <c r="G294" i="4" s="1"/>
  <c r="F295" i="4"/>
  <c r="G295" i="4" s="1"/>
  <c r="F296" i="4"/>
  <c r="G296" i="4" s="1"/>
  <c r="J51" i="4" s="1"/>
  <c r="F297" i="4"/>
  <c r="G297" i="4" s="1"/>
  <c r="F298" i="4"/>
  <c r="G298" i="4" s="1"/>
  <c r="F299" i="4"/>
  <c r="G299" i="4" s="1"/>
  <c r="F300" i="4"/>
  <c r="G300" i="4" s="1"/>
  <c r="F301" i="4"/>
  <c r="G301" i="4" s="1"/>
  <c r="F302" i="4"/>
  <c r="G302" i="4" s="1"/>
  <c r="F303" i="4"/>
  <c r="G303" i="4" s="1"/>
  <c r="F304" i="4"/>
  <c r="G304" i="4" s="1"/>
  <c r="F305" i="4"/>
  <c r="G305" i="4" s="1"/>
  <c r="F306" i="4"/>
  <c r="G306" i="4" s="1"/>
  <c r="F307" i="4"/>
  <c r="G307" i="4" s="1"/>
  <c r="F308" i="4"/>
  <c r="G308" i="4" s="1"/>
  <c r="F309" i="4"/>
  <c r="G309" i="4" s="1"/>
  <c r="F310" i="4"/>
  <c r="G310" i="4" s="1"/>
  <c r="F311" i="4"/>
  <c r="G311" i="4" s="1"/>
  <c r="F312" i="4"/>
  <c r="G312" i="4" s="1"/>
  <c r="F313" i="4"/>
  <c r="G313" i="4" s="1"/>
  <c r="F314" i="4"/>
  <c r="G314" i="4" s="1"/>
  <c r="F315" i="4"/>
  <c r="G315" i="4" s="1"/>
  <c r="F316" i="4"/>
  <c r="G316" i="4" s="1"/>
  <c r="I3" i="3"/>
  <c r="I3" i="2" s="1"/>
  <c r="G3" i="3"/>
  <c r="H3" i="3"/>
  <c r="H3" i="2" s="1"/>
  <c r="E3" i="3"/>
  <c r="E3" i="2" s="1"/>
  <c r="D3" i="3"/>
  <c r="D3" i="2" s="1"/>
  <c r="C3" i="3"/>
  <c r="K22" i="2"/>
  <c r="K4" i="2"/>
  <c r="K5" i="2"/>
  <c r="K11" i="2"/>
  <c r="K13" i="2"/>
  <c r="K14" i="2"/>
  <c r="K16" i="2"/>
  <c r="K18" i="2"/>
  <c r="K19" i="2"/>
  <c r="K26" i="2"/>
  <c r="K21" i="2"/>
  <c r="K24" i="2"/>
  <c r="K28" i="2"/>
  <c r="K60" i="2"/>
  <c r="K30" i="2"/>
  <c r="K33" i="2"/>
  <c r="K36" i="2"/>
  <c r="K37" i="2"/>
  <c r="K39" i="2"/>
  <c r="K45" i="2"/>
  <c r="K46" i="2"/>
  <c r="K47" i="2"/>
  <c r="K48" i="2"/>
  <c r="K49" i="2"/>
  <c r="K50" i="2"/>
  <c r="K3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4" i="2"/>
  <c r="V25" i="2"/>
  <c r="V26" i="2"/>
  <c r="V27" i="2"/>
  <c r="V28" i="2"/>
  <c r="V29" i="2"/>
  <c r="V30" i="2"/>
  <c r="V31" i="2"/>
  <c r="V33" i="2"/>
  <c r="V34" i="2"/>
  <c r="V35" i="2"/>
  <c r="V36" i="2"/>
  <c r="V37" i="2"/>
  <c r="V38" i="2"/>
  <c r="V39" i="2"/>
  <c r="V41" i="2"/>
  <c r="V42" i="2"/>
  <c r="V43" i="2"/>
  <c r="V44" i="2"/>
  <c r="V23" i="2"/>
  <c r="V45" i="2"/>
  <c r="V46" i="2"/>
  <c r="V47" i="2"/>
  <c r="V48" i="2"/>
  <c r="V49" i="2"/>
  <c r="V50" i="2"/>
  <c r="V22" i="2"/>
  <c r="V4" i="2"/>
  <c r="V3" i="2"/>
  <c r="J46" i="4" l="1"/>
  <c r="K46" i="4" s="1"/>
  <c r="J44" i="4"/>
  <c r="K44" i="4" s="1"/>
  <c r="J39" i="4"/>
  <c r="K39" i="4" s="1"/>
  <c r="J19" i="4"/>
  <c r="K19" i="4" s="1"/>
  <c r="J32" i="4"/>
  <c r="K32" i="4" s="1"/>
  <c r="F33" i="3" s="1"/>
  <c r="J30" i="4"/>
  <c r="K30" i="4" s="1"/>
  <c r="J11" i="4"/>
  <c r="K11" i="4" s="1"/>
  <c r="J48" i="4"/>
  <c r="K48" i="4" s="1"/>
  <c r="J33" i="4"/>
  <c r="K33" i="4" s="1"/>
  <c r="J31" i="4"/>
  <c r="K31" i="4" s="1"/>
  <c r="J24" i="4"/>
  <c r="K24" i="4" s="1"/>
  <c r="J20" i="4"/>
  <c r="K20" i="4" s="1"/>
  <c r="J8" i="4"/>
  <c r="K8" i="4" s="1"/>
  <c r="J7" i="4"/>
  <c r="K7" i="4" s="1"/>
  <c r="J6" i="4"/>
  <c r="K6" i="4" s="1"/>
  <c r="J53" i="4"/>
  <c r="K53" i="4" s="1"/>
  <c r="J49" i="4"/>
  <c r="J43" i="4"/>
  <c r="K43" i="4" s="1"/>
  <c r="J41" i="4"/>
  <c r="K41" i="4" s="1"/>
  <c r="J37" i="4"/>
  <c r="K37" i="4" s="1"/>
  <c r="J28" i="4"/>
  <c r="J18" i="4"/>
  <c r="K18" i="4" s="1"/>
  <c r="J16" i="4"/>
  <c r="K16" i="4" s="1"/>
  <c r="J4" i="4"/>
  <c r="K4" i="4" s="1"/>
  <c r="J3" i="4"/>
  <c r="K3" i="4" s="1"/>
  <c r="J38" i="4"/>
  <c r="K38" i="4" s="1"/>
  <c r="K52" i="4"/>
  <c r="J54" i="4"/>
  <c r="K54" i="4" s="1"/>
  <c r="J50" i="4"/>
  <c r="K50" i="4" s="1"/>
  <c r="J47" i="4"/>
  <c r="K47" i="4" s="1"/>
  <c r="J45" i="4"/>
  <c r="K45" i="4" s="1"/>
  <c r="J34" i="4"/>
  <c r="K34" i="4" s="1"/>
  <c r="J29" i="4"/>
  <c r="K29" i="4" s="1"/>
  <c r="J27" i="4"/>
  <c r="K27" i="4" s="1"/>
  <c r="J25" i="4"/>
  <c r="K25" i="4" s="1"/>
  <c r="J21" i="4"/>
  <c r="K21" i="4" s="1"/>
  <c r="J9" i="4"/>
  <c r="K51" i="4"/>
  <c r="F52" i="3" s="1"/>
  <c r="C3" i="2"/>
  <c r="G3" i="2"/>
  <c r="G49" i="2"/>
  <c r="G48" i="2"/>
  <c r="G28" i="2"/>
  <c r="G24" i="2"/>
  <c r="G27" i="2"/>
  <c r="G21" i="2"/>
  <c r="G26" i="2"/>
  <c r="G18" i="2"/>
  <c r="G5" i="2"/>
  <c r="G50" i="2"/>
  <c r="I50" i="2"/>
  <c r="K59" i="2"/>
  <c r="K57" i="2"/>
  <c r="K61" i="2"/>
  <c r="I58" i="2"/>
  <c r="G58" i="2"/>
  <c r="D58" i="2"/>
  <c r="I57" i="2"/>
  <c r="I61" i="2"/>
  <c r="G57" i="2"/>
  <c r="G61" i="2"/>
  <c r="D57" i="2"/>
  <c r="D61" i="2"/>
  <c r="I56" i="2"/>
  <c r="G56" i="2"/>
  <c r="D56" i="2"/>
  <c r="I60" i="2"/>
  <c r="G60" i="2"/>
  <c r="D60" i="2"/>
  <c r="I59" i="2"/>
  <c r="G59" i="2"/>
  <c r="D59" i="2"/>
  <c r="H58" i="2"/>
  <c r="E58" i="2"/>
  <c r="C58" i="2"/>
  <c r="H57" i="2"/>
  <c r="H61" i="2"/>
  <c r="E57" i="2"/>
  <c r="E61" i="2"/>
  <c r="C57" i="2"/>
  <c r="C61" i="2"/>
  <c r="H56" i="2"/>
  <c r="E56" i="2"/>
  <c r="C56" i="2"/>
  <c r="H60" i="2"/>
  <c r="E60" i="2"/>
  <c r="C60" i="2"/>
  <c r="H59" i="2"/>
  <c r="E59" i="2"/>
  <c r="C59" i="2"/>
  <c r="K23" i="2"/>
  <c r="K44" i="2"/>
  <c r="K25" i="2"/>
  <c r="K41" i="2"/>
  <c r="K38" i="2"/>
  <c r="K35" i="2"/>
  <c r="K34" i="2"/>
  <c r="K31" i="2"/>
  <c r="K27" i="2"/>
  <c r="K17" i="2"/>
  <c r="K15" i="2"/>
  <c r="K12" i="2"/>
  <c r="K9" i="2"/>
  <c r="K8" i="2"/>
  <c r="K7" i="2"/>
  <c r="K6" i="2"/>
  <c r="I47" i="2"/>
  <c r="G47" i="2"/>
  <c r="D47" i="2"/>
  <c r="I46" i="2"/>
  <c r="G46" i="2"/>
  <c r="D46" i="2"/>
  <c r="I45" i="2"/>
  <c r="G45" i="2"/>
  <c r="D45" i="2"/>
  <c r="I23" i="2"/>
  <c r="G23" i="2"/>
  <c r="D23" i="2"/>
  <c r="I44" i="2"/>
  <c r="G44" i="2"/>
  <c r="D44" i="2"/>
  <c r="G43" i="2"/>
  <c r="D43" i="2"/>
  <c r="I25" i="2"/>
  <c r="K43" i="2"/>
  <c r="K42" i="2"/>
  <c r="K29" i="2"/>
  <c r="K10" i="2"/>
  <c r="K20" i="2"/>
  <c r="H47" i="2"/>
  <c r="E47" i="2"/>
  <c r="C47" i="2"/>
  <c r="H46" i="2"/>
  <c r="E46" i="2"/>
  <c r="C46" i="2"/>
  <c r="H45" i="2"/>
  <c r="E45" i="2"/>
  <c r="C45" i="2"/>
  <c r="H23" i="2"/>
  <c r="E23" i="2"/>
  <c r="C23" i="2"/>
  <c r="H44" i="2"/>
  <c r="E44" i="2"/>
  <c r="C44" i="2"/>
  <c r="H43" i="2"/>
  <c r="E43" i="2"/>
  <c r="C43" i="2"/>
  <c r="H25" i="2"/>
  <c r="E25" i="2"/>
  <c r="C25" i="2"/>
  <c r="H42" i="2"/>
  <c r="E42" i="2"/>
  <c r="C42" i="2"/>
  <c r="H41" i="2"/>
  <c r="G25" i="2"/>
  <c r="D25" i="2"/>
  <c r="I42" i="2"/>
  <c r="G42" i="2"/>
  <c r="D42" i="2"/>
  <c r="I41" i="2"/>
  <c r="G41" i="2"/>
  <c r="D41" i="2"/>
  <c r="I39" i="2"/>
  <c r="G39" i="2"/>
  <c r="D39" i="2"/>
  <c r="I38" i="2"/>
  <c r="G38" i="2"/>
  <c r="D38" i="2"/>
  <c r="I37" i="2"/>
  <c r="G37" i="2"/>
  <c r="D37" i="2"/>
  <c r="I36" i="2"/>
  <c r="G36" i="2"/>
  <c r="D36" i="2"/>
  <c r="I35" i="2"/>
  <c r="G35" i="2"/>
  <c r="D35" i="2"/>
  <c r="I34" i="2"/>
  <c r="G34" i="2"/>
  <c r="D34" i="2"/>
  <c r="I33" i="2"/>
  <c r="G33" i="2"/>
  <c r="D33" i="2"/>
  <c r="I31" i="2"/>
  <c r="G31" i="2"/>
  <c r="D31" i="2"/>
  <c r="I30" i="2"/>
  <c r="G30" i="2"/>
  <c r="D30" i="2"/>
  <c r="G29" i="2"/>
  <c r="D29" i="2"/>
  <c r="I19" i="2"/>
  <c r="G19" i="2"/>
  <c r="D19" i="2"/>
  <c r="I17" i="2"/>
  <c r="G17" i="2"/>
  <c r="D17" i="2"/>
  <c r="I16" i="2"/>
  <c r="G16" i="2"/>
  <c r="D16" i="2"/>
  <c r="I15" i="2"/>
  <c r="G15" i="2"/>
  <c r="E41" i="2"/>
  <c r="C41" i="2"/>
  <c r="H39" i="2"/>
  <c r="E39" i="2"/>
  <c r="C39" i="2"/>
  <c r="H38" i="2"/>
  <c r="E38" i="2"/>
  <c r="C38" i="2"/>
  <c r="H37" i="2"/>
  <c r="E37" i="2"/>
  <c r="C37" i="2"/>
  <c r="H36" i="2"/>
  <c r="E36" i="2"/>
  <c r="C36" i="2"/>
  <c r="H35" i="2"/>
  <c r="E35" i="2"/>
  <c r="C35" i="2"/>
  <c r="H34" i="2"/>
  <c r="E34" i="2"/>
  <c r="C34" i="2"/>
  <c r="H33" i="2"/>
  <c r="E33" i="2"/>
  <c r="C33" i="2"/>
  <c r="H31" i="2"/>
  <c r="E31" i="2"/>
  <c r="C31" i="2"/>
  <c r="H30" i="2"/>
  <c r="E30" i="2"/>
  <c r="C30" i="2"/>
  <c r="H29" i="2"/>
  <c r="E29" i="2"/>
  <c r="C29" i="2"/>
  <c r="H19" i="2"/>
  <c r="E19" i="2"/>
  <c r="C19" i="2"/>
  <c r="H17" i="2"/>
  <c r="E17" i="2"/>
  <c r="C17" i="2"/>
  <c r="H16" i="2"/>
  <c r="E16" i="2"/>
  <c r="C16" i="2"/>
  <c r="H15" i="2"/>
  <c r="E15" i="2"/>
  <c r="C15" i="2"/>
  <c r="H14" i="2"/>
  <c r="E14" i="2"/>
  <c r="C14" i="2"/>
  <c r="H13" i="2"/>
  <c r="E13" i="2"/>
  <c r="C13" i="2"/>
  <c r="H12" i="2"/>
  <c r="E12" i="2"/>
  <c r="C12" i="2"/>
  <c r="H11" i="2"/>
  <c r="E11" i="2"/>
  <c r="C11" i="2"/>
  <c r="H10" i="2"/>
  <c r="E10" i="2"/>
  <c r="C10" i="2"/>
  <c r="H9" i="2"/>
  <c r="E9" i="2"/>
  <c r="C9" i="2"/>
  <c r="H8" i="2"/>
  <c r="E8" i="2"/>
  <c r="C8" i="2"/>
  <c r="H7" i="2"/>
  <c r="E7" i="2"/>
  <c r="C7" i="2"/>
  <c r="H20" i="2"/>
  <c r="E20" i="2"/>
  <c r="C20" i="2"/>
  <c r="H6" i="2"/>
  <c r="E6" i="2"/>
  <c r="C6" i="2"/>
  <c r="D5" i="2"/>
  <c r="I4" i="2"/>
  <c r="G4" i="2"/>
  <c r="D4" i="2"/>
  <c r="I22" i="2"/>
  <c r="G22" i="2"/>
  <c r="D22" i="2"/>
  <c r="D15" i="2"/>
  <c r="G14" i="2"/>
  <c r="D14" i="2"/>
  <c r="I13" i="2"/>
  <c r="G13" i="2"/>
  <c r="D13" i="2"/>
  <c r="I12" i="2"/>
  <c r="G12" i="2"/>
  <c r="D12" i="2"/>
  <c r="I11" i="2"/>
  <c r="G11" i="2"/>
  <c r="D11" i="2"/>
  <c r="I10" i="2"/>
  <c r="G10" i="2"/>
  <c r="D10" i="2"/>
  <c r="I9" i="2"/>
  <c r="G9" i="2"/>
  <c r="I8" i="2"/>
  <c r="G8" i="2"/>
  <c r="D8" i="2"/>
  <c r="I7" i="2"/>
  <c r="G7" i="2"/>
  <c r="D7" i="2"/>
  <c r="I20" i="2"/>
  <c r="G20" i="2"/>
  <c r="I6" i="2"/>
  <c r="G6" i="2"/>
  <c r="D6" i="2"/>
  <c r="E5" i="2"/>
  <c r="C5" i="2"/>
  <c r="H4" i="2"/>
  <c r="E4" i="2"/>
  <c r="C4" i="2"/>
  <c r="H22" i="2"/>
  <c r="E22" i="2"/>
  <c r="C22" i="2"/>
  <c r="K55" i="4"/>
  <c r="F56" i="3" s="1"/>
  <c r="F55" i="2" s="1"/>
  <c r="K49" i="4"/>
  <c r="K28" i="4"/>
  <c r="K9" i="4"/>
  <c r="K12" i="4"/>
  <c r="K22" i="4"/>
  <c r="K23" i="4"/>
  <c r="K42" i="4"/>
  <c r="K5" i="4"/>
  <c r="K36" i="4"/>
  <c r="K35" i="4"/>
  <c r="K26" i="4"/>
  <c r="K17" i="4"/>
  <c r="K15" i="4"/>
  <c r="K14" i="4"/>
  <c r="K13" i="4"/>
  <c r="L60" i="2" l="1"/>
  <c r="F55" i="3"/>
  <c r="F54" i="2" s="1"/>
  <c r="Z55" i="2"/>
  <c r="X55" i="2"/>
  <c r="L55" i="2"/>
  <c r="N55" i="2" s="1"/>
  <c r="O55" i="2" s="1"/>
  <c r="P55" i="2" s="1"/>
  <c r="S55" i="2" s="1"/>
  <c r="AE55" i="2"/>
  <c r="AB55" i="2"/>
  <c r="AA55" i="2"/>
  <c r="Y55" i="2"/>
  <c r="AC55" i="2"/>
  <c r="AD55" i="2"/>
  <c r="F49" i="3"/>
  <c r="F48" i="2" s="1"/>
  <c r="Y48" i="2" s="1"/>
  <c r="F12" i="3"/>
  <c r="F12" i="2" s="1"/>
  <c r="AB12" i="2" s="1"/>
  <c r="Y58" i="2"/>
  <c r="Z57" i="2"/>
  <c r="X60" i="2"/>
  <c r="Y59" i="2"/>
  <c r="AA60" i="2"/>
  <c r="Y61" i="2"/>
  <c r="Z56" i="2"/>
  <c r="Y3" i="2"/>
  <c r="AD61" i="2"/>
  <c r="AD58" i="2"/>
  <c r="Z60" i="2"/>
  <c r="AE56" i="2"/>
  <c r="AC57" i="2"/>
  <c r="AC58" i="2"/>
  <c r="AB57" i="2"/>
  <c r="X58" i="2"/>
  <c r="Z3" i="2"/>
  <c r="AA59" i="2"/>
  <c r="AD60" i="2"/>
  <c r="AA56" i="2"/>
  <c r="Y57" i="2"/>
  <c r="AD57" i="2"/>
  <c r="Z59" i="2"/>
  <c r="AC60" i="2"/>
  <c r="Z61" i="2"/>
  <c r="AE61" i="2"/>
  <c r="AE58" i="2"/>
  <c r="AD59" i="2"/>
  <c r="AA61" i="2"/>
  <c r="AC59" i="2"/>
  <c r="AE60" i="2"/>
  <c r="AC56" i="2"/>
  <c r="AE57" i="2"/>
  <c r="AB61" i="2"/>
  <c r="AD3" i="2"/>
  <c r="AB3" i="2"/>
  <c r="AB59" i="2"/>
  <c r="Y60" i="2"/>
  <c r="AB60" i="2"/>
  <c r="Y56" i="2"/>
  <c r="AB56" i="2"/>
  <c r="AD56" i="2"/>
  <c r="AA57" i="2"/>
  <c r="AA58" i="2"/>
  <c r="AE59" i="2"/>
  <c r="AC61" i="2"/>
  <c r="Z58" i="2"/>
  <c r="AC3" i="2"/>
  <c r="AB58" i="2"/>
  <c r="X3" i="2"/>
  <c r="AI3" i="2" s="1"/>
  <c r="X61" i="2"/>
  <c r="X59" i="2"/>
  <c r="AA3" i="2"/>
  <c r="X56" i="2"/>
  <c r="AE3" i="2"/>
  <c r="X57" i="2"/>
  <c r="F22" i="3"/>
  <c r="F21" i="2" s="1"/>
  <c r="F29" i="3"/>
  <c r="F28" i="2" s="1"/>
  <c r="F13" i="3"/>
  <c r="F11" i="3"/>
  <c r="F11" i="2" s="1"/>
  <c r="AB11" i="2" s="1"/>
  <c r="L59" i="2"/>
  <c r="L3" i="2"/>
  <c r="F32" i="2"/>
  <c r="F39" i="3"/>
  <c r="F51" i="2"/>
  <c r="L57" i="2"/>
  <c r="N57" i="2" s="1"/>
  <c r="F42" i="3"/>
  <c r="F41" i="2" s="1"/>
  <c r="AB41" i="2" s="1"/>
  <c r="L56" i="2"/>
  <c r="F6" i="3"/>
  <c r="F8" i="3"/>
  <c r="F46" i="3"/>
  <c r="F10" i="3"/>
  <c r="F28" i="3"/>
  <c r="L58" i="2"/>
  <c r="L61" i="2"/>
  <c r="F30" i="3"/>
  <c r="F14" i="3"/>
  <c r="F14" i="2" s="1"/>
  <c r="AB14" i="2" s="1"/>
  <c r="F16" i="3"/>
  <c r="F35" i="3"/>
  <c r="F23" i="3"/>
  <c r="F22" i="2" s="1"/>
  <c r="AC22" i="2" s="1"/>
  <c r="F4" i="3"/>
  <c r="F34" i="3"/>
  <c r="F21" i="3"/>
  <c r="F17" i="3"/>
  <c r="F19" i="3"/>
  <c r="F37" i="3"/>
  <c r="F40" i="3"/>
  <c r="F43" i="3"/>
  <c r="F44" i="3"/>
  <c r="F47" i="3"/>
  <c r="F50" i="3"/>
  <c r="F48" i="3"/>
  <c r="F27" i="3"/>
  <c r="F45" i="3"/>
  <c r="F5" i="3"/>
  <c r="F9" i="3"/>
  <c r="F20" i="3"/>
  <c r="F25" i="3"/>
  <c r="F31" i="3"/>
  <c r="F36" i="3"/>
  <c r="F26" i="3"/>
  <c r="F24" i="3"/>
  <c r="F18" i="3"/>
  <c r="F32" i="3"/>
  <c r="F38" i="3"/>
  <c r="F7" i="3"/>
  <c r="F54" i="3"/>
  <c r="F53" i="3"/>
  <c r="F51" i="3"/>
  <c r="F15" i="3"/>
  <c r="AB48" i="2" l="1"/>
  <c r="Z48" i="2"/>
  <c r="AC48" i="2"/>
  <c r="AD48" i="2"/>
  <c r="R55" i="2"/>
  <c r="Q55" i="2"/>
  <c r="T55" i="2" s="1"/>
  <c r="M55" i="2"/>
  <c r="AA48" i="2"/>
  <c r="AE48" i="2"/>
  <c r="X48" i="2"/>
  <c r="L48" i="2"/>
  <c r="M48" i="2" s="1"/>
  <c r="AE41" i="2"/>
  <c r="AA41" i="2"/>
  <c r="AC41" i="2"/>
  <c r="AC11" i="2"/>
  <c r="AA11" i="2"/>
  <c r="AC12" i="2"/>
  <c r="AD11" i="2"/>
  <c r="AA12" i="2"/>
  <c r="Z11" i="2"/>
  <c r="L54" i="2"/>
  <c r="O54" i="2" s="1"/>
  <c r="AB54" i="2"/>
  <c r="X54" i="2"/>
  <c r="AA54" i="2"/>
  <c r="AE54" i="2"/>
  <c r="AC54" i="2"/>
  <c r="AD54" i="2"/>
  <c r="Y54" i="2"/>
  <c r="Z54" i="2"/>
  <c r="AE14" i="2"/>
  <c r="Y14" i="2"/>
  <c r="AC14" i="2"/>
  <c r="AD22" i="2"/>
  <c r="Y12" i="2"/>
  <c r="Z22" i="2"/>
  <c r="AB32" i="2"/>
  <c r="AD32" i="2"/>
  <c r="Z32" i="2"/>
  <c r="AE32" i="2"/>
  <c r="X32" i="2"/>
  <c r="AC32" i="2"/>
  <c r="AA32" i="2"/>
  <c r="Y32" i="2"/>
  <c r="L28" i="2"/>
  <c r="N28" i="2" s="1"/>
  <c r="AB28" i="2"/>
  <c r="Z28" i="2"/>
  <c r="X28" i="2"/>
  <c r="AD28" i="2"/>
  <c r="AA28" i="2"/>
  <c r="Y28" i="2"/>
  <c r="AE28" i="2"/>
  <c r="AD41" i="2"/>
  <c r="AD14" i="2"/>
  <c r="Z12" i="2"/>
  <c r="AC28" i="2"/>
  <c r="AD12" i="2"/>
  <c r="L22" i="2"/>
  <c r="M22" i="2" s="1"/>
  <c r="AB22" i="2"/>
  <c r="Z14" i="2"/>
  <c r="AA22" i="2"/>
  <c r="AA14" i="2"/>
  <c r="X22" i="2"/>
  <c r="L51" i="2"/>
  <c r="N51" i="2" s="1"/>
  <c r="AB51" i="2"/>
  <c r="Z51" i="2"/>
  <c r="Y51" i="2"/>
  <c r="AA51" i="2"/>
  <c r="X51" i="2"/>
  <c r="AE51" i="2"/>
  <c r="AC51" i="2"/>
  <c r="AD51" i="2"/>
  <c r="L21" i="2"/>
  <c r="N21" i="2" s="1"/>
  <c r="AB21" i="2"/>
  <c r="AE21" i="2"/>
  <c r="Y21" i="2"/>
  <c r="AA21" i="2"/>
  <c r="Z21" i="2"/>
  <c r="AD21" i="2"/>
  <c r="X21" i="2"/>
  <c r="X14" i="2"/>
  <c r="Z41" i="2"/>
  <c r="Y11" i="2"/>
  <c r="AE12" i="2"/>
  <c r="AC21" i="2"/>
  <c r="Y41" i="2"/>
  <c r="AE22" i="2"/>
  <c r="AE11" i="2"/>
  <c r="X41" i="2"/>
  <c r="X12" i="2"/>
  <c r="X11" i="2"/>
  <c r="Y22" i="2"/>
  <c r="O28" i="2"/>
  <c r="O57" i="2"/>
  <c r="R57" i="2" s="1"/>
  <c r="F52" i="2"/>
  <c r="M57" i="2"/>
  <c r="N3" i="2"/>
  <c r="F27" i="2"/>
  <c r="F16" i="2"/>
  <c r="M3" i="2"/>
  <c r="F5" i="2"/>
  <c r="F38" i="2"/>
  <c r="AG3" i="2"/>
  <c r="AR3" i="2"/>
  <c r="F15" i="2"/>
  <c r="F53" i="2"/>
  <c r="F10" i="2"/>
  <c r="F6" i="2"/>
  <c r="F31" i="2"/>
  <c r="F19" i="2"/>
  <c r="F9" i="2"/>
  <c r="F44" i="2"/>
  <c r="F26" i="2"/>
  <c r="F20" i="2"/>
  <c r="L32" i="2"/>
  <c r="O32" i="2" s="1"/>
  <c r="F50" i="2"/>
  <c r="F37" i="2"/>
  <c r="F4" i="2"/>
  <c r="F34" i="2"/>
  <c r="O48" i="2"/>
  <c r="O58" i="2"/>
  <c r="O60" i="2"/>
  <c r="AG61" i="2"/>
  <c r="AG58" i="2"/>
  <c r="M61" i="2"/>
  <c r="M60" i="2"/>
  <c r="M59" i="2"/>
  <c r="AG60" i="2"/>
  <c r="AR57" i="2"/>
  <c r="M58" i="2"/>
  <c r="M56" i="2"/>
  <c r="AG59" i="2"/>
  <c r="AG57" i="2"/>
  <c r="AG56" i="2"/>
  <c r="F24" i="2"/>
  <c r="N56" i="2"/>
  <c r="L12" i="2"/>
  <c r="AR56" i="2"/>
  <c r="F7" i="2"/>
  <c r="F29" i="2"/>
  <c r="AR59" i="2"/>
  <c r="AR60" i="2"/>
  <c r="AR58" i="2"/>
  <c r="L41" i="2"/>
  <c r="F49" i="2"/>
  <c r="N59" i="2"/>
  <c r="N61" i="2"/>
  <c r="N60" i="2"/>
  <c r="AR61" i="2"/>
  <c r="L11" i="2"/>
  <c r="N11" i="2" s="1"/>
  <c r="F35" i="2"/>
  <c r="F17" i="2"/>
  <c r="F43" i="2"/>
  <c r="F36" i="2"/>
  <c r="F23" i="2"/>
  <c r="F30" i="2"/>
  <c r="F42" i="2"/>
  <c r="F18" i="2"/>
  <c r="F25" i="2"/>
  <c r="F47" i="2"/>
  <c r="F46" i="2"/>
  <c r="F45" i="2"/>
  <c r="F39" i="2"/>
  <c r="F8" i="2"/>
  <c r="F33" i="2"/>
  <c r="F13" i="2"/>
  <c r="L14" i="2"/>
  <c r="N48" i="2" l="1"/>
  <c r="M28" i="2"/>
  <c r="M21" i="2"/>
  <c r="N54" i="2"/>
  <c r="M51" i="2"/>
  <c r="O51" i="2"/>
  <c r="P51" i="2" s="1"/>
  <c r="S51" i="2" s="1"/>
  <c r="M54" i="2"/>
  <c r="N22" i="2"/>
  <c r="AB47" i="2"/>
  <c r="Z47" i="2"/>
  <c r="X47" i="2"/>
  <c r="AE47" i="2"/>
  <c r="AD47" i="2"/>
  <c r="Y47" i="2"/>
  <c r="AC47" i="2"/>
  <c r="AA47" i="2"/>
  <c r="AB45" i="2"/>
  <c r="X45" i="2"/>
  <c r="Z45" i="2"/>
  <c r="Y45" i="2"/>
  <c r="AA45" i="2"/>
  <c r="AE45" i="2"/>
  <c r="AC45" i="2"/>
  <c r="AD45" i="2"/>
  <c r="L18" i="2"/>
  <c r="O18" i="2" s="1"/>
  <c r="R18" i="2" s="1"/>
  <c r="AB18" i="2"/>
  <c r="AE18" i="2"/>
  <c r="AD18" i="2"/>
  <c r="X18" i="2"/>
  <c r="Z18" i="2"/>
  <c r="Y18" i="2"/>
  <c r="AA18" i="2"/>
  <c r="AC18" i="2"/>
  <c r="AB36" i="2"/>
  <c r="AE36" i="2"/>
  <c r="Y36" i="2"/>
  <c r="X36" i="2"/>
  <c r="AC36" i="2"/>
  <c r="AA36" i="2"/>
  <c r="AD36" i="2"/>
  <c r="Z36" i="2"/>
  <c r="AB37" i="2"/>
  <c r="Y37" i="2"/>
  <c r="AA37" i="2"/>
  <c r="AC37" i="2"/>
  <c r="AE37" i="2"/>
  <c r="X37" i="2"/>
  <c r="AD37" i="2"/>
  <c r="Z37" i="2"/>
  <c r="AB26" i="2"/>
  <c r="AE26" i="2"/>
  <c r="AA26" i="2"/>
  <c r="Z26" i="2"/>
  <c r="AD26" i="2"/>
  <c r="Y26" i="2"/>
  <c r="X26" i="2"/>
  <c r="AC26" i="2"/>
  <c r="AB31" i="2"/>
  <c r="AD31" i="2"/>
  <c r="AE31" i="2"/>
  <c r="Y31" i="2"/>
  <c r="Z31" i="2"/>
  <c r="AC31" i="2"/>
  <c r="AA31" i="2"/>
  <c r="X31" i="2"/>
  <c r="L15" i="2"/>
  <c r="N15" i="2" s="1"/>
  <c r="AB15" i="2"/>
  <c r="AA15" i="2"/>
  <c r="Z15" i="2"/>
  <c r="X15" i="2"/>
  <c r="AD15" i="2"/>
  <c r="AC15" i="2"/>
  <c r="AE15" i="2"/>
  <c r="Y15" i="2"/>
  <c r="L5" i="2"/>
  <c r="M5" i="2" s="1"/>
  <c r="AB5" i="2"/>
  <c r="Y5" i="2"/>
  <c r="X5" i="2"/>
  <c r="AA5" i="2"/>
  <c r="AD5" i="2"/>
  <c r="AE5" i="2"/>
  <c r="AC5" i="2"/>
  <c r="Z5" i="2"/>
  <c r="AB33" i="2"/>
  <c r="AE33" i="2"/>
  <c r="AD33" i="2"/>
  <c r="X33" i="2"/>
  <c r="Z33" i="2"/>
  <c r="AA33" i="2"/>
  <c r="AC33" i="2"/>
  <c r="Y33" i="2"/>
  <c r="AB46" i="2"/>
  <c r="AD46" i="2"/>
  <c r="AE46" i="2"/>
  <c r="Z46" i="2"/>
  <c r="Y46" i="2"/>
  <c r="AC46" i="2"/>
  <c r="AA46" i="2"/>
  <c r="X46" i="2"/>
  <c r="AB42" i="2"/>
  <c r="Z42" i="2"/>
  <c r="AA42" i="2"/>
  <c r="AC42" i="2"/>
  <c r="AE42" i="2"/>
  <c r="AD42" i="2"/>
  <c r="Y42" i="2"/>
  <c r="X42" i="2"/>
  <c r="L43" i="2"/>
  <c r="M43" i="2" s="1"/>
  <c r="AB43" i="2"/>
  <c r="Z43" i="2"/>
  <c r="AE43" i="2"/>
  <c r="AA43" i="2"/>
  <c r="X43" i="2"/>
  <c r="AD43" i="2"/>
  <c r="AC43" i="2"/>
  <c r="Y43" i="2"/>
  <c r="AB29" i="2"/>
  <c r="Z29" i="2"/>
  <c r="AC29" i="2"/>
  <c r="Y29" i="2"/>
  <c r="X29" i="2"/>
  <c r="AA29" i="2"/>
  <c r="AD29" i="2"/>
  <c r="AE29" i="2"/>
  <c r="L50" i="2"/>
  <c r="O50" i="2" s="1"/>
  <c r="R50" i="2" s="1"/>
  <c r="AB50" i="2"/>
  <c r="X50" i="2"/>
  <c r="Y50" i="2"/>
  <c r="Z50" i="2"/>
  <c r="AA50" i="2"/>
  <c r="AD50" i="2"/>
  <c r="AC50" i="2"/>
  <c r="AE50" i="2"/>
  <c r="AB44" i="2"/>
  <c r="AC44" i="2"/>
  <c r="AA44" i="2"/>
  <c r="AE44" i="2"/>
  <c r="Y44" i="2"/>
  <c r="X44" i="2"/>
  <c r="Z44" i="2"/>
  <c r="AD44" i="2"/>
  <c r="AB6" i="2"/>
  <c r="AE6" i="2"/>
  <c r="AD6" i="2"/>
  <c r="AA6" i="2"/>
  <c r="Z6" i="2"/>
  <c r="X6" i="2"/>
  <c r="Y6" i="2"/>
  <c r="AC6" i="2"/>
  <c r="AB8" i="2"/>
  <c r="X8" i="2"/>
  <c r="AE8" i="2"/>
  <c r="AD8" i="2"/>
  <c r="AA8" i="2"/>
  <c r="Y8" i="2"/>
  <c r="Z8" i="2"/>
  <c r="AC8" i="2"/>
  <c r="AB30" i="2"/>
  <c r="AD30" i="2"/>
  <c r="AC30" i="2"/>
  <c r="X30" i="2"/>
  <c r="Z30" i="2"/>
  <c r="Y30" i="2"/>
  <c r="AA30" i="2"/>
  <c r="AE30" i="2"/>
  <c r="AB17" i="2"/>
  <c r="Z17" i="2"/>
  <c r="AA17" i="2"/>
  <c r="AC17" i="2"/>
  <c r="Y17" i="2"/>
  <c r="AE17" i="2"/>
  <c r="X17" i="2"/>
  <c r="AD17" i="2"/>
  <c r="AB7" i="2"/>
  <c r="AD7" i="2"/>
  <c r="Z7" i="2"/>
  <c r="AA7" i="2"/>
  <c r="AE7" i="2"/>
  <c r="X7" i="2"/>
  <c r="AC7" i="2"/>
  <c r="Y7" i="2"/>
  <c r="L24" i="2"/>
  <c r="N24" i="2" s="1"/>
  <c r="AB24" i="2"/>
  <c r="AD24" i="2"/>
  <c r="Y24" i="2"/>
  <c r="AE24" i="2"/>
  <c r="X24" i="2"/>
  <c r="Z24" i="2"/>
  <c r="AA24" i="2"/>
  <c r="AC24" i="2"/>
  <c r="AB34" i="2"/>
  <c r="AD34" i="2"/>
  <c r="AE34" i="2"/>
  <c r="Y34" i="2"/>
  <c r="AA34" i="2"/>
  <c r="X34" i="2"/>
  <c r="Z34" i="2"/>
  <c r="AC34" i="2"/>
  <c r="L9" i="2"/>
  <c r="N9" i="2" s="1"/>
  <c r="AB9" i="2"/>
  <c r="AC9" i="2"/>
  <c r="AA9" i="2"/>
  <c r="AE9" i="2"/>
  <c r="X9" i="2"/>
  <c r="AD9" i="2"/>
  <c r="Y9" i="2"/>
  <c r="Z9" i="2"/>
  <c r="AB10" i="2"/>
  <c r="X10" i="2"/>
  <c r="AD10" i="2"/>
  <c r="AA10" i="2"/>
  <c r="Z10" i="2"/>
  <c r="AC10" i="2"/>
  <c r="Y10" i="2"/>
  <c r="AE10" i="2"/>
  <c r="AB16" i="2"/>
  <c r="AA16" i="2"/>
  <c r="AD16" i="2"/>
  <c r="AC16" i="2"/>
  <c r="X16" i="2"/>
  <c r="Y16" i="2"/>
  <c r="AE16" i="2"/>
  <c r="Z16" i="2"/>
  <c r="AB52" i="2"/>
  <c r="AD52" i="2"/>
  <c r="Z52" i="2"/>
  <c r="Y52" i="2"/>
  <c r="AA52" i="2"/>
  <c r="X52" i="2"/>
  <c r="AE52" i="2"/>
  <c r="AC52" i="2"/>
  <c r="AB13" i="2"/>
  <c r="Y13" i="2"/>
  <c r="AA13" i="2"/>
  <c r="Z13" i="2"/>
  <c r="AE13" i="2"/>
  <c r="X13" i="2"/>
  <c r="AD13" i="2"/>
  <c r="AC13" i="2"/>
  <c r="AB39" i="2"/>
  <c r="Z39" i="2"/>
  <c r="Y39" i="2"/>
  <c r="AD39" i="2"/>
  <c r="AC39" i="2"/>
  <c r="X39" i="2"/>
  <c r="AE39" i="2"/>
  <c r="AA39" i="2"/>
  <c r="AB25" i="2"/>
  <c r="AA25" i="2"/>
  <c r="Z25" i="2"/>
  <c r="AC25" i="2"/>
  <c r="X25" i="2"/>
  <c r="AD25" i="2"/>
  <c r="AE25" i="2"/>
  <c r="Y25" i="2"/>
  <c r="AB23" i="2"/>
  <c r="X23" i="2"/>
  <c r="AA23" i="2"/>
  <c r="AE23" i="2"/>
  <c r="Y23" i="2"/>
  <c r="AC23" i="2"/>
  <c r="Z23" i="2"/>
  <c r="AD23" i="2"/>
  <c r="AB35" i="2"/>
  <c r="AE35" i="2"/>
  <c r="Z35" i="2"/>
  <c r="AA35" i="2"/>
  <c r="X35" i="2"/>
  <c r="AD35" i="2"/>
  <c r="AC35" i="2"/>
  <c r="Y35" i="2"/>
  <c r="L49" i="2"/>
  <c r="M49" i="2" s="1"/>
  <c r="AB49" i="2"/>
  <c r="X49" i="2"/>
  <c r="AD49" i="2"/>
  <c r="AE49" i="2"/>
  <c r="Y49" i="2"/>
  <c r="AA49" i="2"/>
  <c r="Z49" i="2"/>
  <c r="AC49" i="2"/>
  <c r="L4" i="2"/>
  <c r="O4" i="2" s="1"/>
  <c r="AB4" i="2"/>
  <c r="AC4" i="2"/>
  <c r="Y4" i="2"/>
  <c r="Z4" i="2"/>
  <c r="AA4" i="2"/>
  <c r="AD4" i="2"/>
  <c r="X4" i="2"/>
  <c r="AE4" i="2"/>
  <c r="L20" i="2"/>
  <c r="M20" i="2" s="1"/>
  <c r="AB20" i="2"/>
  <c r="AE20" i="2"/>
  <c r="X20" i="2"/>
  <c r="AD20" i="2"/>
  <c r="Y20" i="2"/>
  <c r="AC20" i="2"/>
  <c r="Z20" i="2"/>
  <c r="AA20" i="2"/>
  <c r="AB19" i="2"/>
  <c r="AA19" i="2"/>
  <c r="X19" i="2"/>
  <c r="Z19" i="2"/>
  <c r="AD19" i="2"/>
  <c r="Y19" i="2"/>
  <c r="AE19" i="2"/>
  <c r="AC19" i="2"/>
  <c r="AB53" i="2"/>
  <c r="AE53" i="2"/>
  <c r="AC53" i="2"/>
  <c r="X53" i="2"/>
  <c r="AD53" i="2"/>
  <c r="Z53" i="2"/>
  <c r="AA53" i="2"/>
  <c r="Y53" i="2"/>
  <c r="AB38" i="2"/>
  <c r="X38" i="2"/>
  <c r="Y38" i="2"/>
  <c r="AA38" i="2"/>
  <c r="AC38" i="2"/>
  <c r="AD38" i="2"/>
  <c r="AE38" i="2"/>
  <c r="Z38" i="2"/>
  <c r="L27" i="2"/>
  <c r="M27" i="2" s="1"/>
  <c r="AB27" i="2"/>
  <c r="AD27" i="2"/>
  <c r="X27" i="2"/>
  <c r="AE27" i="2"/>
  <c r="Y27" i="2"/>
  <c r="Z27" i="2"/>
  <c r="AA27" i="2"/>
  <c r="AC27" i="2"/>
  <c r="AG32" i="2"/>
  <c r="P32" i="2"/>
  <c r="S32" i="2" s="1"/>
  <c r="R32" i="2"/>
  <c r="P60" i="2"/>
  <c r="S60" i="2" s="1"/>
  <c r="R60" i="2"/>
  <c r="N32" i="2"/>
  <c r="P28" i="2"/>
  <c r="S28" i="2" s="1"/>
  <c r="R28" i="2"/>
  <c r="P48" i="2"/>
  <c r="S48" i="2" s="1"/>
  <c r="R48" i="2"/>
  <c r="L16" i="2"/>
  <c r="M16" i="2" s="1"/>
  <c r="P58" i="2"/>
  <c r="S58" i="2" s="1"/>
  <c r="R58" i="2"/>
  <c r="P54" i="2"/>
  <c r="S54" i="2" s="1"/>
  <c r="R54" i="2"/>
  <c r="O3" i="2"/>
  <c r="R3" i="2" s="1"/>
  <c r="L52" i="2"/>
  <c r="M52" i="2" s="1"/>
  <c r="L19" i="2"/>
  <c r="L38" i="2"/>
  <c r="L26" i="2"/>
  <c r="N26" i="2" s="1"/>
  <c r="L37" i="2"/>
  <c r="N37" i="2" s="1"/>
  <c r="M32" i="2"/>
  <c r="Q28" i="2"/>
  <c r="T28" i="2" s="1"/>
  <c r="L6" i="2"/>
  <c r="L31" i="2"/>
  <c r="L44" i="2"/>
  <c r="N44" i="2" s="1"/>
  <c r="L34" i="2"/>
  <c r="L10" i="2"/>
  <c r="O10" i="2" s="1"/>
  <c r="L53" i="2"/>
  <c r="N53" i="2" s="1"/>
  <c r="L29" i="2"/>
  <c r="O29" i="2" s="1"/>
  <c r="R29" i="2" s="1"/>
  <c r="L7" i="2"/>
  <c r="AG21" i="2"/>
  <c r="Q32" i="2"/>
  <c r="T32" i="2" s="1"/>
  <c r="Q54" i="2"/>
  <c r="T54" i="2" s="1"/>
  <c r="Q48" i="2"/>
  <c r="T48" i="2" s="1"/>
  <c r="Q60" i="2"/>
  <c r="T60" i="2" s="1"/>
  <c r="AG12" i="2"/>
  <c r="AG51" i="2"/>
  <c r="O11" i="2"/>
  <c r="O12" i="2"/>
  <c r="P57" i="2"/>
  <c r="S57" i="2" s="1"/>
  <c r="Q57" i="2"/>
  <c r="T57" i="2" s="1"/>
  <c r="AG22" i="2"/>
  <c r="AG41" i="2"/>
  <c r="AG55" i="2"/>
  <c r="AG54" i="2"/>
  <c r="M11" i="2"/>
  <c r="M41" i="2"/>
  <c r="M12" i="2"/>
  <c r="AG14" i="2"/>
  <c r="AR14" i="2"/>
  <c r="N12" i="2"/>
  <c r="N41" i="2"/>
  <c r="L35" i="2"/>
  <c r="AR22" i="2"/>
  <c r="AR55" i="2"/>
  <c r="AR51" i="2"/>
  <c r="AR21" i="2"/>
  <c r="AR12" i="2"/>
  <c r="AR41" i="2"/>
  <c r="AR54" i="2"/>
  <c r="L17" i="2"/>
  <c r="L36" i="2"/>
  <c r="L33" i="2"/>
  <c r="L39" i="2"/>
  <c r="L46" i="2"/>
  <c r="L42" i="2"/>
  <c r="N42" i="2" s="1"/>
  <c r="L30" i="2"/>
  <c r="L8" i="2"/>
  <c r="L45" i="2"/>
  <c r="L47" i="2"/>
  <c r="L25" i="2"/>
  <c r="L23" i="2"/>
  <c r="L13" i="2"/>
  <c r="M14" i="2"/>
  <c r="N14" i="2"/>
  <c r="N18" i="2" l="1"/>
  <c r="N5" i="2"/>
  <c r="M9" i="2"/>
  <c r="N27" i="2"/>
  <c r="Q51" i="2"/>
  <c r="T51" i="2" s="1"/>
  <c r="N43" i="2"/>
  <c r="R51" i="2"/>
  <c r="O43" i="2"/>
  <c r="R43" i="2" s="1"/>
  <c r="N49" i="2"/>
  <c r="O27" i="2"/>
  <c r="R27" i="2" s="1"/>
  <c r="M18" i="2"/>
  <c r="N50" i="2"/>
  <c r="N4" i="2"/>
  <c r="M4" i="2"/>
  <c r="M50" i="2"/>
  <c r="M15" i="2"/>
  <c r="N20" i="2"/>
  <c r="M24" i="2"/>
  <c r="N52" i="2"/>
  <c r="R4" i="2"/>
  <c r="P4" i="2"/>
  <c r="S4" i="2" s="1"/>
  <c r="Q4" i="2"/>
  <c r="T4" i="2" s="1"/>
  <c r="AG10" i="2"/>
  <c r="M29" i="2"/>
  <c r="N16" i="2"/>
  <c r="O52" i="2"/>
  <c r="R52" i="2" s="1"/>
  <c r="AR52" i="2"/>
  <c r="AR10" i="2"/>
  <c r="AG16" i="2"/>
  <c r="P11" i="2"/>
  <c r="S11" i="2" s="1"/>
  <c r="R11" i="2"/>
  <c r="P12" i="2"/>
  <c r="S12" i="2" s="1"/>
  <c r="R12" i="2"/>
  <c r="AR16" i="2"/>
  <c r="AR25" i="2"/>
  <c r="P10" i="2"/>
  <c r="S10" i="2" s="1"/>
  <c r="R10" i="2"/>
  <c r="O53" i="2"/>
  <c r="Q53" i="2" s="1"/>
  <c r="T53" i="2" s="1"/>
  <c r="O26" i="2"/>
  <c r="P3" i="2"/>
  <c r="S3" i="2" s="1"/>
  <c r="Q3" i="2"/>
  <c r="T3" i="2" s="1"/>
  <c r="O22" i="2"/>
  <c r="R22" i="2" s="1"/>
  <c r="O44" i="2"/>
  <c r="O56" i="2"/>
  <c r="R56" i="2" s="1"/>
  <c r="O61" i="2"/>
  <c r="R61" i="2" s="1"/>
  <c r="O59" i="2"/>
  <c r="R59" i="2" s="1"/>
  <c r="O21" i="2"/>
  <c r="R21" i="2" s="1"/>
  <c r="AG53" i="2"/>
  <c r="AG52" i="2"/>
  <c r="M6" i="2"/>
  <c r="N34" i="2"/>
  <c r="M38" i="2"/>
  <c r="M19" i="2"/>
  <c r="O37" i="2"/>
  <c r="M37" i="2"/>
  <c r="N19" i="2"/>
  <c r="N38" i="2"/>
  <c r="AG34" i="2"/>
  <c r="M7" i="2"/>
  <c r="M26" i="2"/>
  <c r="N10" i="2"/>
  <c r="AR28" i="2"/>
  <c r="AG38" i="2"/>
  <c r="M44" i="2"/>
  <c r="AR38" i="2"/>
  <c r="M10" i="2"/>
  <c r="AR53" i="2"/>
  <c r="AG50" i="2"/>
  <c r="N6" i="2"/>
  <c r="M34" i="2"/>
  <c r="M31" i="2"/>
  <c r="N29" i="2"/>
  <c r="M53" i="2"/>
  <c r="Q10" i="2"/>
  <c r="T10" i="2" s="1"/>
  <c r="O31" i="2"/>
  <c r="AG26" i="2"/>
  <c r="AG6" i="2"/>
  <c r="AR7" i="2"/>
  <c r="AG37" i="2"/>
  <c r="AR34" i="2"/>
  <c r="AG44" i="2"/>
  <c r="AG31" i="2"/>
  <c r="AR50" i="2"/>
  <c r="N7" i="2"/>
  <c r="AR44" i="2"/>
  <c r="AR6" i="2"/>
  <c r="Q12" i="2"/>
  <c r="T12" i="2" s="1"/>
  <c r="Q11" i="2"/>
  <c r="T11" i="2" s="1"/>
  <c r="AR26" i="2"/>
  <c r="AR37" i="2"/>
  <c r="AR31" i="2"/>
  <c r="O7" i="2"/>
  <c r="AG7" i="2"/>
  <c r="O35" i="2"/>
  <c r="O39" i="2"/>
  <c r="R39" i="2" s="1"/>
  <c r="O36" i="2"/>
  <c r="R36" i="2" s="1"/>
  <c r="O25" i="2"/>
  <c r="R25" i="2" s="1"/>
  <c r="O42" i="2"/>
  <c r="P18" i="2"/>
  <c r="S18" i="2" s="1"/>
  <c r="Q18" i="2"/>
  <c r="T18" i="2" s="1"/>
  <c r="P29" i="2"/>
  <c r="S29" i="2" s="1"/>
  <c r="Q29" i="2"/>
  <c r="T29" i="2" s="1"/>
  <c r="P50" i="2"/>
  <c r="S50" i="2" s="1"/>
  <c r="Q50" i="2"/>
  <c r="T50" i="2" s="1"/>
  <c r="AG36" i="2"/>
  <c r="AG47" i="2"/>
  <c r="AG27" i="2"/>
  <c r="AG39" i="2"/>
  <c r="AG35" i="2"/>
  <c r="AG15" i="2"/>
  <c r="AG30" i="2"/>
  <c r="AG9" i="2"/>
  <c r="AG18" i="2"/>
  <c r="AG4" i="2"/>
  <c r="N35" i="2"/>
  <c r="AM15" i="2"/>
  <c r="AM36" i="2"/>
  <c r="AM27" i="2"/>
  <c r="AG5" i="2"/>
  <c r="AG20" i="2"/>
  <c r="AG48" i="2"/>
  <c r="AG43" i="2"/>
  <c r="AG29" i="2"/>
  <c r="AG42" i="2"/>
  <c r="AG45" i="2"/>
  <c r="AG33" i="2"/>
  <c r="AG24" i="2"/>
  <c r="AG19" i="2"/>
  <c r="AM49" i="2"/>
  <c r="AG49" i="2"/>
  <c r="AJ4" i="2"/>
  <c r="AM13" i="2"/>
  <c r="AM8" i="2"/>
  <c r="AO25" i="2"/>
  <c r="AG13" i="2"/>
  <c r="AG46" i="2"/>
  <c r="AP18" i="2"/>
  <c r="AG23" i="2"/>
  <c r="AM43" i="2"/>
  <c r="AM29" i="2"/>
  <c r="AM42" i="2"/>
  <c r="AM45" i="2"/>
  <c r="AM33" i="2"/>
  <c r="AM24" i="2"/>
  <c r="AN8" i="2"/>
  <c r="AM19" i="2"/>
  <c r="AG28" i="2"/>
  <c r="AO19" i="2"/>
  <c r="AG11" i="2"/>
  <c r="AO28" i="2"/>
  <c r="AJ49" i="2"/>
  <c r="AI28" i="2"/>
  <c r="AG17" i="2"/>
  <c r="AL33" i="2"/>
  <c r="AM7" i="2"/>
  <c r="AM25" i="2"/>
  <c r="AL25" i="2"/>
  <c r="AO18" i="2"/>
  <c r="AO17" i="2"/>
  <c r="AG8" i="2"/>
  <c r="AO8" i="2"/>
  <c r="AJ46" i="2"/>
  <c r="AG25" i="2"/>
  <c r="AR18" i="2"/>
  <c r="AR17" i="2"/>
  <c r="AR8" i="2"/>
  <c r="AR19" i="2"/>
  <c r="AR13" i="2"/>
  <c r="AR46" i="2"/>
  <c r="AR23" i="2"/>
  <c r="AR49" i="2"/>
  <c r="AI49" i="2"/>
  <c r="AR11" i="2"/>
  <c r="M35" i="2"/>
  <c r="AR4" i="2"/>
  <c r="AR5" i="2"/>
  <c r="AR20" i="2"/>
  <c r="AR48" i="2"/>
  <c r="AR43" i="2"/>
  <c r="AR29" i="2"/>
  <c r="AR42" i="2"/>
  <c r="AR45" i="2"/>
  <c r="AR33" i="2"/>
  <c r="AR24" i="2"/>
  <c r="AR36" i="2"/>
  <c r="AR47" i="2"/>
  <c r="AR27" i="2"/>
  <c r="AR39" i="2"/>
  <c r="AR35" i="2"/>
  <c r="AR15" i="2"/>
  <c r="AR30" i="2"/>
  <c r="AR9" i="2"/>
  <c r="M17" i="2"/>
  <c r="N17" i="2"/>
  <c r="M36" i="2"/>
  <c r="M23" i="2"/>
  <c r="N23" i="2"/>
  <c r="M25" i="2"/>
  <c r="N25" i="2"/>
  <c r="M47" i="2"/>
  <c r="N47" i="2"/>
  <c r="M45" i="2"/>
  <c r="N45" i="2"/>
  <c r="M8" i="2"/>
  <c r="N8" i="2"/>
  <c r="M30" i="2"/>
  <c r="N30" i="2"/>
  <c r="M42" i="2"/>
  <c r="M46" i="2"/>
  <c r="N46" i="2"/>
  <c r="M39" i="2"/>
  <c r="N39" i="2"/>
  <c r="M33" i="2"/>
  <c r="N33" i="2"/>
  <c r="M13" i="2"/>
  <c r="N13" i="2"/>
  <c r="P43" i="2" l="1"/>
  <c r="S43" i="2" s="1"/>
  <c r="Q43" i="2"/>
  <c r="T43" i="2" s="1"/>
  <c r="P27" i="2"/>
  <c r="S27" i="2" s="1"/>
  <c r="Q27" i="2"/>
  <c r="T27" i="2" s="1"/>
  <c r="Q52" i="2"/>
  <c r="T52" i="2" s="1"/>
  <c r="P52" i="2"/>
  <c r="S52" i="2" s="1"/>
  <c r="P26" i="2"/>
  <c r="S26" i="2" s="1"/>
  <c r="R26" i="2"/>
  <c r="P37" i="2"/>
  <c r="S37" i="2" s="1"/>
  <c r="R37" i="2"/>
  <c r="Q42" i="2"/>
  <c r="T42" i="2" s="1"/>
  <c r="R42" i="2"/>
  <c r="Q26" i="2"/>
  <c r="T26" i="2" s="1"/>
  <c r="Q35" i="2"/>
  <c r="T35" i="2" s="1"/>
  <c r="R35" i="2"/>
  <c r="Q7" i="2"/>
  <c r="T7" i="2" s="1"/>
  <c r="R7" i="2"/>
  <c r="P53" i="2"/>
  <c r="S53" i="2" s="1"/>
  <c r="R53" i="2"/>
  <c r="Q31" i="2"/>
  <c r="T31" i="2" s="1"/>
  <c r="R31" i="2"/>
  <c r="Q44" i="2"/>
  <c r="T44" i="2" s="1"/>
  <c r="R44" i="2"/>
  <c r="P44" i="2"/>
  <c r="S44" i="2" s="1"/>
  <c r="Q37" i="2"/>
  <c r="T37" i="2" s="1"/>
  <c r="P7" i="2"/>
  <c r="S7" i="2" s="1"/>
  <c r="P21" i="2"/>
  <c r="S21" i="2" s="1"/>
  <c r="Q21" i="2"/>
  <c r="T21" i="2" s="1"/>
  <c r="P59" i="2"/>
  <c r="S59" i="2" s="1"/>
  <c r="Q59" i="2"/>
  <c r="T59" i="2" s="1"/>
  <c r="P61" i="2"/>
  <c r="S61" i="2" s="1"/>
  <c r="Q61" i="2"/>
  <c r="T61" i="2" s="1"/>
  <c r="P56" i="2"/>
  <c r="S56" i="2" s="1"/>
  <c r="Q56" i="2"/>
  <c r="T56" i="2" s="1"/>
  <c r="O16" i="2"/>
  <c r="R16" i="2" s="1"/>
  <c r="P22" i="2"/>
  <c r="S22" i="2" s="1"/>
  <c r="Q22" i="2"/>
  <c r="T22" i="2" s="1"/>
  <c r="O5" i="2"/>
  <c r="R5" i="2" s="1"/>
  <c r="O15" i="2"/>
  <c r="R15" i="2" s="1"/>
  <c r="O14" i="2"/>
  <c r="R14" i="2" s="1"/>
  <c r="O20" i="2"/>
  <c r="R20" i="2" s="1"/>
  <c r="O24" i="2"/>
  <c r="R24" i="2" s="1"/>
  <c r="O9" i="2"/>
  <c r="O41" i="2"/>
  <c r="R41" i="2" s="1"/>
  <c r="O49" i="2"/>
  <c r="R49" i="2" s="1"/>
  <c r="P35" i="2"/>
  <c r="S35" i="2" s="1"/>
  <c r="P31" i="2"/>
  <c r="S31" i="2" s="1"/>
  <c r="AI9" i="2"/>
  <c r="AI30" i="2"/>
  <c r="AI15" i="2"/>
  <c r="AI35" i="2"/>
  <c r="AI39" i="2"/>
  <c r="AI27" i="2"/>
  <c r="AI47" i="2"/>
  <c r="AI36" i="2"/>
  <c r="AI24" i="2"/>
  <c r="AI33" i="2"/>
  <c r="AI45" i="2"/>
  <c r="AI42" i="2"/>
  <c r="AI29" i="2"/>
  <c r="AI43" i="2"/>
  <c r="AI48" i="2"/>
  <c r="AI20" i="2"/>
  <c r="AI5" i="2"/>
  <c r="AI4" i="2"/>
  <c r="AN25" i="2"/>
  <c r="AM4" i="2"/>
  <c r="AJ18" i="2"/>
  <c r="AO46" i="2"/>
  <c r="AM17" i="2"/>
  <c r="AM18" i="2"/>
  <c r="AK24" i="2"/>
  <c r="AM9" i="2"/>
  <c r="AK29" i="2"/>
  <c r="AM30" i="2"/>
  <c r="AM23" i="2"/>
  <c r="AM35" i="2"/>
  <c r="AM39" i="2"/>
  <c r="AM48" i="2"/>
  <c r="AM20" i="2"/>
  <c r="AM5" i="2"/>
  <c r="AM47" i="2"/>
  <c r="AJ33" i="2"/>
  <c r="AJ42" i="2"/>
  <c r="AN18" i="2"/>
  <c r="AN17" i="2"/>
  <c r="AN19" i="2"/>
  <c r="AN45" i="2"/>
  <c r="AP46" i="2"/>
  <c r="AP23" i="2"/>
  <c r="AO13" i="2"/>
  <c r="AK13" i="2"/>
  <c r="AK11" i="2"/>
  <c r="AJ28" i="2"/>
  <c r="AJ8" i="2"/>
  <c r="AJ24" i="2"/>
  <c r="AP33" i="2"/>
  <c r="AO45" i="2"/>
  <c r="AK42" i="2"/>
  <c r="AO30" i="2"/>
  <c r="AO43" i="2"/>
  <c r="AN9" i="2"/>
  <c r="AO23" i="2"/>
  <c r="AP19" i="2"/>
  <c r="AP29" i="2"/>
  <c r="P42" i="2"/>
  <c r="S42" i="2" s="1"/>
  <c r="P25" i="2"/>
  <c r="S25" i="2" s="1"/>
  <c r="Q25" i="2"/>
  <c r="T25" i="2" s="1"/>
  <c r="P36" i="2"/>
  <c r="S36" i="2" s="1"/>
  <c r="Q36" i="2"/>
  <c r="T36" i="2" s="1"/>
  <c r="P39" i="2"/>
  <c r="S39" i="2" s="1"/>
  <c r="Q39" i="2"/>
  <c r="T39" i="2" s="1"/>
  <c r="AN49" i="2"/>
  <c r="AN11" i="2"/>
  <c r="AP17" i="2"/>
  <c r="AP49" i="2"/>
  <c r="AP8" i="2"/>
  <c r="AP45" i="2"/>
  <c r="AP43" i="2"/>
  <c r="AK46" i="2"/>
  <c r="AK18" i="2"/>
  <c r="AK23" i="2"/>
  <c r="AL18" i="2"/>
  <c r="AL24" i="2"/>
  <c r="AI11" i="2"/>
  <c r="AL14" i="2"/>
  <c r="AL53" i="2"/>
  <c r="AL3" i="2"/>
  <c r="AL61" i="2"/>
  <c r="AL60" i="2"/>
  <c r="AL59" i="2"/>
  <c r="AL56" i="2"/>
  <c r="AL58" i="2"/>
  <c r="AL57" i="2"/>
  <c r="AL41" i="2"/>
  <c r="AL21" i="2"/>
  <c r="AL22" i="2"/>
  <c r="AL31" i="2"/>
  <c r="AL38" i="2"/>
  <c r="AL6" i="2"/>
  <c r="AL55" i="2"/>
  <c r="AL54" i="2"/>
  <c r="AL50" i="2"/>
  <c r="AL16" i="2"/>
  <c r="AL34" i="2"/>
  <c r="AL37" i="2"/>
  <c r="AL44" i="2"/>
  <c r="AL52" i="2"/>
  <c r="AL28" i="2"/>
  <c r="AL12" i="2"/>
  <c r="AL7" i="2"/>
  <c r="AL51" i="2"/>
  <c r="AL10" i="2"/>
  <c r="AL26" i="2"/>
  <c r="AI14" i="2"/>
  <c r="AI53" i="2"/>
  <c r="AI58" i="2"/>
  <c r="AI56" i="2"/>
  <c r="AI60" i="2"/>
  <c r="AI57" i="2"/>
  <c r="AI59" i="2"/>
  <c r="AI61" i="2"/>
  <c r="AI52" i="2"/>
  <c r="AI22" i="2"/>
  <c r="AI23" i="2"/>
  <c r="AI17" i="2"/>
  <c r="AI18" i="2"/>
  <c r="AI31" i="2"/>
  <c r="AI55" i="2"/>
  <c r="AI51" i="2"/>
  <c r="AI25" i="2"/>
  <c r="AI7" i="2"/>
  <c r="AI6" i="2"/>
  <c r="AI44" i="2"/>
  <c r="AI34" i="2"/>
  <c r="AI12" i="2"/>
  <c r="AI50" i="2"/>
  <c r="AI13" i="2"/>
  <c r="AI38" i="2"/>
  <c r="AI21" i="2"/>
  <c r="AI46" i="2"/>
  <c r="AI10" i="2"/>
  <c r="AI41" i="2"/>
  <c r="AI8" i="2"/>
  <c r="AI37" i="2"/>
  <c r="AI16" i="2"/>
  <c r="AI26" i="2"/>
  <c r="AI54" i="2"/>
  <c r="K31" i="1"/>
  <c r="AL49" i="2"/>
  <c r="AL11" i="2"/>
  <c r="AL9" i="2"/>
  <c r="AP55" i="2"/>
  <c r="AP51" i="2"/>
  <c r="AP14" i="2"/>
  <c r="AP53" i="2"/>
  <c r="AP3" i="2"/>
  <c r="AP58" i="2"/>
  <c r="AP59" i="2"/>
  <c r="AP60" i="2"/>
  <c r="AP57" i="2"/>
  <c r="AP61" i="2"/>
  <c r="AP56" i="2"/>
  <c r="AP37" i="2"/>
  <c r="AP12" i="2"/>
  <c r="AP34" i="2"/>
  <c r="AP52" i="2"/>
  <c r="AP7" i="2"/>
  <c r="AP10" i="2"/>
  <c r="AP21" i="2"/>
  <c r="AP26" i="2"/>
  <c r="AP54" i="2"/>
  <c r="AP16" i="2"/>
  <c r="AP6" i="2"/>
  <c r="AP41" i="2"/>
  <c r="AP31" i="2"/>
  <c r="AP38" i="2"/>
  <c r="AP22" i="2"/>
  <c r="AP50" i="2"/>
  <c r="AP44" i="2"/>
  <c r="AN14" i="2"/>
  <c r="AN53" i="2"/>
  <c r="AN3" i="2"/>
  <c r="AN61" i="2"/>
  <c r="AN56" i="2"/>
  <c r="AN57" i="2"/>
  <c r="AN59" i="2"/>
  <c r="AN58" i="2"/>
  <c r="AN60" i="2"/>
  <c r="AN12" i="2"/>
  <c r="AN16" i="2"/>
  <c r="AN6" i="2"/>
  <c r="AN52" i="2"/>
  <c r="AN37" i="2"/>
  <c r="AN34" i="2"/>
  <c r="AN51" i="2"/>
  <c r="AN26" i="2"/>
  <c r="AN44" i="2"/>
  <c r="AN13" i="2"/>
  <c r="AN22" i="2"/>
  <c r="AN21" i="2"/>
  <c r="AN31" i="2"/>
  <c r="AN7" i="2"/>
  <c r="AN41" i="2"/>
  <c r="AN50" i="2"/>
  <c r="AN10" i="2"/>
  <c r="AN38" i="2"/>
  <c r="AN54" i="2"/>
  <c r="AN55" i="2"/>
  <c r="AN23" i="2"/>
  <c r="AO14" i="2"/>
  <c r="AO53" i="2"/>
  <c r="AO3" i="2"/>
  <c r="AO58" i="2"/>
  <c r="AO61" i="2"/>
  <c r="AO59" i="2"/>
  <c r="AO60" i="2"/>
  <c r="AO56" i="2"/>
  <c r="AO57" i="2"/>
  <c r="AO10" i="2"/>
  <c r="AO6" i="2"/>
  <c r="AO31" i="2"/>
  <c r="AO12" i="2"/>
  <c r="AO41" i="2"/>
  <c r="AO38" i="2"/>
  <c r="AO51" i="2"/>
  <c r="AO26" i="2"/>
  <c r="AO44" i="2"/>
  <c r="AO54" i="2"/>
  <c r="AO11" i="2"/>
  <c r="AO37" i="2"/>
  <c r="AO16" i="2"/>
  <c r="AO34" i="2"/>
  <c r="AO21" i="2"/>
  <c r="AO55" i="2"/>
  <c r="AO52" i="2"/>
  <c r="AO50" i="2"/>
  <c r="AO22" i="2"/>
  <c r="AO7" i="2"/>
  <c r="AJ13" i="2"/>
  <c r="AP25" i="2"/>
  <c r="AL13" i="2"/>
  <c r="AN46" i="2"/>
  <c r="AJ17" i="2"/>
  <c r="AJ25" i="2"/>
  <c r="AO49" i="2"/>
  <c r="AN28" i="2"/>
  <c r="AP11" i="2"/>
  <c r="AI19" i="2"/>
  <c r="AJ19" i="2"/>
  <c r="AO24" i="2"/>
  <c r="AP24" i="2"/>
  <c r="AO33" i="2"/>
  <c r="AN33" i="2"/>
  <c r="AJ45" i="2"/>
  <c r="AL45" i="2"/>
  <c r="AP9" i="2"/>
  <c r="AK9" i="2"/>
  <c r="AN42" i="2"/>
  <c r="AO29" i="2"/>
  <c r="AJ30" i="2"/>
  <c r="AN30" i="2"/>
  <c r="AK43" i="2"/>
  <c r="AJ43" i="2"/>
  <c r="AN15" i="2"/>
  <c r="AL15" i="2"/>
  <c r="AO35" i="2"/>
  <c r="AL39" i="2"/>
  <c r="AP39" i="2"/>
  <c r="AL48" i="2"/>
  <c r="AJ20" i="2"/>
  <c r="AL27" i="2"/>
  <c r="AJ27" i="2"/>
  <c r="AN39" i="2"/>
  <c r="AP48" i="2"/>
  <c r="AP20" i="2"/>
  <c r="AO27" i="2"/>
  <c r="AN5" i="2"/>
  <c r="AL5" i="2"/>
  <c r="AL47" i="2"/>
  <c r="AJ36" i="2"/>
  <c r="AL4" i="2"/>
  <c r="AO4" i="2"/>
  <c r="AK15" i="2"/>
  <c r="AJ35" i="2"/>
  <c r="AO5" i="2"/>
  <c r="AO47" i="2"/>
  <c r="AN47" i="2"/>
  <c r="AO36" i="2"/>
  <c r="AN36" i="2"/>
  <c r="AL42" i="2"/>
  <c r="AL29" i="2"/>
  <c r="AL30" i="2"/>
  <c r="AL23" i="2"/>
  <c r="AL17" i="2"/>
  <c r="AP13" i="2"/>
  <c r="AJ53" i="2"/>
  <c r="AJ58" i="2"/>
  <c r="AJ14" i="2"/>
  <c r="AJ3" i="2"/>
  <c r="AJ61" i="2"/>
  <c r="AJ59" i="2"/>
  <c r="AJ57" i="2"/>
  <c r="AJ56" i="2"/>
  <c r="AJ60" i="2"/>
  <c r="AJ23" i="2"/>
  <c r="AJ6" i="2"/>
  <c r="AJ12" i="2"/>
  <c r="AJ44" i="2"/>
  <c r="AJ34" i="2"/>
  <c r="AJ7" i="2"/>
  <c r="AJ50" i="2"/>
  <c r="AJ31" i="2"/>
  <c r="AJ21" i="2"/>
  <c r="AJ10" i="2"/>
  <c r="AJ22" i="2"/>
  <c r="AJ38" i="2"/>
  <c r="AJ55" i="2"/>
  <c r="AJ54" i="2"/>
  <c r="AJ52" i="2"/>
  <c r="AJ37" i="2"/>
  <c r="AJ16" i="2"/>
  <c r="AJ41" i="2"/>
  <c r="AJ51" i="2"/>
  <c r="AJ26" i="2"/>
  <c r="AK14" i="2"/>
  <c r="AK53" i="2"/>
  <c r="AK3" i="2"/>
  <c r="AK61" i="2"/>
  <c r="AK56" i="2"/>
  <c r="AK58" i="2"/>
  <c r="AK60" i="2"/>
  <c r="AK57" i="2"/>
  <c r="AK59" i="2"/>
  <c r="AK17" i="2"/>
  <c r="AK34" i="2"/>
  <c r="AK10" i="2"/>
  <c r="AK44" i="2"/>
  <c r="AK50" i="2"/>
  <c r="AK22" i="2"/>
  <c r="AK26" i="2"/>
  <c r="AK54" i="2"/>
  <c r="AK55" i="2"/>
  <c r="AK51" i="2"/>
  <c r="AK8" i="2"/>
  <c r="AK7" i="2"/>
  <c r="AK38" i="2"/>
  <c r="AK21" i="2"/>
  <c r="AK16" i="2"/>
  <c r="AK31" i="2"/>
  <c r="AK41" i="2"/>
  <c r="AK6" i="2"/>
  <c r="AK12" i="2"/>
  <c r="AK28" i="2"/>
  <c r="AK37" i="2"/>
  <c r="AK19" i="2"/>
  <c r="AK52" i="2"/>
  <c r="AL46" i="2"/>
  <c r="AK25" i="2"/>
  <c r="AK49" i="2"/>
  <c r="AP28" i="2"/>
  <c r="AJ11" i="2"/>
  <c r="AL8" i="2"/>
  <c r="AL19" i="2"/>
  <c r="AN24" i="2"/>
  <c r="AK33" i="2"/>
  <c r="AK45" i="2"/>
  <c r="AO9" i="2"/>
  <c r="AJ9" i="2"/>
  <c r="AP42" i="2"/>
  <c r="AO42" i="2"/>
  <c r="AJ29" i="2"/>
  <c r="AN29" i="2"/>
  <c r="AK30" i="2"/>
  <c r="AP30" i="2"/>
  <c r="AL43" i="2"/>
  <c r="AO15" i="2"/>
  <c r="AP15" i="2"/>
  <c r="AP35" i="2"/>
  <c r="AK35" i="2"/>
  <c r="AJ39" i="2"/>
  <c r="AO39" i="2"/>
  <c r="AK48" i="2"/>
  <c r="AO48" i="2"/>
  <c r="AN20" i="2"/>
  <c r="AK20" i="2"/>
  <c r="AP27" i="2"/>
  <c r="AN27" i="2"/>
  <c r="AK39" i="2"/>
  <c r="AJ48" i="2"/>
  <c r="AN48" i="2"/>
  <c r="AO20" i="2"/>
  <c r="AL20" i="2"/>
  <c r="AK27" i="2"/>
  <c r="AJ5" i="2"/>
  <c r="AJ47" i="2"/>
  <c r="AL36" i="2"/>
  <c r="AP4" i="2"/>
  <c r="AK4" i="2"/>
  <c r="AN43" i="2"/>
  <c r="AJ15" i="2"/>
  <c r="AL35" i="2"/>
  <c r="AN35" i="2"/>
  <c r="AK5" i="2"/>
  <c r="AP5" i="2"/>
  <c r="AP47" i="2"/>
  <c r="AK47" i="2"/>
  <c r="AP36" i="2"/>
  <c r="AK36" i="2"/>
  <c r="AM14" i="2"/>
  <c r="AM53" i="2"/>
  <c r="AM3" i="2"/>
  <c r="AM21" i="2"/>
  <c r="AM61" i="2"/>
  <c r="AM56" i="2"/>
  <c r="AM59" i="2"/>
  <c r="AM12" i="2"/>
  <c r="AM37" i="2"/>
  <c r="AM41" i="2"/>
  <c r="AM34" i="2"/>
  <c r="AM58" i="2"/>
  <c r="AM44" i="2"/>
  <c r="AM57" i="2"/>
  <c r="AM52" i="2"/>
  <c r="AM38" i="2"/>
  <c r="AM60" i="2"/>
  <c r="AM46" i="2"/>
  <c r="AM55" i="2"/>
  <c r="AM11" i="2"/>
  <c r="AM10" i="2"/>
  <c r="AM50" i="2"/>
  <c r="AM6" i="2"/>
  <c r="AM51" i="2"/>
  <c r="AM26" i="2"/>
  <c r="AM28" i="2"/>
  <c r="AM31" i="2"/>
  <c r="AM16" i="2"/>
  <c r="AM54" i="2"/>
  <c r="AM22" i="2"/>
  <c r="AN4" i="2"/>
  <c r="R9" i="2" l="1"/>
  <c r="P9" i="2"/>
  <c r="S9" i="2" s="1"/>
  <c r="Q49" i="2"/>
  <c r="T49" i="2" s="1"/>
  <c r="P49" i="2"/>
  <c r="S49" i="2" s="1"/>
  <c r="Q24" i="2"/>
  <c r="T24" i="2" s="1"/>
  <c r="P24" i="2"/>
  <c r="S24" i="2" s="1"/>
  <c r="O6" i="2"/>
  <c r="R6" i="2" s="1"/>
  <c r="P14" i="2"/>
  <c r="S14" i="2" s="1"/>
  <c r="Q14" i="2"/>
  <c r="T14" i="2" s="1"/>
  <c r="Q5" i="2"/>
  <c r="T5" i="2" s="1"/>
  <c r="P5" i="2"/>
  <c r="S5" i="2" s="1"/>
  <c r="O19" i="2"/>
  <c r="R19" i="2" s="1"/>
  <c r="O38" i="2"/>
  <c r="R38" i="2" s="1"/>
  <c r="O23" i="2"/>
  <c r="R23" i="2" s="1"/>
  <c r="O47" i="2"/>
  <c r="R47" i="2" s="1"/>
  <c r="O45" i="2"/>
  <c r="R45" i="2" s="1"/>
  <c r="O8" i="2"/>
  <c r="R8" i="2" s="1"/>
  <c r="O30" i="2"/>
  <c r="R30" i="2" s="1"/>
  <c r="P41" i="2"/>
  <c r="S41" i="2" s="1"/>
  <c r="Q41" i="2"/>
  <c r="T41" i="2" s="1"/>
  <c r="Q9" i="2"/>
  <c r="T9" i="2" s="1"/>
  <c r="Q20" i="2"/>
  <c r="T20" i="2" s="1"/>
  <c r="P20" i="2"/>
  <c r="S20" i="2" s="1"/>
  <c r="O46" i="2"/>
  <c r="R46" i="2" s="1"/>
  <c r="O33" i="2"/>
  <c r="R33" i="2" s="1"/>
  <c r="O13" i="2"/>
  <c r="R13" i="2" s="1"/>
  <c r="Q15" i="2"/>
  <c r="T15" i="2" s="1"/>
  <c r="P15" i="2"/>
  <c r="S15" i="2" s="1"/>
  <c r="P16" i="2"/>
  <c r="S16" i="2" s="1"/>
  <c r="Q16" i="2"/>
  <c r="T16" i="2" s="1"/>
  <c r="O34" i="2"/>
  <c r="R34" i="2" s="1"/>
  <c r="O17" i="2"/>
  <c r="R17" i="2" s="1"/>
  <c r="AS9" i="2"/>
  <c r="AT9" i="2" s="1"/>
  <c r="L8" i="1" s="1"/>
  <c r="M8" i="1" s="1"/>
  <c r="N8" i="1" s="1"/>
  <c r="AS3" i="2"/>
  <c r="AT3" i="2" s="1"/>
  <c r="L2" i="1" s="1"/>
  <c r="M2" i="1" s="1"/>
  <c r="N2" i="1" s="1"/>
  <c r="AS13" i="2"/>
  <c r="K12" i="1" s="1"/>
  <c r="AS17" i="2"/>
  <c r="K16" i="1" s="1"/>
  <c r="AS49" i="2"/>
  <c r="AS18" i="2"/>
  <c r="K17" i="1" s="1"/>
  <c r="AS46" i="2"/>
  <c r="AS11" i="2"/>
  <c r="K10" i="1" s="1"/>
  <c r="AS8" i="2"/>
  <c r="K7" i="1" s="1"/>
  <c r="AS23" i="2"/>
  <c r="K22" i="1" s="1"/>
  <c r="AS20" i="2"/>
  <c r="K19" i="1" s="1"/>
  <c r="AS48" i="2"/>
  <c r="AS43" i="2"/>
  <c r="AS45" i="2"/>
  <c r="AS24" i="2"/>
  <c r="K23" i="1" s="1"/>
  <c r="AS47" i="2"/>
  <c r="AS27" i="2"/>
  <c r="K26" i="1" s="1"/>
  <c r="AS35" i="2"/>
  <c r="K34" i="1" s="1"/>
  <c r="AS30" i="2"/>
  <c r="K29" i="1" s="1"/>
  <c r="AS57" i="2"/>
  <c r="AS52" i="2"/>
  <c r="AS58" i="2"/>
  <c r="AS59" i="2"/>
  <c r="AS56" i="2"/>
  <c r="AS61" i="2"/>
  <c r="AS60" i="2"/>
  <c r="AS26" i="2"/>
  <c r="K25" i="1" s="1"/>
  <c r="AS38" i="2"/>
  <c r="K37" i="1" s="1"/>
  <c r="AS50" i="2"/>
  <c r="AS31" i="2"/>
  <c r="K30" i="1" s="1"/>
  <c r="AS16" i="2"/>
  <c r="K15" i="1" s="1"/>
  <c r="AS21" i="2"/>
  <c r="K20" i="1" s="1"/>
  <c r="AS51" i="2"/>
  <c r="AS22" i="2"/>
  <c r="K21" i="1" s="1"/>
  <c r="AS7" i="2"/>
  <c r="K6" i="1" s="1"/>
  <c r="AS53" i="2"/>
  <c r="AS14" i="2"/>
  <c r="AS28" i="2"/>
  <c r="K27" i="1" s="1"/>
  <c r="AS12" i="2"/>
  <c r="K11" i="1" s="1"/>
  <c r="AS25" i="2"/>
  <c r="K24" i="1" s="1"/>
  <c r="AS54" i="2"/>
  <c r="AS37" i="2"/>
  <c r="K36" i="1" s="1"/>
  <c r="AS41" i="2"/>
  <c r="K40" i="1" s="1"/>
  <c r="AS10" i="2"/>
  <c r="K9" i="1" s="1"/>
  <c r="AS55" i="2"/>
  <c r="AS34" i="2"/>
  <c r="K33" i="1" s="1"/>
  <c r="AS44" i="2"/>
  <c r="AS6" i="2"/>
  <c r="K5" i="1" s="1"/>
  <c r="AS19" i="2"/>
  <c r="K18" i="1" s="1"/>
  <c r="AS4" i="2"/>
  <c r="K3" i="1" s="1"/>
  <c r="AS5" i="2"/>
  <c r="K4" i="1" s="1"/>
  <c r="AS29" i="2"/>
  <c r="K28" i="1" s="1"/>
  <c r="AS42" i="2"/>
  <c r="AS33" i="2"/>
  <c r="K32" i="1" s="1"/>
  <c r="AS36" i="2"/>
  <c r="K35" i="1" s="1"/>
  <c r="AS39" i="2"/>
  <c r="K38" i="1" s="1"/>
  <c r="AS15" i="2"/>
  <c r="K14" i="1" s="1"/>
  <c r="AT57" i="2" l="1"/>
  <c r="K8" i="1"/>
  <c r="P13" i="2"/>
  <c r="S13" i="2" s="1"/>
  <c r="Q13" i="2"/>
  <c r="T13" i="2" s="1"/>
  <c r="P46" i="2"/>
  <c r="S46" i="2" s="1"/>
  <c r="Q46" i="2"/>
  <c r="T46" i="2" s="1"/>
  <c r="Q45" i="2"/>
  <c r="T45" i="2" s="1"/>
  <c r="P45" i="2"/>
  <c r="S45" i="2" s="1"/>
  <c r="P47" i="2"/>
  <c r="S47" i="2" s="1"/>
  <c r="Q47" i="2"/>
  <c r="T47" i="2" s="1"/>
  <c r="P23" i="2"/>
  <c r="S23" i="2" s="1"/>
  <c r="Q23" i="2"/>
  <c r="T23" i="2" s="1"/>
  <c r="P38" i="2"/>
  <c r="S38" i="2" s="1"/>
  <c r="Q38" i="2"/>
  <c r="T38" i="2" s="1"/>
  <c r="Q6" i="2"/>
  <c r="T6" i="2" s="1"/>
  <c r="P6" i="2"/>
  <c r="S6" i="2" s="1"/>
  <c r="P17" i="2"/>
  <c r="S17" i="2" s="1"/>
  <c r="Q17" i="2"/>
  <c r="T17" i="2" s="1"/>
  <c r="P34" i="2"/>
  <c r="S34" i="2" s="1"/>
  <c r="Q34" i="2"/>
  <c r="T34" i="2" s="1"/>
  <c r="P33" i="2"/>
  <c r="S33" i="2" s="1"/>
  <c r="Q33" i="2"/>
  <c r="T33" i="2" s="1"/>
  <c r="Q30" i="2"/>
  <c r="T30" i="2" s="1"/>
  <c r="P30" i="2"/>
  <c r="S30" i="2" s="1"/>
  <c r="P8" i="2"/>
  <c r="S8" i="2" s="1"/>
  <c r="Q8" i="2"/>
  <c r="T8" i="2" s="1"/>
  <c r="Q19" i="2"/>
  <c r="T19" i="2" s="1"/>
  <c r="P19" i="2"/>
  <c r="S19" i="2" s="1"/>
  <c r="AT11" i="2"/>
  <c r="L10" i="1" s="1"/>
  <c r="AT13" i="2"/>
  <c r="L12" i="1" s="1"/>
  <c r="M12" i="1" s="1"/>
  <c r="N12" i="1" s="1"/>
  <c r="AT49" i="2"/>
  <c r="AT46" i="2"/>
  <c r="AT18" i="2"/>
  <c r="L17" i="1" s="1"/>
  <c r="M17" i="1" s="1"/>
  <c r="N17" i="1" s="1"/>
  <c r="AT17" i="2"/>
  <c r="L16" i="1" s="1"/>
  <c r="M16" i="1" s="1"/>
  <c r="N16" i="1" s="1"/>
  <c r="AT14" i="2"/>
  <c r="L13" i="1" s="1"/>
  <c r="M13" i="1" s="1"/>
  <c r="N13" i="1" s="1"/>
  <c r="K13" i="1"/>
  <c r="AT61" i="2"/>
  <c r="Q8" i="1"/>
  <c r="R8" i="1" s="1"/>
  <c r="S8" i="1" s="1"/>
  <c r="AT39" i="2"/>
  <c r="L38" i="1" s="1"/>
  <c r="M38" i="1" s="1"/>
  <c r="N38" i="1" s="1"/>
  <c r="AT42" i="2"/>
  <c r="AT4" i="2"/>
  <c r="L3" i="1" s="1"/>
  <c r="M3" i="1" s="1"/>
  <c r="N3" i="1" s="1"/>
  <c r="AT37" i="2"/>
  <c r="L36" i="1" s="1"/>
  <c r="M36" i="1" s="1"/>
  <c r="N36" i="1" s="1"/>
  <c r="AT25" i="2"/>
  <c r="L24" i="1" s="1"/>
  <c r="M24" i="1" s="1"/>
  <c r="N24" i="1" s="1"/>
  <c r="AT22" i="2"/>
  <c r="L21" i="1" s="1"/>
  <c r="M21" i="1" s="1"/>
  <c r="N21" i="1" s="1"/>
  <c r="AT21" i="2"/>
  <c r="L20" i="1" s="1"/>
  <c r="M20" i="1" s="1"/>
  <c r="N20" i="1" s="1"/>
  <c r="AT31" i="2"/>
  <c r="L30" i="1" s="1"/>
  <c r="M30" i="1" s="1"/>
  <c r="N30" i="1" s="1"/>
  <c r="AT50" i="2"/>
  <c r="AT60" i="2"/>
  <c r="AT15" i="2"/>
  <c r="L14" i="1" s="1"/>
  <c r="M14" i="1" s="1"/>
  <c r="N14" i="1" s="1"/>
  <c r="AT33" i="2"/>
  <c r="L32" i="1" s="1"/>
  <c r="M32" i="1" s="1"/>
  <c r="N32" i="1" s="1"/>
  <c r="AT29" i="2"/>
  <c r="L28" i="1" s="1"/>
  <c r="M28" i="1" s="1"/>
  <c r="N28" i="1" s="1"/>
  <c r="AT19" i="2"/>
  <c r="L18" i="1" s="1"/>
  <c r="M18" i="1" s="1"/>
  <c r="N18" i="1" s="1"/>
  <c r="AT6" i="2"/>
  <c r="L5" i="1" s="1"/>
  <c r="AT34" i="2"/>
  <c r="L33" i="1" s="1"/>
  <c r="M33" i="1" s="1"/>
  <c r="N33" i="1" s="1"/>
  <c r="AT55" i="2"/>
  <c r="AT41" i="2"/>
  <c r="L40" i="1" s="1"/>
  <c r="M40" i="1" s="1"/>
  <c r="N40" i="1" s="1"/>
  <c r="AT54" i="2"/>
  <c r="AT12" i="2"/>
  <c r="L11" i="1" s="1"/>
  <c r="M11" i="1" s="1"/>
  <c r="N11" i="1" s="1"/>
  <c r="AT28" i="2"/>
  <c r="L27" i="1" s="1"/>
  <c r="AT53" i="2"/>
  <c r="AT7" i="2"/>
  <c r="L6" i="1" s="1"/>
  <c r="M6" i="1" s="1"/>
  <c r="N6" i="1" s="1"/>
  <c r="AT51" i="2"/>
  <c r="AT16" i="2"/>
  <c r="L15" i="1" s="1"/>
  <c r="M15" i="1" s="1"/>
  <c r="N15" i="1" s="1"/>
  <c r="AT38" i="2"/>
  <c r="L37" i="1" s="1"/>
  <c r="M37" i="1" s="1"/>
  <c r="N37" i="1" s="1"/>
  <c r="AT26" i="2"/>
  <c r="L25" i="1" s="1"/>
  <c r="M25" i="1" s="1"/>
  <c r="N25" i="1" s="1"/>
  <c r="AT59" i="2"/>
  <c r="AT52" i="2"/>
  <c r="AT35" i="2"/>
  <c r="L34" i="1" s="1"/>
  <c r="M34" i="1" s="1"/>
  <c r="N34" i="1" s="1"/>
  <c r="AT47" i="2"/>
  <c r="AT43" i="2"/>
  <c r="AT20" i="2"/>
  <c r="L19" i="1" s="1"/>
  <c r="M19" i="1" s="1"/>
  <c r="N19" i="1" s="1"/>
  <c r="AT23" i="2"/>
  <c r="L22" i="1" s="1"/>
  <c r="M22" i="1" s="1"/>
  <c r="N22" i="1" s="1"/>
  <c r="AT8" i="2"/>
  <c r="L7" i="1" s="1"/>
  <c r="M7" i="1" s="1"/>
  <c r="N7" i="1" s="1"/>
  <c r="AT36" i="2"/>
  <c r="L35" i="1" s="1"/>
  <c r="M35" i="1" s="1"/>
  <c r="N35" i="1" s="1"/>
  <c r="AT5" i="2"/>
  <c r="L4" i="1" s="1"/>
  <c r="M4" i="1" s="1"/>
  <c r="N4" i="1" s="1"/>
  <c r="AT44" i="2"/>
  <c r="AT10" i="2"/>
  <c r="L9" i="1" s="1"/>
  <c r="M9" i="1" s="1"/>
  <c r="N9" i="1" s="1"/>
  <c r="AT56" i="2"/>
  <c r="AT58" i="2"/>
  <c r="K2" i="1"/>
  <c r="AT30" i="2"/>
  <c r="L29" i="1" s="1"/>
  <c r="M29" i="1" s="1"/>
  <c r="N29" i="1" s="1"/>
  <c r="AT27" i="2"/>
  <c r="L26" i="1" s="1"/>
  <c r="M26" i="1" s="1"/>
  <c r="N26" i="1" s="1"/>
  <c r="AT24" i="2"/>
  <c r="L23" i="1" s="1"/>
  <c r="M23" i="1" s="1"/>
  <c r="N23" i="1" s="1"/>
  <c r="AT45" i="2"/>
  <c r="AT48" i="2"/>
  <c r="Q10" i="1"/>
  <c r="R10" i="1" s="1"/>
  <c r="S10" i="1" s="1"/>
  <c r="Q13" i="1" l="1"/>
  <c r="R13" i="1" s="1"/>
  <c r="S13" i="1" s="1"/>
  <c r="Q21" i="1"/>
  <c r="R21" i="1" s="1"/>
  <c r="S21" i="1" s="1"/>
  <c r="Q26" i="1"/>
  <c r="R26" i="1" s="1"/>
  <c r="S26" i="1" s="1"/>
  <c r="Q4" i="1"/>
  <c r="R4" i="1" s="1"/>
  <c r="S4" i="1" s="1"/>
  <c r="Q6" i="1"/>
  <c r="R6" i="1" s="1"/>
  <c r="S6" i="1" s="1"/>
  <c r="Q28" i="1"/>
  <c r="R28" i="1" s="1"/>
  <c r="S28" i="1" s="1"/>
  <c r="Q29" i="1"/>
  <c r="R29" i="1" s="1"/>
  <c r="S29" i="1" s="1"/>
  <c r="Q2" i="1"/>
  <c r="R2" i="1" s="1"/>
  <c r="S2" i="1" s="1"/>
  <c r="Q27" i="1"/>
  <c r="R27" i="1" s="1"/>
  <c r="S27" i="1" s="1"/>
  <c r="Q12" i="1"/>
  <c r="R12" i="1" s="1"/>
  <c r="S12" i="1" s="1"/>
  <c r="Q5" i="1"/>
  <c r="R5" i="1" s="1"/>
  <c r="S5" i="1" s="1"/>
  <c r="Q38" i="1" l="1"/>
  <c r="R38" i="1" s="1"/>
  <c r="S38" i="1" s="1"/>
  <c r="Q20" i="1"/>
  <c r="R20" i="1" s="1"/>
  <c r="S20" i="1" s="1"/>
  <c r="Q15" i="1"/>
  <c r="R15" i="1" s="1"/>
  <c r="S15" i="1" s="1"/>
  <c r="Q25" i="1"/>
  <c r="R25" i="1" s="1"/>
  <c r="S25" i="1" s="1"/>
  <c r="Q24" i="1"/>
  <c r="R24" i="1" s="1"/>
  <c r="S24" i="1" s="1"/>
  <c r="Q23" i="1"/>
  <c r="R23" i="1" s="1"/>
  <c r="S23" i="1" s="1"/>
  <c r="Q36" i="1"/>
  <c r="R36" i="1" s="1"/>
  <c r="S36" i="1" s="1"/>
  <c r="Q34" i="1"/>
  <c r="R34" i="1" s="1"/>
  <c r="S34" i="1" s="1"/>
  <c r="Q22" i="1"/>
  <c r="R22" i="1" s="1"/>
  <c r="S22" i="1" s="1"/>
  <c r="Q19" i="1"/>
  <c r="R19" i="1" s="1"/>
  <c r="S19" i="1" s="1"/>
  <c r="Q37" i="1"/>
  <c r="R37" i="1" s="1"/>
  <c r="S37" i="1" s="1"/>
  <c r="Q7" i="1"/>
  <c r="R7" i="1" s="1"/>
  <c r="S7" i="1" s="1"/>
  <c r="Q3" i="1"/>
  <c r="R3" i="1" s="1"/>
  <c r="S3" i="1" s="1"/>
  <c r="Q11" i="1"/>
  <c r="R11" i="1" s="1"/>
  <c r="S11" i="1" s="1"/>
  <c r="Q9" i="1"/>
  <c r="R9" i="1" s="1"/>
  <c r="S9" i="1" s="1"/>
  <c r="Q17" i="1"/>
  <c r="R17" i="1" s="1"/>
  <c r="S17" i="1" s="1"/>
  <c r="Q16" i="1"/>
  <c r="R16" i="1" s="1"/>
  <c r="S16" i="1" s="1"/>
  <c r="Q14" i="1"/>
  <c r="R14" i="1" s="1"/>
  <c r="S14" i="1" s="1"/>
  <c r="Q40" i="1"/>
  <c r="R40" i="1" s="1"/>
  <c r="S40" i="1" s="1"/>
  <c r="S39" i="1" s="1"/>
  <c r="Q35" i="1"/>
  <c r="R35" i="1" s="1"/>
  <c r="S35" i="1" s="1"/>
  <c r="Q18" i="1"/>
  <c r="R18" i="1" s="1"/>
  <c r="S18" i="1" s="1"/>
  <c r="Q30" i="1"/>
  <c r="R30" i="1" s="1"/>
  <c r="S30" i="1" s="1"/>
  <c r="Q31" i="1"/>
  <c r="R31" i="1" s="1"/>
  <c r="S31" i="1" s="1"/>
  <c r="Q32" i="1"/>
  <c r="R32" i="1" s="1"/>
  <c r="S32" i="1" s="1"/>
  <c r="Q33" i="1" l="1"/>
  <c r="R33" i="1" s="1"/>
  <c r="S33" i="1" s="1"/>
  <c r="R39" i="1" l="1"/>
</calcChain>
</file>

<file path=xl/sharedStrings.xml><?xml version="1.0" encoding="utf-8"?>
<sst xmlns="http://schemas.openxmlformats.org/spreadsheetml/2006/main" count="735" uniqueCount="163">
  <si>
    <t>Selskabsnavn</t>
  </si>
  <si>
    <t>Ledning</t>
  </si>
  <si>
    <t>Pumpestationer</t>
  </si>
  <si>
    <t>Regnvandsbassiner</t>
  </si>
  <si>
    <t>Spildevandsbassiner</t>
  </si>
  <si>
    <t>Slambehandling</t>
  </si>
  <si>
    <t>Minirenseanlæg</t>
  </si>
  <si>
    <t>Kunder</t>
  </si>
  <si>
    <t>El</t>
  </si>
  <si>
    <t>Land (længde i km med dimension &lt;= 200 mm)</t>
  </si>
  <si>
    <t>Land (længde i km med dimension &gt; 200 mm)</t>
  </si>
  <si>
    <t>By (længde i km med dimension &lt;= 200 mm)</t>
  </si>
  <si>
    <t>By (længde i km med dimension &gt; 200 mm)</t>
  </si>
  <si>
    <t>City (længde i kilometer med dimension &lt;= 200 mm)</t>
  </si>
  <si>
    <t>City (længde i km med dimension &gt; 200 mm)</t>
  </si>
  <si>
    <t>Indre city (længde i km med dimension &lt;= 200 mm)</t>
  </si>
  <si>
    <t>Indre city (længde i km med dimension &gt; 200 mm)</t>
  </si>
  <si>
    <t>Antal husstandspumper (stk)</t>
  </si>
  <si>
    <t>0 l/s - 10 l/s (stk)</t>
  </si>
  <si>
    <t>Samlet kap. (ml 0 l/s -10 l/s)</t>
  </si>
  <si>
    <t>11 l/s - 100 l/s (stk)</t>
  </si>
  <si>
    <t>Samlet kap. (ml 11 l/s -10 0l/s)</t>
  </si>
  <si>
    <t>101 l/s - 300 l/s (stk)</t>
  </si>
  <si>
    <t>Samlet kap. (ml 101 l/s -300 l/s)</t>
  </si>
  <si>
    <t>301 l/s - 600 l/s (stk)</t>
  </si>
  <si>
    <t>Samlet kap. (ml 301 l/s -600 l/s)</t>
  </si>
  <si>
    <t>601 l/s - 1000 l/s (stk)</t>
  </si>
  <si>
    <t>Samlet kap. (ml 601 l/s -1000 l/s)</t>
  </si>
  <si>
    <t>over 1000 l/s (stk)</t>
  </si>
  <si>
    <t>Samlet kap. (over 1000 l/s)</t>
  </si>
  <si>
    <t>Antal (stk)</t>
  </si>
  <si>
    <t>Areal (m2)</t>
  </si>
  <si>
    <t>Volumen (m3)</t>
  </si>
  <si>
    <t>Tons tørstof A-slam</t>
  </si>
  <si>
    <t>Tons tørstof B-slam</t>
  </si>
  <si>
    <t>Tons tørstof C-slam</t>
  </si>
  <si>
    <t>Samlet kap. (PE)</t>
  </si>
  <si>
    <t>Antal målere (målere)</t>
  </si>
  <si>
    <t>Selskabets samlede el forbrug (kWt)</t>
  </si>
  <si>
    <t>Afløb Ballerup A/S</t>
  </si>
  <si>
    <t>AquaDjurs as</t>
  </si>
  <si>
    <t>Assens Spildevand A/S</t>
  </si>
  <si>
    <t>Brøndby Kloakforsyning A/S</t>
  </si>
  <si>
    <t>Brønderslev Spildevand A/S</t>
  </si>
  <si>
    <t>Favrskov Spildevand A/S</t>
  </si>
  <si>
    <t>Faxe Spildevand A/S</t>
  </si>
  <si>
    <t>Egedal Spildevand A/S</t>
  </si>
  <si>
    <t>Frederiksberg Kloak A/S</t>
  </si>
  <si>
    <t>Frederikssund Spildevand A/S</t>
  </si>
  <si>
    <t>Gladsaxe Spildevand A/S</t>
  </si>
  <si>
    <t>Glostrup Spildevand a/s</t>
  </si>
  <si>
    <t>Haderslev Spildevand A/S</t>
  </si>
  <si>
    <t>Hanstholm Renseanlæg A/S</t>
  </si>
  <si>
    <t>Helsingør Forsyning Spildevand A/S</t>
  </si>
  <si>
    <t>Herning Vand A/S</t>
  </si>
  <si>
    <t>Greve Spildevand A/S</t>
  </si>
  <si>
    <t>Holbæk Spildevand A/S</t>
  </si>
  <si>
    <t>Horsens Vand A/S</t>
  </si>
  <si>
    <t>Hørsholm Vand ApS</t>
  </si>
  <si>
    <t>Hedensted Spildevand</t>
  </si>
  <si>
    <t>Kalundborg Renseanlæg A/S</t>
  </si>
  <si>
    <t>Hjørring Vandselskab A/S</t>
  </si>
  <si>
    <t>Langeland Spildevand ApS</t>
  </si>
  <si>
    <t>Mariagerfjord Vand a/s</t>
  </si>
  <si>
    <t>Middelfart Spildevand A/S</t>
  </si>
  <si>
    <t>Mølleåværket A/S</t>
  </si>
  <si>
    <t>Måløv Rens A/S</t>
  </si>
  <si>
    <t>Odsherred Spildevand A/S</t>
  </si>
  <si>
    <t>Randers Spildevand A/S</t>
  </si>
  <si>
    <t>Rebild Vand &amp; Spildevand A/S</t>
  </si>
  <si>
    <t>Ringkøbing-Skjern Spildevand A/S</t>
  </si>
  <si>
    <t>Ringsted Centralrenseanlæg A/S</t>
  </si>
  <si>
    <t>Roskilde Spildevand A/S</t>
  </si>
  <si>
    <t>Sorø Spildevand A/S</t>
  </si>
  <si>
    <t>Lemvig Vand og Spildevand A/S</t>
  </si>
  <si>
    <t>Stevns Spildevand A/S</t>
  </si>
  <si>
    <t>Struer Forsyning Spildevand A/S</t>
  </si>
  <si>
    <t>Lynettefællesskabet I/S</t>
  </si>
  <si>
    <t>Sønderborg Spildevandsforsyning A/S</t>
  </si>
  <si>
    <t>Thisted Spildevand Transport A/S</t>
  </si>
  <si>
    <t>Vallensbæk Kloakforsyning A/S</t>
  </si>
  <si>
    <t>Vestforsyning Spildevand A/S</t>
  </si>
  <si>
    <t>Vesthimmerlands Vand A/S</t>
  </si>
  <si>
    <t>Vordingborg Rens A/S</t>
  </si>
  <si>
    <t>Vordingborg Spildevand A/S</t>
  </si>
  <si>
    <t>Øsløs, Tåbel og Vilsund A/S</t>
  </si>
  <si>
    <t>Aalborg Forsyning, Kloak A/S</t>
  </si>
  <si>
    <t>Ringsted Spildevand A/S</t>
  </si>
  <si>
    <t>SK Spildevand A/S</t>
  </si>
  <si>
    <t>Svendborg Spildevand A/S</t>
  </si>
  <si>
    <t>Tønder Spildevand A/S</t>
  </si>
  <si>
    <t>TÅRNBYFORSYNING Spildevand</t>
  </si>
  <si>
    <t>Ærø Vand A/S</t>
  </si>
  <si>
    <t>Zoneplacering (1=land, 2=by)</t>
  </si>
  <si>
    <t>Type af rensning (1=M, 2=MK,3= MBN, 4=MBNK/MBND, 5=MBNKD)</t>
  </si>
  <si>
    <t>Organisk Kapacitet (PE)</t>
  </si>
  <si>
    <t>Faktisk organisk belastningsgrad (PE)</t>
  </si>
  <si>
    <t>FADO2012</t>
  </si>
  <si>
    <t>Netvolumenbidrag</t>
  </si>
  <si>
    <t>Alder</t>
  </si>
  <si>
    <t>Tæthed</t>
  </si>
  <si>
    <t>Netvolumemål</t>
  </si>
  <si>
    <t>Måler pr. ledning</t>
  </si>
  <si>
    <t>Netvolumenmål</t>
  </si>
  <si>
    <t>Alderskorrigeret netvolumenmål</t>
  </si>
  <si>
    <t>Tæthedskorrigeret netvolumenmål</t>
  </si>
  <si>
    <t>Pumpesta-tioner</t>
  </si>
  <si>
    <t>Regnvands-bassiner</t>
  </si>
  <si>
    <t>Rense-anlæg</t>
  </si>
  <si>
    <t>Slambe-handling</t>
  </si>
  <si>
    <t>Minirense-anlæg</t>
  </si>
  <si>
    <t>Spildevands-bassiner</t>
  </si>
  <si>
    <t>Selskabs navn</t>
  </si>
  <si>
    <t>Furesø Spildevand A/S</t>
  </si>
  <si>
    <t>Lejre Spildevand A/S</t>
  </si>
  <si>
    <t>Læsø Vand A/S</t>
  </si>
  <si>
    <t>Andel af netvolumenbidrag for renseanlæg</t>
  </si>
  <si>
    <t>Gns. af faktisk og organisk</t>
  </si>
  <si>
    <t>Netvolumenbidrag for renseanlæg uden konstant</t>
  </si>
  <si>
    <t>Total netvolumenbidrag for renseanlæg</t>
  </si>
  <si>
    <t>PRISTALS-FREMSKREVET FADO2012</t>
  </si>
  <si>
    <t>HOFOR Spildevand Albertslund A/S </t>
  </si>
  <si>
    <t>HOFOR Spildevand Rødovre A/S </t>
  </si>
  <si>
    <t>0,0 </t>
  </si>
  <si>
    <t>Gruppe</t>
  </si>
  <si>
    <t>Umiddelbare
 krav i pct.</t>
  </si>
  <si>
    <t>Krav i pct.</t>
  </si>
  <si>
    <t>Costdriverandele</t>
  </si>
  <si>
    <t>Costdriverafvigelse</t>
  </si>
  <si>
    <t>Middelværdi</t>
  </si>
  <si>
    <t>Varians</t>
  </si>
  <si>
    <t>Standardafvigelse</t>
  </si>
  <si>
    <t>Standardafvigelse (minus)</t>
  </si>
  <si>
    <t>Ledninger, kunder og regnvandsbassiners afvigelse fra middelværdi</t>
  </si>
  <si>
    <t>Sum af ledninger, kunder og regnvandsbassiner</t>
  </si>
  <si>
    <t>Potentiale med
 særlige forhold i pct.</t>
  </si>
  <si>
    <t>Potentiale med 
særlige forhold i kr.</t>
  </si>
  <si>
    <t>MANGLER</t>
  </si>
  <si>
    <t>Rå potentiale i pct.</t>
  </si>
  <si>
    <t>Rå potentiale i kr.</t>
  </si>
  <si>
    <t>Potentiale med forsigtighedshensyn og evt. særlige forhold i pct.</t>
  </si>
  <si>
    <t>Potentiale med forsigtighedshensyn og evt. særlige forhold i kr.</t>
  </si>
  <si>
    <t>Netvolumenmål_plus 20 og evt. SF</t>
  </si>
  <si>
    <t>Alderskorrigeret netvolumenmål_plus 20 og evt. SF</t>
  </si>
  <si>
    <t>Tæthedskorrigeret netvolumenmål_plus 20 og evt. SF</t>
  </si>
  <si>
    <t>Netvolumenmål + evt. SF</t>
  </si>
  <si>
    <t>Alderskorrigeret netvolumenmål  + evt. SF</t>
  </si>
  <si>
    <t>Tæthedskorrigeret netvolumenmål + evt. SF</t>
  </si>
  <si>
    <t>DOiPL 2013
 i kr.</t>
  </si>
  <si>
    <t>Faktiske driftsomkostnigner</t>
  </si>
  <si>
    <t>Renseanlæg</t>
  </si>
  <si>
    <t>Til reduktion</t>
  </si>
  <si>
    <t>Tillæg for særlige forhold i kr.</t>
  </si>
  <si>
    <t>Afvigelse fra standard-afvigelse i pct.</t>
  </si>
  <si>
    <t>Reduktion i pct.</t>
  </si>
  <si>
    <t>Korrigerede potentiale 
efter reduktion i pct.</t>
  </si>
  <si>
    <t>Korrigerde potentiale 
i kr.</t>
  </si>
  <si>
    <t>Effektive drifts-omkostninger i kr.</t>
  </si>
  <si>
    <t>Forhøjelse til effektivt niveau</t>
  </si>
  <si>
    <t>Krav i kr.</t>
  </si>
  <si>
    <t>Ny Thisted Renseanlæg A/S</t>
  </si>
  <si>
    <t>Ringkøbing-Skjern Renseanlæg A/S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</si>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</sst>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0.0"/>
    <numFmt numFmtId="167" formatCode="_(* #,##0.00_);_(* \(#,##0.00\);_(* &quot;-&quot;??_);_(@_)"/>
    <numFmt numFmtId="168" formatCode="\(#,##0\);#,##0_)"/>
    <numFmt numFmtId="169" formatCode="#,##0_);\(#,##0\);0_);@"/>
    <numFmt numFmtId="170" formatCode="#,##0,_);\(#,##0,\)"/>
    <numFmt numFmtId="171" formatCode="\(#,##0,\);#,##0,_)"/>
    <numFmt numFmtId="172" formatCode="\(#,##0.00\);#,##0.00_)"/>
    <numFmt numFmtId="173" formatCode="_-* #,##0.00_-;\-* #,##0.00_-;_-* &quot;-&quot;??_-;_-@_-"/>
    <numFmt numFmtId="174" formatCode="0.0%"/>
    <numFmt numFmtId="175" formatCode="0.0000000000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C0000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6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1" applyNumberFormat="0" applyFill="0" applyAlignment="0" applyProtection="0"/>
    <xf numFmtId="0" fontId="9" fillId="0" borderId="32" applyNumberFormat="0" applyFill="0" applyAlignment="0" applyProtection="0"/>
    <xf numFmtId="0" fontId="10" fillId="0" borderId="3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34" applyNumberFormat="0" applyAlignment="0" applyProtection="0"/>
    <xf numFmtId="0" fontId="15" fillId="6" borderId="35" applyNumberFormat="0" applyAlignment="0" applyProtection="0"/>
    <xf numFmtId="0" fontId="16" fillId="6" borderId="34" applyNumberFormat="0" applyAlignment="0" applyProtection="0"/>
    <xf numFmtId="0" fontId="17" fillId="0" borderId="36" applyNumberFormat="0" applyFill="0" applyAlignment="0" applyProtection="0"/>
    <xf numFmtId="0" fontId="18" fillId="7" borderId="37" applyNumberFormat="0" applyAlignment="0" applyProtection="0"/>
    <xf numFmtId="0" fontId="19" fillId="0" borderId="0" applyNumberFormat="0" applyFill="0" applyBorder="0" applyAlignment="0" applyProtection="0"/>
    <xf numFmtId="0" fontId="1" fillId="8" borderId="38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3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23" fillId="0" borderId="0"/>
    <xf numFmtId="0" fontId="22" fillId="0" borderId="0"/>
    <xf numFmtId="0" fontId="2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1" fillId="8" borderId="38" applyNumberFormat="0" applyFont="0" applyAlignment="0" applyProtection="0"/>
    <xf numFmtId="16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8" applyNumberFormat="0" applyFont="0" applyAlignment="0" applyProtection="0"/>
    <xf numFmtId="16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69" fontId="22" fillId="0" borderId="0"/>
    <xf numFmtId="3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9" fontId="30" fillId="0" borderId="0" applyFill="0" applyBorder="0" applyProtection="0">
      <alignment horizontal="center"/>
    </xf>
    <xf numFmtId="37" fontId="30" fillId="0" borderId="45" applyFill="0" applyAlignment="0" applyProtection="0"/>
    <xf numFmtId="168" fontId="30" fillId="0" borderId="45" applyFill="0" applyAlignment="0" applyProtection="0"/>
    <xf numFmtId="170" fontId="30" fillId="0" borderId="45" applyFill="0" applyAlignment="0" applyProtection="0"/>
    <xf numFmtId="171" fontId="30" fillId="0" borderId="45" applyFill="0" applyAlignment="0" applyProtection="0"/>
    <xf numFmtId="167" fontId="22" fillId="0" borderId="0" applyFon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0" fontId="34" fillId="52" borderId="46" applyNumberFormat="0" applyAlignment="0" applyProtection="0"/>
    <xf numFmtId="0" fontId="35" fillId="53" borderId="47" applyNumberFormat="0" applyAlignment="0" applyProtection="0"/>
    <xf numFmtId="173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0" borderId="48" applyNumberFormat="0" applyFill="0" applyAlignment="0" applyProtection="0"/>
    <xf numFmtId="0" fontId="39" fillId="0" borderId="49" applyNumberFormat="0" applyFill="0" applyAlignment="0" applyProtection="0"/>
    <xf numFmtId="0" fontId="40" fillId="0" borderId="50" applyNumberFormat="0" applyFill="0" applyAlignment="0" applyProtection="0"/>
    <xf numFmtId="0" fontId="40" fillId="0" borderId="0" applyNumberFormat="0" applyFill="0" applyBorder="0" applyAlignment="0" applyProtection="0"/>
    <xf numFmtId="0" fontId="41" fillId="39" borderId="46" applyNumberFormat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42" fillId="0" borderId="51" applyNumberFormat="0" applyFill="0" applyAlignment="0" applyProtection="0"/>
    <xf numFmtId="0" fontId="43" fillId="54" borderId="0" applyNumberFormat="0" applyBorder="0" applyAlignment="0" applyProtection="0"/>
    <xf numFmtId="0" fontId="22" fillId="55" borderId="52" applyNumberFormat="0" applyFont="0" applyAlignment="0" applyProtection="0"/>
    <xf numFmtId="0" fontId="44" fillId="52" borderId="53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4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</cellStyleXfs>
  <cellXfs count="369">
    <xf numFmtId="0" fontId="0" fillId="0" borderId="0" xfId="0"/>
    <xf numFmtId="0" fontId="5" fillId="0" borderId="7" xfId="0" applyFont="1" applyFill="1" applyBorder="1" applyAlignment="1">
      <alignment horizontal="right" wrapText="1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0" fillId="0" borderId="0" xfId="0" applyFont="1" applyFill="1"/>
    <xf numFmtId="0" fontId="2" fillId="0" borderId="16" xfId="0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2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4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30" xfId="0" applyNumberFormat="1" applyBorder="1"/>
    <xf numFmtId="3" fontId="0" fillId="0" borderId="1" xfId="0" applyNumberFormat="1" applyBorder="1"/>
    <xf numFmtId="3" fontId="0" fillId="0" borderId="5" xfId="0" applyNumberFormat="1" applyBorder="1"/>
    <xf numFmtId="3" fontId="0" fillId="0" borderId="11" xfId="0" applyNumberFormat="1" applyBorder="1"/>
    <xf numFmtId="0" fontId="5" fillId="0" borderId="7" xfId="0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2" fillId="0" borderId="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3" fontId="0" fillId="0" borderId="14" xfId="0" applyNumberFormat="1" applyFill="1" applyBorder="1" applyAlignment="1"/>
    <xf numFmtId="3" fontId="0" fillId="0" borderId="15" xfId="0" applyNumberFormat="1" applyFill="1" applyBorder="1" applyAlignment="1"/>
    <xf numFmtId="0" fontId="2" fillId="0" borderId="0" xfId="0" applyFont="1" applyBorder="1" applyAlignment="1">
      <alignment wrapText="1"/>
    </xf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14" xfId="0" applyFont="1" applyFill="1" applyBorder="1" applyAlignment="1"/>
    <xf numFmtId="0" fontId="0" fillId="0" borderId="40" xfId="0" applyFill="1" applyBorder="1" applyAlignment="1"/>
    <xf numFmtId="3" fontId="4" fillId="0" borderId="12" xfId="0" applyNumberFormat="1" applyFont="1" applyFill="1" applyBorder="1" applyAlignment="1"/>
    <xf numFmtId="0" fontId="0" fillId="0" borderId="2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3" fontId="0" fillId="0" borderId="0" xfId="0" applyNumberFormat="1"/>
    <xf numFmtId="0" fontId="0" fillId="0" borderId="5" xfId="0" applyFill="1" applyBorder="1" applyAlignment="1">
      <alignment horizontal="left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5" fontId="0" fillId="0" borderId="4" xfId="0" applyNumberFormat="1" applyBorder="1"/>
    <xf numFmtId="165" fontId="0" fillId="0" borderId="2" xfId="0" applyNumberFormat="1" applyBorder="1"/>
    <xf numFmtId="165" fontId="0" fillId="0" borderId="26" xfId="0" applyNumberFormat="1" applyBorder="1"/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2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 applyFill="1" applyBorder="1"/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0" borderId="26" xfId="0" applyBorder="1"/>
    <xf numFmtId="1" fontId="0" fillId="0" borderId="0" xfId="0" applyNumberFormat="1" applyFill="1"/>
    <xf numFmtId="0" fontId="3" fillId="0" borderId="16" xfId="0" applyFont="1" applyFill="1" applyBorder="1" applyAlignment="1">
      <alignment horizontal="left" vertical="center"/>
    </xf>
    <xf numFmtId="0" fontId="0" fillId="0" borderId="64" xfId="0" applyFill="1" applyBorder="1" applyAlignment="1"/>
    <xf numFmtId="9" fontId="0" fillId="0" borderId="11" xfId="0" applyNumberFormat="1" applyBorder="1"/>
    <xf numFmtId="9" fontId="0" fillId="0" borderId="5" xfId="0" applyNumberFormat="1" applyBorder="1"/>
    <xf numFmtId="9" fontId="0" fillId="0" borderId="1" xfId="0" applyNumberFormat="1" applyBorder="1"/>
    <xf numFmtId="174" fontId="0" fillId="0" borderId="30" xfId="0" applyNumberFormat="1" applyBorder="1"/>
    <xf numFmtId="0" fontId="0" fillId="0" borderId="40" xfId="0" applyNumberFormat="1" applyFont="1" applyFill="1" applyBorder="1" applyAlignment="1">
      <alignment horizontal="right" wrapText="1"/>
    </xf>
    <xf numFmtId="3" fontId="0" fillId="0" borderId="15" xfId="0" applyNumberFormat="1" applyFont="1" applyFill="1" applyBorder="1" applyAlignment="1"/>
    <xf numFmtId="0" fontId="0" fillId="0" borderId="40" xfId="0" applyFont="1" applyFill="1" applyBorder="1" applyAlignment="1">
      <alignment horizontal="right" wrapText="1"/>
    </xf>
    <xf numFmtId="3" fontId="0" fillId="0" borderId="15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/>
    <xf numFmtId="3" fontId="0" fillId="0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174" fontId="0" fillId="0" borderId="0" xfId="0" applyNumberFormat="1" applyBorder="1"/>
    <xf numFmtId="9" fontId="0" fillId="0" borderId="30" xfId="0" applyNumberFormat="1" applyBorder="1"/>
    <xf numFmtId="175" fontId="0" fillId="0" borderId="0" xfId="0" applyNumberFormat="1"/>
    <xf numFmtId="10" fontId="0" fillId="0" borderId="0" xfId="0" applyNumberFormat="1" applyFill="1"/>
    <xf numFmtId="0" fontId="0" fillId="0" borderId="40" xfId="0" applyFont="1" applyFill="1" applyBorder="1" applyAlignment="1"/>
    <xf numFmtId="10" fontId="0" fillId="0" borderId="0" xfId="0" applyNumberFormat="1" applyBorder="1"/>
    <xf numFmtId="3" fontId="4" fillId="0" borderId="12" xfId="0" applyNumberFormat="1" applyFont="1" applyFill="1" applyBorder="1" applyAlignment="1">
      <alignment wrapText="1"/>
    </xf>
    <xf numFmtId="165" fontId="0" fillId="0" borderId="55" xfId="0" applyNumberFormat="1" applyFont="1" applyFill="1" applyBorder="1" applyAlignment="1">
      <alignment horizontal="right"/>
    </xf>
    <xf numFmtId="10" fontId="0" fillId="0" borderId="3" xfId="0" applyNumberFormat="1" applyBorder="1"/>
    <xf numFmtId="9" fontId="0" fillId="0" borderId="27" xfId="0" applyNumberFormat="1" applyBorder="1"/>
    <xf numFmtId="174" fontId="0" fillId="0" borderId="2" xfId="0" applyNumberFormat="1" applyBorder="1"/>
    <xf numFmtId="165" fontId="0" fillId="0" borderId="11" xfId="0" applyNumberFormat="1" applyBorder="1"/>
    <xf numFmtId="174" fontId="0" fillId="0" borderId="26" xfId="0" applyNumberFormat="1" applyBorder="1"/>
    <xf numFmtId="3" fontId="0" fillId="0" borderId="59" xfId="0" applyNumberFormat="1" applyFont="1" applyFill="1" applyBorder="1" applyAlignment="1">
      <alignment horizontal="right"/>
    </xf>
    <xf numFmtId="10" fontId="0" fillId="0" borderId="29" xfId="0" applyNumberFormat="1" applyBorder="1"/>
    <xf numFmtId="0" fontId="1" fillId="0" borderId="13" xfId="1" applyFont="1" applyFill="1" applyBorder="1" applyAlignment="1"/>
    <xf numFmtId="3" fontId="0" fillId="0" borderId="14" xfId="0" applyNumberFormat="1" applyFont="1" applyFill="1" applyBorder="1" applyAlignment="1">
      <alignment horizontal="right" wrapText="1"/>
    </xf>
    <xf numFmtId="174" fontId="0" fillId="0" borderId="28" xfId="0" applyNumberFormat="1" applyBorder="1"/>
    <xf numFmtId="165" fontId="0" fillId="0" borderId="5" xfId="0" applyNumberFormat="1" applyBorder="1"/>
    <xf numFmtId="0" fontId="2" fillId="0" borderId="16" xfId="0" applyFont="1" applyFill="1" applyBorder="1"/>
    <xf numFmtId="0" fontId="1" fillId="0" borderId="40" xfId="1" applyFont="1" applyFill="1" applyBorder="1" applyAlignment="1"/>
    <xf numFmtId="10" fontId="0" fillId="0" borderId="28" xfId="0" applyNumberFormat="1" applyBorder="1"/>
    <xf numFmtId="0" fontId="0" fillId="0" borderId="62" xfId="0" applyFill="1" applyBorder="1" applyAlignment="1"/>
    <xf numFmtId="0" fontId="1" fillId="0" borderId="40" xfId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right" wrapText="1"/>
    </xf>
    <xf numFmtId="174" fontId="0" fillId="0" borderId="4" xfId="0" applyNumberFormat="1" applyBorder="1"/>
    <xf numFmtId="0" fontId="0" fillId="0" borderId="55" xfId="0" applyFont="1" applyFill="1" applyBorder="1" applyAlignment="1">
      <alignment horizontal="left"/>
    </xf>
    <xf numFmtId="0" fontId="2" fillId="0" borderId="6" xfId="0" applyFont="1" applyFill="1" applyBorder="1"/>
    <xf numFmtId="165" fontId="0" fillId="0" borderId="1" xfId="0" applyNumberFormat="1" applyBorder="1"/>
    <xf numFmtId="0" fontId="1" fillId="0" borderId="13" xfId="1" applyFont="1" applyFill="1" applyBorder="1" applyAlignment="1">
      <alignment horizontal="right" vertical="top" wrapText="1"/>
    </xf>
    <xf numFmtId="10" fontId="0" fillId="0" borderId="4" xfId="0" applyNumberFormat="1" applyBorder="1"/>
    <xf numFmtId="3" fontId="0" fillId="0" borderId="61" xfId="0" applyNumberFormat="1" applyFont="1" applyFill="1" applyBorder="1" applyAlignment="1">
      <alignment horizontal="right"/>
    </xf>
    <xf numFmtId="9" fontId="0" fillId="0" borderId="29" xfId="0" applyNumberFormat="1" applyBorder="1"/>
    <xf numFmtId="174" fontId="0" fillId="0" borderId="27" xfId="0" applyNumberFormat="1" applyBorder="1"/>
    <xf numFmtId="10" fontId="0" fillId="0" borderId="30" xfId="0" applyNumberFormat="1" applyBorder="1"/>
    <xf numFmtId="174" fontId="0" fillId="0" borderId="29" xfId="0" applyNumberFormat="1" applyBorder="1"/>
    <xf numFmtId="0" fontId="0" fillId="0" borderId="14" xfId="0" applyFont="1" applyFill="1" applyBorder="1" applyAlignment="1">
      <alignment horizontal="right" wrapText="1"/>
    </xf>
    <xf numFmtId="3" fontId="0" fillId="0" borderId="60" xfId="0" applyNumberFormat="1" applyFont="1" applyFill="1" applyBorder="1" applyAlignment="1">
      <alignment horizontal="right"/>
    </xf>
    <xf numFmtId="9" fontId="0" fillId="0" borderId="28" xfId="0" applyNumberFormat="1" applyBorder="1"/>
    <xf numFmtId="3" fontId="4" fillId="0" borderId="12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13" xfId="0" applyFont="1" applyFill="1" applyBorder="1" applyAlignment="1"/>
    <xf numFmtId="0" fontId="0" fillId="0" borderId="15" xfId="0" applyNumberFormat="1" applyFont="1" applyFill="1" applyBorder="1" applyAlignment="1">
      <alignment horizontal="right" wrapText="1"/>
    </xf>
    <xf numFmtId="0" fontId="4" fillId="0" borderId="4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right" wrapText="1"/>
    </xf>
    <xf numFmtId="10" fontId="0" fillId="0" borderId="27" xfId="0" applyNumberFormat="1" applyBorder="1"/>
    <xf numFmtId="3" fontId="0" fillId="0" borderId="14" xfId="0" applyNumberFormat="1" applyFont="1" applyFill="1" applyBorder="1" applyAlignment="1"/>
    <xf numFmtId="174" fontId="0" fillId="0" borderId="3" xfId="0" applyNumberFormat="1" applyBorder="1"/>
    <xf numFmtId="3" fontId="0" fillId="0" borderId="14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0" fontId="0" fillId="0" borderId="26" xfId="0" applyNumberFormat="1" applyBorder="1"/>
    <xf numFmtId="9" fontId="0" fillId="0" borderId="0" xfId="0" applyNumberFormat="1" applyBorder="1"/>
    <xf numFmtId="0" fontId="0" fillId="0" borderId="4" xfId="0" applyFill="1" applyBorder="1" applyAlignment="1">
      <alignment horizontal="left"/>
    </xf>
    <xf numFmtId="10" fontId="0" fillId="0" borderId="2" xfId="0" applyNumberFormat="1" applyBorder="1"/>
    <xf numFmtId="9" fontId="0" fillId="0" borderId="3" xfId="0" applyNumberFormat="1" applyBorder="1"/>
    <xf numFmtId="3" fontId="0" fillId="0" borderId="15" xfId="0" applyNumberFormat="1" applyFont="1" applyFill="1" applyBorder="1" applyAlignment="1">
      <alignment horizontal="right"/>
    </xf>
    <xf numFmtId="0" fontId="2" fillId="0" borderId="56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67" xfId="0" applyFill="1" applyBorder="1" applyAlignment="1"/>
    <xf numFmtId="0" fontId="5" fillId="0" borderId="69" xfId="0" applyFont="1" applyFill="1" applyBorder="1" applyAlignment="1">
      <alignment horizontal="right" wrapText="1"/>
    </xf>
    <xf numFmtId="0" fontId="5" fillId="0" borderId="73" xfId="0" applyFont="1" applyFill="1" applyBorder="1" applyAlignment="1">
      <alignment horizontal="right" wrapText="1"/>
    </xf>
    <xf numFmtId="0" fontId="5" fillId="0" borderId="74" xfId="0" applyFont="1" applyFill="1" applyBorder="1" applyAlignment="1">
      <alignment horizontal="right" wrapText="1"/>
    </xf>
    <xf numFmtId="0" fontId="5" fillId="0" borderId="76" xfId="0" applyFont="1" applyFill="1" applyBorder="1" applyAlignment="1">
      <alignment horizontal="right" wrapText="1"/>
    </xf>
    <xf numFmtId="0" fontId="5" fillId="0" borderId="77" xfId="0" applyFont="1" applyFill="1" applyBorder="1" applyAlignment="1">
      <alignment horizontal="right" wrapText="1"/>
    </xf>
    <xf numFmtId="0" fontId="0" fillId="0" borderId="59" xfId="0" applyFill="1" applyBorder="1" applyAlignment="1"/>
    <xf numFmtId="0" fontId="0" fillId="0" borderId="60" xfId="0" applyFill="1" applyBorder="1" applyAlignment="1"/>
    <xf numFmtId="0" fontId="0" fillId="0" borderId="68" xfId="0" applyFill="1" applyBorder="1" applyAlignment="1"/>
    <xf numFmtId="3" fontId="0" fillId="0" borderId="60" xfId="0" applyNumberFormat="1" applyFill="1" applyBorder="1" applyAlignment="1"/>
    <xf numFmtId="3" fontId="0" fillId="0" borderId="19" xfId="0" applyNumberFormat="1" applyFill="1" applyBorder="1" applyAlignment="1"/>
    <xf numFmtId="3" fontId="0" fillId="0" borderId="61" xfId="0" applyNumberFormat="1" applyFill="1" applyBorder="1" applyAlignment="1"/>
    <xf numFmtId="3" fontId="0" fillId="0" borderId="20" xfId="0" applyNumberFormat="1" applyFill="1" applyBorder="1" applyAlignment="1"/>
    <xf numFmtId="0" fontId="5" fillId="0" borderId="74" xfId="0" applyFont="1" applyFill="1" applyBorder="1" applyAlignment="1">
      <alignment horizontal="right"/>
    </xf>
    <xf numFmtId="0" fontId="5" fillId="0" borderId="77" xfId="0" applyFont="1" applyFill="1" applyBorder="1" applyAlignment="1">
      <alignment horizontal="right"/>
    </xf>
    <xf numFmtId="0" fontId="5" fillId="0" borderId="79" xfId="0" applyFont="1" applyFill="1" applyBorder="1" applyAlignment="1">
      <alignment horizontal="right" wrapText="1"/>
    </xf>
    <xf numFmtId="0" fontId="2" fillId="0" borderId="0" xfId="0" applyFont="1" applyFill="1"/>
    <xf numFmtId="0" fontId="0" fillId="0" borderId="5" xfId="0" applyFill="1" applyBorder="1"/>
    <xf numFmtId="3" fontId="0" fillId="0" borderId="5" xfId="0" applyNumberFormat="1" applyFill="1" applyBorder="1"/>
    <xf numFmtId="3" fontId="6" fillId="0" borderId="5" xfId="0" applyNumberFormat="1" applyFont="1" applyFill="1" applyBorder="1"/>
    <xf numFmtId="3" fontId="0" fillId="0" borderId="11" xfId="0" applyNumberFormat="1" applyFill="1" applyBorder="1"/>
    <xf numFmtId="3" fontId="22" fillId="0" borderId="5" xfId="0" applyNumberFormat="1" applyFont="1" applyFill="1" applyBorder="1" applyProtection="1"/>
    <xf numFmtId="10" fontId="0" fillId="0" borderId="2" xfId="0" applyNumberFormat="1" applyFill="1" applyBorder="1"/>
    <xf numFmtId="3" fontId="0" fillId="0" borderId="3" xfId="0" applyNumberFormat="1" applyFill="1" applyBorder="1"/>
    <xf numFmtId="10" fontId="0" fillId="0" borderId="26" xfId="0" applyNumberFormat="1" applyFill="1" applyBorder="1"/>
    <xf numFmtId="3" fontId="0" fillId="0" borderId="30" xfId="0" applyNumberFormat="1" applyFill="1" applyBorder="1"/>
    <xf numFmtId="3" fontId="27" fillId="0" borderId="5" xfId="0" applyNumberFormat="1" applyFont="1" applyFill="1" applyBorder="1"/>
    <xf numFmtId="3" fontId="26" fillId="0" borderId="5" xfId="0" applyNumberFormat="1" applyFont="1" applyFill="1" applyBorder="1"/>
    <xf numFmtId="174" fontId="0" fillId="33" borderId="2" xfId="49" applyNumberFormat="1" applyFont="1" applyFill="1" applyBorder="1"/>
    <xf numFmtId="174" fontId="0" fillId="33" borderId="3" xfId="49" applyNumberFormat="1" applyFont="1" applyFill="1" applyBorder="1"/>
    <xf numFmtId="174" fontId="0" fillId="33" borderId="26" xfId="49" applyNumberFormat="1" applyFont="1" applyFill="1" applyBorder="1"/>
    <xf numFmtId="174" fontId="0" fillId="33" borderId="30" xfId="49" applyNumberFormat="1" applyFont="1" applyFill="1" applyBorder="1"/>
    <xf numFmtId="174" fontId="0" fillId="0" borderId="2" xfId="49" applyNumberFormat="1" applyFont="1" applyFill="1" applyBorder="1"/>
    <xf numFmtId="174" fontId="0" fillId="0" borderId="26" xfId="49" applyNumberFormat="1" applyFont="1" applyFill="1" applyBorder="1"/>
    <xf numFmtId="3" fontId="0" fillId="0" borderId="2" xfId="0" applyNumberFormat="1" applyFill="1" applyBorder="1"/>
    <xf numFmtId="3" fontId="6" fillId="0" borderId="3" xfId="0" applyNumberFormat="1" applyFont="1" applyFill="1" applyBorder="1"/>
    <xf numFmtId="3" fontId="0" fillId="0" borderId="26" xfId="0" applyNumberFormat="1" applyFill="1" applyBorder="1"/>
    <xf numFmtId="10" fontId="0" fillId="0" borderId="0" xfId="0" applyNumberFormat="1" applyFill="1" applyBorder="1"/>
    <xf numFmtId="10" fontId="0" fillId="0" borderId="27" xfId="0" applyNumberFormat="1" applyFill="1" applyBorder="1"/>
    <xf numFmtId="0" fontId="2" fillId="0" borderId="56" xfId="0" applyFont="1" applyFill="1" applyBorder="1" applyAlignment="1">
      <alignment wrapText="1"/>
    </xf>
    <xf numFmtId="0" fontId="2" fillId="0" borderId="58" xfId="0" applyFont="1" applyFill="1" applyBorder="1" applyAlignment="1">
      <alignment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66" fontId="2" fillId="0" borderId="56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166" fontId="2" fillId="0" borderId="58" xfId="0" applyNumberFormat="1" applyFont="1" applyFill="1" applyBorder="1" applyAlignment="1">
      <alignment horizontal="center" vertical="center" wrapText="1"/>
    </xf>
    <xf numFmtId="3" fontId="25" fillId="0" borderId="56" xfId="0" applyNumberFormat="1" applyFont="1" applyFill="1" applyBorder="1" applyAlignment="1">
      <alignment horizontal="center" vertical="center" wrapText="1"/>
    </xf>
    <xf numFmtId="166" fontId="2" fillId="0" borderId="5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/>
    <xf numFmtId="0" fontId="0" fillId="0" borderId="60" xfId="0" applyFont="1" applyFill="1" applyBorder="1" applyAlignment="1"/>
    <xf numFmtId="0" fontId="0" fillId="0" borderId="61" xfId="0" applyFont="1" applyFill="1" applyBorder="1" applyAlignment="1"/>
    <xf numFmtId="3" fontId="0" fillId="0" borderId="60" xfId="0" applyNumberFormat="1" applyFont="1" applyFill="1" applyBorder="1" applyAlignment="1"/>
    <xf numFmtId="0" fontId="1" fillId="0" borderId="59" xfId="1" applyFont="1" applyFill="1" applyBorder="1" applyAlignment="1"/>
    <xf numFmtId="3" fontId="0" fillId="0" borderId="61" xfId="0" applyNumberFormat="1" applyFont="1" applyFill="1" applyBorder="1" applyAlignment="1"/>
    <xf numFmtId="0" fontId="1" fillId="0" borderId="63" xfId="1" applyFont="1" applyFill="1" applyBorder="1" applyAlignment="1"/>
    <xf numFmtId="0" fontId="0" fillId="0" borderId="63" xfId="0" applyFont="1" applyFill="1" applyBorder="1" applyAlignment="1"/>
    <xf numFmtId="3" fontId="4" fillId="0" borderId="55" xfId="0" applyNumberFormat="1" applyFont="1" applyFill="1" applyBorder="1" applyAlignment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5" xfId="0" applyFont="1" applyFill="1" applyBorder="1" applyProtection="1">
      <protection locked="0"/>
    </xf>
    <xf numFmtId="0" fontId="0" fillId="0" borderId="15" xfId="0" applyFont="1" applyFill="1" applyBorder="1"/>
    <xf numFmtId="0" fontId="4" fillId="0" borderId="12" xfId="0" applyFont="1" applyFill="1" applyBorder="1" applyAlignment="1"/>
    <xf numFmtId="3" fontId="6" fillId="0" borderId="12" xfId="0" applyNumberFormat="1" applyFont="1" applyFill="1" applyBorder="1"/>
    <xf numFmtId="0" fontId="0" fillId="0" borderId="16" xfId="0" applyFont="1" applyFill="1" applyBorder="1" applyAlignment="1">
      <alignment horizontal="left" vertical="center" wrapText="1"/>
    </xf>
    <xf numFmtId="164" fontId="4" fillId="0" borderId="55" xfId="0" applyNumberFormat="1" applyFont="1" applyFill="1" applyBorder="1" applyAlignment="1"/>
    <xf numFmtId="3" fontId="0" fillId="0" borderId="12" xfId="0" applyNumberFormat="1" applyFont="1" applyFill="1" applyBorder="1"/>
    <xf numFmtId="164" fontId="4" fillId="0" borderId="12" xfId="0" applyNumberFormat="1" applyFont="1" applyFill="1" applyBorder="1" applyAlignment="1"/>
    <xf numFmtId="3" fontId="0" fillId="0" borderId="12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2" xfId="0" applyNumberFormat="1" applyFont="1" applyFill="1" applyBorder="1" applyAlignment="1"/>
    <xf numFmtId="164" fontId="4" fillId="0" borderId="17" xfId="0" applyNumberFormat="1" applyFont="1" applyFill="1" applyBorder="1" applyAlignment="1"/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/>
    <xf numFmtId="0" fontId="0" fillId="0" borderId="55" xfId="0" applyFill="1" applyBorder="1" applyAlignment="1"/>
    <xf numFmtId="3" fontId="0" fillId="0" borderId="59" xfId="0" applyNumberFormat="1" applyFill="1" applyBorder="1"/>
    <xf numFmtId="3" fontId="0" fillId="0" borderId="61" xfId="0" applyNumberFormat="1" applyFill="1" applyBorder="1"/>
    <xf numFmtId="0" fontId="0" fillId="0" borderId="1" xfId="0" applyFill="1" applyBorder="1" applyAlignment="1">
      <alignment horizontal="left"/>
    </xf>
    <xf numFmtId="3" fontId="0" fillId="0" borderId="28" xfId="0" applyNumberFormat="1" applyFill="1" applyBorder="1"/>
    <xf numFmtId="3" fontId="0" fillId="0" borderId="29" xfId="0" applyNumberFormat="1" applyFill="1" applyBorder="1"/>
    <xf numFmtId="0" fontId="0" fillId="0" borderId="12" xfId="0" applyFill="1" applyBorder="1" applyAlignment="1"/>
    <xf numFmtId="3" fontId="0" fillId="0" borderId="13" xfId="0" applyNumberFormat="1" applyFill="1" applyBorder="1"/>
    <xf numFmtId="3" fontId="0" fillId="0" borderId="15" xfId="0" applyNumberFormat="1" applyFill="1" applyBorder="1"/>
    <xf numFmtId="0" fontId="0" fillId="0" borderId="17" xfId="0" applyFill="1" applyBorder="1" applyAlignment="1"/>
    <xf numFmtId="3" fontId="0" fillId="0" borderId="18" xfId="0" applyNumberFormat="1" applyFill="1" applyBorder="1"/>
    <xf numFmtId="3" fontId="0" fillId="0" borderId="20" xfId="0" applyNumberFormat="1" applyFill="1" applyBorder="1"/>
    <xf numFmtId="0" fontId="0" fillId="0" borderId="70" xfId="0" applyFill="1" applyBorder="1" applyAlignment="1"/>
    <xf numFmtId="0" fontId="0" fillId="0" borderId="71" xfId="0" applyFill="1" applyBorder="1" applyAlignment="1"/>
    <xf numFmtId="0" fontId="0" fillId="0" borderId="65" xfId="0" applyFill="1" applyBorder="1" applyAlignment="1"/>
    <xf numFmtId="0" fontId="0" fillId="0" borderId="6" xfId="0" applyFill="1" applyBorder="1" applyAlignment="1"/>
    <xf numFmtId="3" fontId="0" fillId="0" borderId="71" xfId="0" applyNumberFormat="1" applyFill="1" applyBorder="1"/>
    <xf numFmtId="3" fontId="0" fillId="0" borderId="72" xfId="0" applyNumberFormat="1" applyFill="1" applyBorder="1"/>
    <xf numFmtId="0" fontId="0" fillId="0" borderId="59" xfId="0" applyFill="1" applyBorder="1" applyAlignment="1">
      <alignment horizontal="left"/>
    </xf>
    <xf numFmtId="0" fontId="5" fillId="0" borderId="75" xfId="0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left"/>
    </xf>
    <xf numFmtId="0" fontId="5" fillId="0" borderId="66" xfId="0" applyFont="1" applyFill="1" applyBorder="1" applyAlignment="1">
      <alignment horizontal="right" vertical="top" wrapText="1"/>
    </xf>
    <xf numFmtId="0" fontId="0" fillId="0" borderId="18" xfId="0" applyFill="1" applyBorder="1" applyAlignment="1">
      <alignment horizontal="left"/>
    </xf>
    <xf numFmtId="0" fontId="5" fillId="0" borderId="78" xfId="0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1" xfId="0" applyFill="1" applyBorder="1" applyAlignment="1"/>
    <xf numFmtId="0" fontId="0" fillId="0" borderId="22" xfId="0" applyFill="1" applyBorder="1" applyAlignment="1"/>
    <xf numFmtId="0" fontId="0" fillId="0" borderId="24" xfId="0" applyFill="1" applyBorder="1" applyAlignment="1"/>
    <xf numFmtId="3" fontId="0" fillId="0" borderId="21" xfId="0" applyNumberFormat="1" applyFill="1" applyBorder="1"/>
    <xf numFmtId="3" fontId="0" fillId="0" borderId="23" xfId="0" applyNumberFormat="1" applyFill="1" applyBorder="1"/>
    <xf numFmtId="0" fontId="0" fillId="0" borderId="16" xfId="0" applyFill="1" applyBorder="1"/>
    <xf numFmtId="0" fontId="5" fillId="0" borderId="79" xfId="0" applyFont="1" applyFill="1" applyBorder="1" applyAlignment="1">
      <alignment horizontal="right" vertical="top" wrapText="1"/>
    </xf>
    <xf numFmtId="0" fontId="5" fillId="0" borderId="80" xfId="0" applyFont="1" applyFill="1" applyBorder="1" applyAlignment="1">
      <alignment horizontal="right" vertical="top" wrapText="1"/>
    </xf>
    <xf numFmtId="3" fontId="0" fillId="0" borderId="27" xfId="0" applyNumberFormat="1" applyFill="1" applyBorder="1"/>
    <xf numFmtId="0" fontId="0" fillId="0" borderId="16" xfId="0" applyFill="1" applyBorder="1" applyAlignment="1"/>
    <xf numFmtId="0" fontId="0" fillId="0" borderId="5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55" xfId="0" applyFill="1" applyBorder="1"/>
    <xf numFmtId="0" fontId="0" fillId="0" borderId="59" xfId="0" applyFill="1" applyBorder="1"/>
    <xf numFmtId="0" fontId="0" fillId="0" borderId="60" xfId="0" applyFill="1" applyBorder="1"/>
    <xf numFmtId="0" fontId="0" fillId="0" borderId="6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62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67" xfId="0" applyFill="1" applyBorder="1"/>
    <xf numFmtId="0" fontId="5" fillId="0" borderId="75" xfId="0" applyFont="1" applyFill="1" applyBorder="1" applyAlignment="1">
      <alignment horizontal="right"/>
    </xf>
    <xf numFmtId="0" fontId="5" fillId="0" borderId="66" xfId="0" applyFont="1" applyFill="1" applyBorder="1" applyAlignment="1">
      <alignment horizontal="right"/>
    </xf>
    <xf numFmtId="0" fontId="5" fillId="0" borderId="78" xfId="0" applyFont="1" applyFill="1" applyBorder="1" applyAlignment="1">
      <alignment horizontal="right"/>
    </xf>
    <xf numFmtId="0" fontId="48" fillId="0" borderId="0" xfId="0" applyFont="1"/>
    <xf numFmtId="174" fontId="48" fillId="0" borderId="2" xfId="0" applyNumberFormat="1" applyFont="1" applyBorder="1"/>
    <xf numFmtId="174" fontId="48" fillId="0" borderId="0" xfId="0" applyNumberFormat="1" applyFont="1" applyBorder="1"/>
    <xf numFmtId="174" fontId="48" fillId="0" borderId="3" xfId="0" applyNumberFormat="1" applyFont="1" applyBorder="1"/>
    <xf numFmtId="0" fontId="48" fillId="0" borderId="0" xfId="0" applyFont="1" applyFill="1" applyAlignment="1"/>
    <xf numFmtId="0" fontId="48" fillId="0" borderId="0" xfId="0" applyFont="1" applyFill="1"/>
    <xf numFmtId="0" fontId="6" fillId="0" borderId="5" xfId="0" applyFont="1" applyFill="1" applyBorder="1" applyAlignment="1">
      <alignment horizontal="left"/>
    </xf>
    <xf numFmtId="0" fontId="6" fillId="0" borderId="59" xfId="0" applyFont="1" applyFill="1" applyBorder="1" applyAlignment="1"/>
    <xf numFmtId="0" fontId="6" fillId="0" borderId="60" xfId="0" applyFont="1" applyFill="1" applyBorder="1" applyAlignment="1"/>
    <xf numFmtId="0" fontId="6" fillId="0" borderId="68" xfId="0" applyFont="1" applyFill="1" applyBorder="1" applyAlignment="1"/>
    <xf numFmtId="3" fontId="6" fillId="0" borderId="59" xfId="0" applyNumberFormat="1" applyFont="1" applyFill="1" applyBorder="1"/>
    <xf numFmtId="3" fontId="6" fillId="0" borderId="61" xfId="0" applyNumberFormat="1" applyFont="1" applyFill="1" applyBorder="1"/>
    <xf numFmtId="0" fontId="6" fillId="0" borderId="70" xfId="0" applyFont="1" applyFill="1" applyBorder="1" applyAlignment="1">
      <alignment horizontal="left"/>
    </xf>
    <xf numFmtId="0" fontId="6" fillId="0" borderId="13" xfId="0" applyFont="1" applyFill="1" applyBorder="1" applyAlignment="1"/>
    <xf numFmtId="0" fontId="6" fillId="0" borderId="14" xfId="0" applyFont="1" applyFill="1" applyBorder="1" applyAlignment="1"/>
    <xf numFmtId="0" fontId="6" fillId="0" borderId="62" xfId="0" applyFont="1" applyFill="1" applyBorder="1" applyAlignment="1"/>
    <xf numFmtId="3" fontId="6" fillId="0" borderId="13" xfId="0" applyNumberFormat="1" applyFont="1" applyFill="1" applyBorder="1"/>
    <xf numFmtId="3" fontId="6" fillId="0" borderId="15" xfId="0" applyNumberFormat="1" applyFont="1" applyFill="1" applyBorder="1"/>
    <xf numFmtId="0" fontId="6" fillId="0" borderId="12" xfId="0" applyFont="1" applyFill="1" applyBorder="1" applyAlignment="1">
      <alignment horizontal="left"/>
    </xf>
    <xf numFmtId="0" fontId="6" fillId="0" borderId="81" xfId="0" applyFont="1" applyFill="1" applyBorder="1" applyAlignment="1">
      <alignment horizontal="left"/>
    </xf>
    <xf numFmtId="0" fontId="6" fillId="0" borderId="18" xfId="0" applyFont="1" applyFill="1" applyBorder="1" applyAlignment="1"/>
    <xf numFmtId="0" fontId="6" fillId="0" borderId="19" xfId="0" applyFont="1" applyFill="1" applyBorder="1" applyAlignment="1"/>
    <xf numFmtId="0" fontId="6" fillId="0" borderId="67" xfId="0" applyFont="1" applyFill="1" applyBorder="1" applyAlignment="1"/>
    <xf numFmtId="3" fontId="6" fillId="0" borderId="18" xfId="0" applyNumberFormat="1" applyFont="1" applyFill="1" applyBorder="1"/>
    <xf numFmtId="3" fontId="6" fillId="0" borderId="20" xfId="0" applyNumberFormat="1" applyFont="1" applyFill="1" applyBorder="1"/>
    <xf numFmtId="3" fontId="6" fillId="0" borderId="0" xfId="0" applyNumberFormat="1" applyFont="1" applyFill="1" applyBorder="1"/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0" fontId="6" fillId="0" borderId="15" xfId="0" applyFont="1" applyFill="1" applyBorder="1" applyAlignment="1"/>
    <xf numFmtId="3" fontId="6" fillId="0" borderId="14" xfId="0" applyNumberFormat="1" applyFont="1" applyFill="1" applyBorder="1" applyAlignment="1"/>
    <xf numFmtId="0" fontId="6" fillId="0" borderId="13" xfId="1" applyFont="1" applyFill="1" applyBorder="1" applyAlignment="1"/>
    <xf numFmtId="3" fontId="6" fillId="0" borderId="15" xfId="0" applyNumberFormat="1" applyFont="1" applyFill="1" applyBorder="1" applyAlignment="1"/>
    <xf numFmtId="0" fontId="6" fillId="0" borderId="40" xfId="1" applyFont="1" applyFill="1" applyBorder="1" applyAlignment="1"/>
    <xf numFmtId="0" fontId="6" fillId="0" borderId="40" xfId="0" applyFont="1" applyFill="1" applyBorder="1" applyAlignment="1"/>
    <xf numFmtId="3" fontId="6" fillId="0" borderId="12" xfId="0" applyNumberFormat="1" applyFont="1" applyFill="1" applyBorder="1" applyAlignment="1"/>
    <xf numFmtId="164" fontId="6" fillId="0" borderId="12" xfId="0" quotePrefix="1" applyNumberFormat="1" applyFont="1" applyFill="1" applyBorder="1" applyAlignment="1">
      <alignment horizontal="right"/>
    </xf>
    <xf numFmtId="0" fontId="6" fillId="0" borderId="0" xfId="0" applyFont="1" applyFill="1" applyAlignment="1"/>
    <xf numFmtId="164" fontId="6" fillId="0" borderId="12" xfId="0" applyNumberFormat="1" applyFont="1" applyFill="1" applyBorder="1" applyAlignment="1"/>
    <xf numFmtId="0" fontId="6" fillId="0" borderId="0" xfId="0" applyFont="1" applyFill="1"/>
    <xf numFmtId="0" fontId="6" fillId="0" borderId="13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6" fillId="0" borderId="14" xfId="0" applyNumberFormat="1" applyFont="1" applyFill="1" applyBorder="1" applyAlignment="1">
      <alignment horizontal="right" wrapText="1"/>
    </xf>
    <xf numFmtId="0" fontId="6" fillId="0" borderId="13" xfId="1" applyFont="1" applyFill="1" applyBorder="1" applyAlignment="1">
      <alignment horizontal="right" vertical="top" wrapText="1"/>
    </xf>
    <xf numFmtId="0" fontId="6" fillId="0" borderId="15" xfId="0" applyNumberFormat="1" applyFont="1" applyFill="1" applyBorder="1" applyAlignment="1">
      <alignment horizontal="right" wrapText="1"/>
    </xf>
    <xf numFmtId="0" fontId="6" fillId="0" borderId="40" xfId="0" applyNumberFormat="1" applyFont="1" applyFill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0" fontId="6" fillId="0" borderId="40" xfId="0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Border="1"/>
    <xf numFmtId="3" fontId="6" fillId="0" borderId="0" xfId="0" applyNumberFormat="1" applyFont="1" applyBorder="1"/>
    <xf numFmtId="3" fontId="6" fillId="0" borderId="3" xfId="0" applyNumberFormat="1" applyFont="1" applyBorder="1"/>
    <xf numFmtId="165" fontId="6" fillId="0" borderId="5" xfId="0" applyNumberFormat="1" applyFont="1" applyBorder="1"/>
    <xf numFmtId="165" fontId="6" fillId="0" borderId="2" xfId="0" applyNumberFormat="1" applyFont="1" applyBorder="1"/>
    <xf numFmtId="3" fontId="6" fillId="0" borderId="0" xfId="0" quotePrefix="1" applyNumberFormat="1" applyFont="1" applyBorder="1" applyAlignment="1">
      <alignment horizontal="right"/>
    </xf>
    <xf numFmtId="3" fontId="6" fillId="0" borderId="5" xfId="0" quotePrefix="1" applyNumberFormat="1" applyFont="1" applyBorder="1" applyAlignment="1">
      <alignment horizontal="right"/>
    </xf>
    <xf numFmtId="0" fontId="6" fillId="0" borderId="0" xfId="0" applyFont="1"/>
    <xf numFmtId="10" fontId="6" fillId="0" borderId="2" xfId="0" applyNumberFormat="1" applyFont="1" applyBorder="1"/>
    <xf numFmtId="10" fontId="6" fillId="0" borderId="0" xfId="0" applyNumberFormat="1" applyFont="1" applyBorder="1"/>
    <xf numFmtId="10" fontId="6" fillId="0" borderId="3" xfId="0" applyNumberFormat="1" applyFont="1" applyBorder="1"/>
    <xf numFmtId="1" fontId="6" fillId="0" borderId="0" xfId="0" applyNumberFormat="1" applyFont="1"/>
    <xf numFmtId="9" fontId="6" fillId="0" borderId="5" xfId="0" applyNumberFormat="1" applyFont="1" applyBorder="1"/>
    <xf numFmtId="3" fontId="6" fillId="0" borderId="5" xfId="0" applyNumberFormat="1" applyFont="1" applyBorder="1"/>
    <xf numFmtId="10" fontId="6" fillId="0" borderId="2" xfId="0" applyNumberFormat="1" applyFont="1" applyFill="1" applyBorder="1"/>
    <xf numFmtId="174" fontId="6" fillId="33" borderId="2" xfId="49" applyNumberFormat="1" applyFont="1" applyFill="1" applyBorder="1"/>
    <xf numFmtId="174" fontId="6" fillId="33" borderId="3" xfId="49" applyNumberFormat="1" applyFont="1" applyFill="1" applyBorder="1"/>
    <xf numFmtId="174" fontId="6" fillId="0" borderId="2" xfId="49" applyNumberFormat="1" applyFont="1" applyFill="1" applyBorder="1"/>
    <xf numFmtId="3" fontId="6" fillId="0" borderId="2" xfId="0" applyNumberFormat="1" applyFont="1" applyFill="1" applyBorder="1"/>
    <xf numFmtId="10" fontId="6" fillId="0" borderId="0" xfId="0" applyNumberFormat="1" applyFont="1" applyFill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0" fontId="0" fillId="0" borderId="0" xfId="0" applyNumberFormat="1" applyFont="1"/>
  </cellXfs>
  <cellStyles count="426">
    <cellStyle name="20 % - Markeringsfarve1" xfId="20" builtinId="30" customBuiltin="1"/>
    <cellStyle name="20 % - Markeringsfarve1 2" xfId="53"/>
    <cellStyle name="20 % - Markeringsfarve1 2 2" xfId="78"/>
    <cellStyle name="20 % - Markeringsfarve1 2 2 2" xfId="146"/>
    <cellStyle name="20 % - Markeringsfarve1 2 2 3" xfId="201"/>
    <cellStyle name="20 % - Markeringsfarve1 2 2 4" xfId="256"/>
    <cellStyle name="20 % - Markeringsfarve1 2 2 5" xfId="312"/>
    <cellStyle name="20 % - Markeringsfarve1 2 3" xfId="129"/>
    <cellStyle name="20 % - Markeringsfarve1 2 4" xfId="183"/>
    <cellStyle name="20 % - Markeringsfarve1 2 5" xfId="237"/>
    <cellStyle name="20 % - Markeringsfarve1 2 6" xfId="293"/>
    <cellStyle name="20 % - Markeringsfarve1 3" xfId="116"/>
    <cellStyle name="20 % - Markeringsfarve1 4" xfId="169"/>
    <cellStyle name="20 % - Markeringsfarve1 5" xfId="225"/>
    <cellStyle name="20 % - Markeringsfarve1 6" xfId="280"/>
    <cellStyle name="20 % - Markeringsfarve2" xfId="24" builtinId="34" customBuiltin="1"/>
    <cellStyle name="20 % - Markeringsfarve2 2" xfId="54"/>
    <cellStyle name="20 % - Markeringsfarve2 2 2" xfId="79"/>
    <cellStyle name="20 % - Markeringsfarve2 2 2 2" xfId="147"/>
    <cellStyle name="20 % - Markeringsfarve2 2 2 3" xfId="202"/>
    <cellStyle name="20 % - Markeringsfarve2 2 2 4" xfId="257"/>
    <cellStyle name="20 % - Markeringsfarve2 2 2 5" xfId="313"/>
    <cellStyle name="20 % - Markeringsfarve2 2 3" xfId="130"/>
    <cellStyle name="20 % - Markeringsfarve2 2 4" xfId="184"/>
    <cellStyle name="20 % - Markeringsfarve2 2 5" xfId="238"/>
    <cellStyle name="20 % - Markeringsfarve2 2 6" xfId="294"/>
    <cellStyle name="20 % - Markeringsfarve2 3" xfId="118"/>
    <cellStyle name="20 % - Markeringsfarve2 4" xfId="171"/>
    <cellStyle name="20 % - Markeringsfarve2 5" xfId="227"/>
    <cellStyle name="20 % - Markeringsfarve2 6" xfId="282"/>
    <cellStyle name="20 % - Markeringsfarve3" xfId="28" builtinId="38" customBuiltin="1"/>
    <cellStyle name="20 % - Markeringsfarve3 2" xfId="55"/>
    <cellStyle name="20 % - Markeringsfarve3 2 2" xfId="80"/>
    <cellStyle name="20 % - Markeringsfarve3 2 2 2" xfId="148"/>
    <cellStyle name="20 % - Markeringsfarve3 2 2 3" xfId="203"/>
    <cellStyle name="20 % - Markeringsfarve3 2 2 4" xfId="258"/>
    <cellStyle name="20 % - Markeringsfarve3 2 2 5" xfId="314"/>
    <cellStyle name="20 % - Markeringsfarve3 2 3" xfId="131"/>
    <cellStyle name="20 % - Markeringsfarve3 2 4" xfId="185"/>
    <cellStyle name="20 % - Markeringsfarve3 2 5" xfId="239"/>
    <cellStyle name="20 % - Markeringsfarve3 2 6" xfId="295"/>
    <cellStyle name="20 % - Markeringsfarve3 3" xfId="120"/>
    <cellStyle name="20 % - Markeringsfarve3 4" xfId="173"/>
    <cellStyle name="20 % - Markeringsfarve3 5" xfId="229"/>
    <cellStyle name="20 % - Markeringsfarve3 6" xfId="284"/>
    <cellStyle name="20 % - Markeringsfarve4" xfId="32" builtinId="42" customBuiltin="1"/>
    <cellStyle name="20 % - Markeringsfarve4 2" xfId="56"/>
    <cellStyle name="20 % - Markeringsfarve4 2 2" xfId="81"/>
    <cellStyle name="20 % - Markeringsfarve4 2 2 2" xfId="149"/>
    <cellStyle name="20 % - Markeringsfarve4 2 2 3" xfId="204"/>
    <cellStyle name="20 % - Markeringsfarve4 2 2 4" xfId="259"/>
    <cellStyle name="20 % - Markeringsfarve4 2 2 5" xfId="315"/>
    <cellStyle name="20 % - Markeringsfarve4 2 3" xfId="132"/>
    <cellStyle name="20 % - Markeringsfarve4 2 4" xfId="186"/>
    <cellStyle name="20 % - Markeringsfarve4 2 5" xfId="240"/>
    <cellStyle name="20 % - Markeringsfarve4 2 6" xfId="296"/>
    <cellStyle name="20 % - Markeringsfarve4 3" xfId="122"/>
    <cellStyle name="20 % - Markeringsfarve4 4" xfId="175"/>
    <cellStyle name="20 % - Markeringsfarve4 5" xfId="231"/>
    <cellStyle name="20 % - Markeringsfarve4 6" xfId="286"/>
    <cellStyle name="20 % - Markeringsfarve5" xfId="36" builtinId="46" customBuiltin="1"/>
    <cellStyle name="20 % - Markeringsfarve5 2" xfId="74"/>
    <cellStyle name="20 % - Markeringsfarve5 2 2" xfId="142"/>
    <cellStyle name="20 % - Markeringsfarve5 2 3" xfId="197"/>
    <cellStyle name="20 % - Markeringsfarve5 2 4" xfId="252"/>
    <cellStyle name="20 % - Markeringsfarve5 2 5" xfId="308"/>
    <cellStyle name="20 % - Markeringsfarve5 3" xfId="101"/>
    <cellStyle name="20 % - Markeringsfarve5 3 2" xfId="161"/>
    <cellStyle name="20 % - Markeringsfarve5 3 3" xfId="216"/>
    <cellStyle name="20 % - Markeringsfarve5 3 4" xfId="271"/>
    <cellStyle name="20 % - Markeringsfarve5 3 5" xfId="327"/>
    <cellStyle name="20 % - Markeringsfarve5 4" xfId="124"/>
    <cellStyle name="20 % - Markeringsfarve5 5" xfId="177"/>
    <cellStyle name="20 % - Markeringsfarve5 6" xfId="233"/>
    <cellStyle name="20 % - Markeringsfarve5 7" xfId="288"/>
    <cellStyle name="20 % - Markeringsfarve6" xfId="40" builtinId="50" customBuiltin="1"/>
    <cellStyle name="20 % - Markeringsfarve6 2" xfId="76"/>
    <cellStyle name="20 % - Markeringsfarve6 2 2" xfId="144"/>
    <cellStyle name="20 % - Markeringsfarve6 2 3" xfId="199"/>
    <cellStyle name="20 % - Markeringsfarve6 2 4" xfId="254"/>
    <cellStyle name="20 % - Markeringsfarve6 2 5" xfId="310"/>
    <cellStyle name="20 % - Markeringsfarve6 3" xfId="103"/>
    <cellStyle name="20 % - Markeringsfarve6 3 2" xfId="163"/>
    <cellStyle name="20 % - Markeringsfarve6 3 3" xfId="218"/>
    <cellStyle name="20 % - Markeringsfarve6 3 4" xfId="273"/>
    <cellStyle name="20 % - Markeringsfarve6 3 5" xfId="329"/>
    <cellStyle name="20 % - Markeringsfarve6 4" xfId="126"/>
    <cellStyle name="20 % - Markeringsfarve6 5" xfId="179"/>
    <cellStyle name="20 % - Markeringsfarve6 6" xfId="235"/>
    <cellStyle name="20 % - Markeringsfarve6 7" xfId="290"/>
    <cellStyle name="20% - Accent1" xfId="345"/>
    <cellStyle name="20% - Accent2" xfId="346"/>
    <cellStyle name="20% - Accent3" xfId="347"/>
    <cellStyle name="20% - Accent4" xfId="348"/>
    <cellStyle name="20% - Accent5" xfId="349"/>
    <cellStyle name="20% - Accent6" xfId="350"/>
    <cellStyle name="40 % - Markeringsfarve1" xfId="21" builtinId="31" customBuiltin="1"/>
    <cellStyle name="40 % - Markeringsfarve1 2" xfId="71"/>
    <cellStyle name="40 % - Markeringsfarve1 2 2" xfId="139"/>
    <cellStyle name="40 % - Markeringsfarve1 2 3" xfId="194"/>
    <cellStyle name="40 % - Markeringsfarve1 2 4" xfId="249"/>
    <cellStyle name="40 % - Markeringsfarve1 2 5" xfId="305"/>
    <cellStyle name="40 % - Markeringsfarve1 3" xfId="98"/>
    <cellStyle name="40 % - Markeringsfarve1 3 2" xfId="158"/>
    <cellStyle name="40 % - Markeringsfarve1 3 3" xfId="213"/>
    <cellStyle name="40 % - Markeringsfarve1 3 4" xfId="268"/>
    <cellStyle name="40 % - Markeringsfarve1 3 5" xfId="324"/>
    <cellStyle name="40 % - Markeringsfarve1 4" xfId="117"/>
    <cellStyle name="40 % - Markeringsfarve1 5" xfId="170"/>
    <cellStyle name="40 % - Markeringsfarve1 6" xfId="226"/>
    <cellStyle name="40 % - Markeringsfarve1 7" xfId="281"/>
    <cellStyle name="40 % - Markeringsfarve2" xfId="25" builtinId="35" customBuiltin="1"/>
    <cellStyle name="40 % - Markeringsfarve2 2" xfId="72"/>
    <cellStyle name="40 % - Markeringsfarve2 2 2" xfId="140"/>
    <cellStyle name="40 % - Markeringsfarve2 2 3" xfId="195"/>
    <cellStyle name="40 % - Markeringsfarve2 2 4" xfId="250"/>
    <cellStyle name="40 % - Markeringsfarve2 2 5" xfId="306"/>
    <cellStyle name="40 % - Markeringsfarve2 3" xfId="99"/>
    <cellStyle name="40 % - Markeringsfarve2 3 2" xfId="159"/>
    <cellStyle name="40 % - Markeringsfarve2 3 3" xfId="214"/>
    <cellStyle name="40 % - Markeringsfarve2 3 4" xfId="269"/>
    <cellStyle name="40 % - Markeringsfarve2 3 5" xfId="325"/>
    <cellStyle name="40 % - Markeringsfarve2 4" xfId="119"/>
    <cellStyle name="40 % - Markeringsfarve2 5" xfId="172"/>
    <cellStyle name="40 % - Markeringsfarve2 6" xfId="228"/>
    <cellStyle name="40 % - Markeringsfarve2 7" xfId="283"/>
    <cellStyle name="40 % - Markeringsfarve3" xfId="29" builtinId="39" customBuiltin="1"/>
    <cellStyle name="40 % - Markeringsfarve3 2" xfId="57"/>
    <cellStyle name="40 % - Markeringsfarve3 2 2" xfId="82"/>
    <cellStyle name="40 % - Markeringsfarve3 2 2 2" xfId="150"/>
    <cellStyle name="40 % - Markeringsfarve3 2 2 3" xfId="205"/>
    <cellStyle name="40 % - Markeringsfarve3 2 2 4" xfId="260"/>
    <cellStyle name="40 % - Markeringsfarve3 2 2 5" xfId="316"/>
    <cellStyle name="40 % - Markeringsfarve3 2 3" xfId="133"/>
    <cellStyle name="40 % - Markeringsfarve3 2 4" xfId="187"/>
    <cellStyle name="40 % - Markeringsfarve3 2 5" xfId="241"/>
    <cellStyle name="40 % - Markeringsfarve3 2 6" xfId="297"/>
    <cellStyle name="40 % - Markeringsfarve3 3" xfId="121"/>
    <cellStyle name="40 % - Markeringsfarve3 4" xfId="174"/>
    <cellStyle name="40 % - Markeringsfarve3 5" xfId="230"/>
    <cellStyle name="40 % - Markeringsfarve3 6" xfId="285"/>
    <cellStyle name="40 % - Markeringsfarve4" xfId="33" builtinId="43" customBuiltin="1"/>
    <cellStyle name="40 % - Markeringsfarve4 2" xfId="73"/>
    <cellStyle name="40 % - Markeringsfarve4 2 2" xfId="141"/>
    <cellStyle name="40 % - Markeringsfarve4 2 3" xfId="196"/>
    <cellStyle name="40 % - Markeringsfarve4 2 4" xfId="251"/>
    <cellStyle name="40 % - Markeringsfarve4 2 5" xfId="307"/>
    <cellStyle name="40 % - Markeringsfarve4 3" xfId="100"/>
    <cellStyle name="40 % - Markeringsfarve4 3 2" xfId="160"/>
    <cellStyle name="40 % - Markeringsfarve4 3 3" xfId="215"/>
    <cellStyle name="40 % - Markeringsfarve4 3 4" xfId="270"/>
    <cellStyle name="40 % - Markeringsfarve4 3 5" xfId="326"/>
    <cellStyle name="40 % - Markeringsfarve4 4" xfId="123"/>
    <cellStyle name="40 % - Markeringsfarve4 5" xfId="176"/>
    <cellStyle name="40 % - Markeringsfarve4 6" xfId="232"/>
    <cellStyle name="40 % - Markeringsfarve4 7" xfId="287"/>
    <cellStyle name="40 % - Markeringsfarve5" xfId="37" builtinId="47" customBuiltin="1"/>
    <cellStyle name="40 % - Markeringsfarve5 2" xfId="75"/>
    <cellStyle name="40 % - Markeringsfarve5 2 2" xfId="143"/>
    <cellStyle name="40 % - Markeringsfarve5 2 3" xfId="198"/>
    <cellStyle name="40 % - Markeringsfarve5 2 4" xfId="253"/>
    <cellStyle name="40 % - Markeringsfarve5 2 5" xfId="309"/>
    <cellStyle name="40 % - Markeringsfarve5 3" xfId="102"/>
    <cellStyle name="40 % - Markeringsfarve5 3 2" xfId="162"/>
    <cellStyle name="40 % - Markeringsfarve5 3 3" xfId="217"/>
    <cellStyle name="40 % - Markeringsfarve5 3 4" xfId="272"/>
    <cellStyle name="40 % - Markeringsfarve5 3 5" xfId="328"/>
    <cellStyle name="40 % - Markeringsfarve5 4" xfId="125"/>
    <cellStyle name="40 % - Markeringsfarve5 5" xfId="178"/>
    <cellStyle name="40 % - Markeringsfarve5 6" xfId="234"/>
    <cellStyle name="40 % - Markeringsfarve5 7" xfId="289"/>
    <cellStyle name="40 % - Markeringsfarve6" xfId="41" builtinId="51" customBuiltin="1"/>
    <cellStyle name="40 % - Markeringsfarve6 2" xfId="77"/>
    <cellStyle name="40 % - Markeringsfarve6 2 2" xfId="145"/>
    <cellStyle name="40 % - Markeringsfarve6 2 3" xfId="200"/>
    <cellStyle name="40 % - Markeringsfarve6 2 4" xfId="255"/>
    <cellStyle name="40 % - Markeringsfarve6 2 5" xfId="311"/>
    <cellStyle name="40 % - Markeringsfarve6 3" xfId="104"/>
    <cellStyle name="40 % - Markeringsfarve6 3 2" xfId="164"/>
    <cellStyle name="40 % - Markeringsfarve6 3 3" xfId="219"/>
    <cellStyle name="40 % - Markeringsfarve6 3 4" xfId="274"/>
    <cellStyle name="40 % - Markeringsfarve6 3 5" xfId="330"/>
    <cellStyle name="40 % - Markeringsfarve6 4" xfId="127"/>
    <cellStyle name="40 % - Markeringsfarve6 5" xfId="180"/>
    <cellStyle name="40 % - Markeringsfarve6 6" xfId="236"/>
    <cellStyle name="40 % - Markeringsfarve6 7" xfId="291"/>
    <cellStyle name="40% - Accent1" xfId="351"/>
    <cellStyle name="40% - Accent2" xfId="352"/>
    <cellStyle name="40% - Accent3" xfId="353"/>
    <cellStyle name="40% - Accent4" xfId="354"/>
    <cellStyle name="40% - Accent5" xfId="355"/>
    <cellStyle name="40% - Accent6" xfId="356"/>
    <cellStyle name="60 % - Markeringsfarve1" xfId="22" builtinId="32" customBuiltin="1"/>
    <cellStyle name="60 % - Markeringsfarve2" xfId="26" builtinId="36" customBuiltin="1"/>
    <cellStyle name="60 % - Markeringsfarve3" xfId="30" builtinId="40" customBuiltin="1"/>
    <cellStyle name="60 % - Markeringsfarve3 2" xfId="58"/>
    <cellStyle name="60 % - Markeringsfarve4" xfId="34" builtinId="44" customBuiltin="1"/>
    <cellStyle name="60 % - Markeringsfarve4 2" xfId="59"/>
    <cellStyle name="60 % - Markeringsfarve5" xfId="38" builtinId="48" customBuiltin="1"/>
    <cellStyle name="60 % - Markeringsfarve6" xfId="42" builtinId="52" customBuiltin="1"/>
    <cellStyle name="60 % - Markeringsfarve6 2" xfId="60"/>
    <cellStyle name="60% - Accent1" xfId="357"/>
    <cellStyle name="60% - Accent2" xfId="358"/>
    <cellStyle name="60% - Accent3" xfId="359"/>
    <cellStyle name="60% - Accent4" xfId="360"/>
    <cellStyle name="60% - Accent5" xfId="361"/>
    <cellStyle name="60% - Accent6" xfId="362"/>
    <cellStyle name="Accent1" xfId="363"/>
    <cellStyle name="Accent2" xfId="364"/>
    <cellStyle name="Accent3" xfId="365"/>
    <cellStyle name="Accent4" xfId="366"/>
    <cellStyle name="Accent5" xfId="367"/>
    <cellStyle name="Accent6" xfId="368"/>
    <cellStyle name="Advarselstekst" xfId="15" builtinId="11" customBuiltin="1"/>
    <cellStyle name="Bad" xfId="369"/>
    <cellStyle name="Beløb" xfId="333"/>
    <cellStyle name="Beløb (negative)" xfId="334"/>
    <cellStyle name="Beløb 1000" xfId="335"/>
    <cellStyle name="Beløb 1000 (negative)" xfId="336"/>
    <cellStyle name="Bemærk!" xfId="16" builtinId="10" customBuiltin="1"/>
    <cellStyle name="Bemærk! 2" xfId="61"/>
    <cellStyle name="Bemærk! 2 2" xfId="83"/>
    <cellStyle name="Bemærk! 2 2 2" xfId="151"/>
    <cellStyle name="Bemærk! 2 2 3" xfId="206"/>
    <cellStyle name="Bemærk! 2 2 4" xfId="261"/>
    <cellStyle name="Bemærk! 2 2 5" xfId="317"/>
    <cellStyle name="Bemærk! 2 3" xfId="134"/>
    <cellStyle name="Bemærk! 2 4" xfId="188"/>
    <cellStyle name="Bemærk! 2 5" xfId="242"/>
    <cellStyle name="Bemærk! 2 6" xfId="298"/>
    <cellStyle name="Bemærk! 3" xfId="97"/>
    <cellStyle name="Bemærk! 3 2" xfId="157"/>
    <cellStyle name="Bemærk! 3 3" xfId="212"/>
    <cellStyle name="Bemærk! 3 4" xfId="267"/>
    <cellStyle name="Bemærk! 3 5" xfId="323"/>
    <cellStyle name="Bemærk! 4" xfId="115"/>
    <cellStyle name="Bemærk! 5" xfId="168"/>
    <cellStyle name="Bemærk! 6" xfId="224"/>
    <cellStyle name="Bemærk! 7" xfId="279"/>
    <cellStyle name="Beregning" xfId="12" builtinId="22" customBuiltin="1"/>
    <cellStyle name="Calculation" xfId="370"/>
    <cellStyle name="Check Cell" xfId="371"/>
    <cellStyle name="Comma_Vandforsyning_standardpriser_27Okt_final" xfId="372"/>
    <cellStyle name="Decimal" xfId="337"/>
    <cellStyle name="Decimal (negative)" xfId="338"/>
    <cellStyle name="Explanatory Text" xfId="373"/>
    <cellStyle name="Forklarende tekst" xfId="17" builtinId="53" customBuiltin="1"/>
    <cellStyle name="God" xfId="7" builtinId="26" customBuiltin="1"/>
    <cellStyle name="Good" xfId="374"/>
    <cellStyle name="Heading 1" xfId="375"/>
    <cellStyle name="Heading 2" xfId="376"/>
    <cellStyle name="Heading 3" xfId="377"/>
    <cellStyle name="Heading 4" xfId="378"/>
    <cellStyle name="Input" xfId="10" builtinId="20" customBuiltin="1"/>
    <cellStyle name="Input 2" xfId="379"/>
    <cellStyle name="Komma 10" xfId="111"/>
    <cellStyle name="Komma 2" xfId="63"/>
    <cellStyle name="Komma 2 2" xfId="85"/>
    <cellStyle name="Komma 2 2 2" xfId="152"/>
    <cellStyle name="Komma 2 2 3" xfId="207"/>
    <cellStyle name="Komma 2 2 4" xfId="262"/>
    <cellStyle name="Komma 2 2 5" xfId="318"/>
    <cellStyle name="Komma 2 3" xfId="135"/>
    <cellStyle name="Komma 2 3 2" xfId="380"/>
    <cellStyle name="Komma 2 4" xfId="189"/>
    <cellStyle name="Komma 2 5" xfId="243"/>
    <cellStyle name="Komma 2 6" xfId="299"/>
    <cellStyle name="Komma 2 7" xfId="424"/>
    <cellStyle name="Komma 2_Ark1" xfId="425"/>
    <cellStyle name="Komma 3" xfId="84"/>
    <cellStyle name="Komma 3 2" xfId="381"/>
    <cellStyle name="Komma 3 3" xfId="403"/>
    <cellStyle name="Komma 4" xfId="68"/>
    <cellStyle name="Komma 4 2" xfId="137"/>
    <cellStyle name="Komma 4 2 2" xfId="344"/>
    <cellStyle name="Komma 4 3" xfId="192"/>
    <cellStyle name="Komma 4 4" xfId="247"/>
    <cellStyle name="Komma 4 5" xfId="303"/>
    <cellStyle name="Komma 5" xfId="96"/>
    <cellStyle name="Komma 5 2" xfId="156"/>
    <cellStyle name="Komma 5 3" xfId="211"/>
    <cellStyle name="Komma 5 4" xfId="266"/>
    <cellStyle name="Komma 5 5" xfId="322"/>
    <cellStyle name="Komma 5 6" xfId="421"/>
    <cellStyle name="Komma 5 7" xfId="415"/>
    <cellStyle name="Komma 5_Ark1" xfId="418"/>
    <cellStyle name="Komma 6" xfId="62"/>
    <cellStyle name="Komma 6 2" xfId="399"/>
    <cellStyle name="Komma 7" xfId="114"/>
    <cellStyle name="Komma 8" xfId="276"/>
    <cellStyle name="Komma 9" xfId="278"/>
    <cellStyle name="Kontroller celle" xfId="14" builtinId="23" customBuiltin="1"/>
    <cellStyle name="Linked Cell" xfId="382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eutral 2" xfId="383"/>
    <cellStyle name="Normal" xfId="0" builtinId="0"/>
    <cellStyle name="Normal 10" xfId="222"/>
    <cellStyle name="Normal 11" xfId="277"/>
    <cellStyle name="Normal 12" xfId="110"/>
    <cellStyle name="Normal 12 2" xfId="423"/>
    <cellStyle name="Normal 2" xfId="43"/>
    <cellStyle name="Normal 2 2" xfId="44"/>
    <cellStyle name="Normal 2 2 2" xfId="87"/>
    <cellStyle name="Normal 2 2 2 2" xfId="405"/>
    <cellStyle name="Normal 2 2 3" xfId="392"/>
    <cellStyle name="Normal 2 3" xfId="50"/>
    <cellStyle name="Normal 2 3 2" xfId="86"/>
    <cellStyle name="Normal 2 3 2 2" xfId="404"/>
    <cellStyle name="Normal 2 3 3" xfId="182"/>
    <cellStyle name="Normal 2 4" xfId="107"/>
    <cellStyle name="Normal 2 4 2" xfId="390"/>
    <cellStyle name="Normal 2 4 3" xfId="411"/>
    <cellStyle name="Normal 2 5" xfId="391"/>
    <cellStyle name="Normal 3" xfId="1"/>
    <cellStyle name="Normal 3 2" xfId="46"/>
    <cellStyle name="Normal 3 2 2" xfId="89"/>
    <cellStyle name="Normal 3 2 2 2" xfId="406"/>
    <cellStyle name="Normal 3 2 3" xfId="394"/>
    <cellStyle name="Normal 3 3" xfId="45"/>
    <cellStyle name="Normal 3 3 2" xfId="90"/>
    <cellStyle name="Normal 3 3 2 2" xfId="407"/>
    <cellStyle name="Normal 3 3 3" xfId="393"/>
    <cellStyle name="Normal 3 4" xfId="88"/>
    <cellStyle name="Normal 3 4 2" xfId="153"/>
    <cellStyle name="Normal 3 4 3" xfId="208"/>
    <cellStyle name="Normal 3 4 4" xfId="263"/>
    <cellStyle name="Normal 3 4 5" xfId="319"/>
    <cellStyle name="Normal 3 5" xfId="106"/>
    <cellStyle name="Normal 3 5 2" xfId="221"/>
    <cellStyle name="Normal 3 5 3" xfId="244"/>
    <cellStyle name="Normal 3 5 4" xfId="300"/>
    <cellStyle name="Normal 3 6" xfId="167"/>
    <cellStyle name="Normal 4" xfId="51"/>
    <cellStyle name="Normal 4 2" xfId="70"/>
    <cellStyle name="Normal 4 2 2" xfId="402"/>
    <cellStyle name="Normal 4 3" xfId="108"/>
    <cellStyle name="Normal 4 3 2" xfId="332"/>
    <cellStyle name="Normal 4 3 3" xfId="412"/>
    <cellStyle name="Normal 4 4" xfId="397"/>
    <cellStyle name="Normal 5" xfId="67"/>
    <cellStyle name="Normal 5 2" xfId="136"/>
    <cellStyle name="Normal 5 3" xfId="191"/>
    <cellStyle name="Normal 5 4" xfId="246"/>
    <cellStyle name="Normal 5 5" xfId="302"/>
    <cellStyle name="Normal 6" xfId="95"/>
    <cellStyle name="Normal 6 2" xfId="155"/>
    <cellStyle name="Normal 6 3" xfId="210"/>
    <cellStyle name="Normal 6 4" xfId="265"/>
    <cellStyle name="Normal 6 5" xfId="321"/>
    <cellStyle name="Normal 6 6" xfId="420"/>
    <cellStyle name="Normal 6 7" xfId="414"/>
    <cellStyle name="Normal 6_Ark1" xfId="417"/>
    <cellStyle name="Normal 7" xfId="52"/>
    <cellStyle name="Normal 7 2" xfId="109"/>
    <cellStyle name="Normal 7 2 2" xfId="413"/>
    <cellStyle name="Normal 7 3" xfId="398"/>
    <cellStyle name="Normal 7_UdkastAfgørelser" xfId="419"/>
    <cellStyle name="Normal 8" xfId="113"/>
    <cellStyle name="Normal 9" xfId="166"/>
    <cellStyle name="Note" xfId="384"/>
    <cellStyle name="Output" xfId="11" builtinId="21" customBuiltin="1"/>
    <cellStyle name="Output 2" xfId="385"/>
    <cellStyle name="Overskrift" xfId="339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49" builtinId="5"/>
    <cellStyle name="Procent 10" xfId="292"/>
    <cellStyle name="Procent 11" xfId="112"/>
    <cellStyle name="Procent 2" xfId="47"/>
    <cellStyle name="Procent 2 2" xfId="48"/>
    <cellStyle name="Procent 2 2 2" xfId="93"/>
    <cellStyle name="Procent 2 2 2 2" xfId="409"/>
    <cellStyle name="Procent 2 2 3" xfId="396"/>
    <cellStyle name="Procent 2 3" xfId="66"/>
    <cellStyle name="Procent 2 3 2" xfId="94"/>
    <cellStyle name="Procent 2 3 2 2" xfId="410"/>
    <cellStyle name="Procent 2 3 3" xfId="401"/>
    <cellStyle name="Procent 2 4" xfId="92"/>
    <cellStyle name="Procent 2 4 2" xfId="154"/>
    <cellStyle name="Procent 2 4 3" xfId="209"/>
    <cellStyle name="Procent 2 4 4" xfId="264"/>
    <cellStyle name="Procent 2 4 5" xfId="320"/>
    <cellStyle name="Procent 2 5" xfId="65"/>
    <cellStyle name="Procent 2 5 2" xfId="190"/>
    <cellStyle name="Procent 2 5 3" xfId="245"/>
    <cellStyle name="Procent 2 5 4" xfId="301"/>
    <cellStyle name="Procent 2 6" xfId="386"/>
    <cellStyle name="Procent 2 7" xfId="395"/>
    <cellStyle name="Procent 3" xfId="91"/>
    <cellStyle name="Procent 3 2" xfId="408"/>
    <cellStyle name="Procent 4" xfId="69"/>
    <cellStyle name="Procent 4 2" xfId="138"/>
    <cellStyle name="Procent 4 3" xfId="193"/>
    <cellStyle name="Procent 4 4" xfId="248"/>
    <cellStyle name="Procent 4 5" xfId="304"/>
    <cellStyle name="Procent 5" xfId="105"/>
    <cellStyle name="Procent 5 2" xfId="165"/>
    <cellStyle name="Procent 5 3" xfId="220"/>
    <cellStyle name="Procent 5 4" xfId="275"/>
    <cellStyle name="Procent 5 5" xfId="331"/>
    <cellStyle name="Procent 5 6" xfId="422"/>
    <cellStyle name="Procent 5 7" xfId="416"/>
    <cellStyle name="Procent 6" xfId="64"/>
    <cellStyle name="Procent 6 2" xfId="400"/>
    <cellStyle name="Procent 7" xfId="128"/>
    <cellStyle name="Procent 8" xfId="181"/>
    <cellStyle name="Procent 9" xfId="223"/>
    <cellStyle name="Sammenkædet celle" xfId="13" builtinId="24" customBuiltin="1"/>
    <cellStyle name="Titel" xfId="2" builtinId="15" customBuiltin="1"/>
    <cellStyle name="Title" xfId="387"/>
    <cellStyle name="Total" xfId="18" builtinId="25" customBuiltin="1"/>
    <cellStyle name="Total (negative)" xfId="341"/>
    <cellStyle name="Total 1000" xfId="342"/>
    <cellStyle name="Total 1000 (negative)" xfId="343"/>
    <cellStyle name="Total 2" xfId="388"/>
    <cellStyle name="Total 3" xfId="340"/>
    <cellStyle name="Ugyldig" xfId="8" builtinId="27" customBuiltin="1"/>
    <cellStyle name="Warning Text" xfId="389"/>
  </cellStyles>
  <dxfs count="9"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2"/>
  <sheetViews>
    <sheetView tabSelected="1" zoomScaleNormal="85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S35" sqref="S35"/>
    </sheetView>
  </sheetViews>
  <sheetFormatPr defaultRowHeight="15" x14ac:dyDescent="0.25"/>
  <cols>
    <col min="1" max="1" width="35" style="138" customWidth="1"/>
    <col min="2" max="2" width="12.5703125" style="139" customWidth="1"/>
    <col min="3" max="3" width="12.5703125" style="58" customWidth="1"/>
    <col min="4" max="4" width="10.28515625" style="58" customWidth="1"/>
    <col min="5" max="5" width="11.5703125" style="58" customWidth="1"/>
    <col min="6" max="6" width="13.85546875" style="58" customWidth="1"/>
    <col min="7" max="7" width="12.5703125" style="58" customWidth="1"/>
    <col min="8" max="8" width="12.7109375" style="58" customWidth="1"/>
    <col min="9" max="9" width="18.85546875" style="57" customWidth="1"/>
    <col min="10" max="10" width="19" style="58" customWidth="1"/>
    <col min="11" max="11" width="15.140625" style="57" customWidth="1"/>
    <col min="12" max="12" width="14.5703125" style="57" customWidth="1"/>
    <col min="13" max="13" width="19" style="57" customWidth="1"/>
    <col min="14" max="14" width="10.42578125" style="58" bestFit="1" customWidth="1"/>
    <col min="15" max="15" width="17.28515625" style="58" bestFit="1" customWidth="1"/>
    <col min="16" max="16" width="17.42578125" style="58" customWidth="1"/>
    <col min="17" max="17" width="14.7109375" style="57" customWidth="1"/>
    <col min="18" max="18" width="9.140625" style="57" customWidth="1"/>
    <col min="19" max="19" width="14.42578125" style="58" customWidth="1"/>
    <col min="20" max="20" width="9.140625" style="139" customWidth="1"/>
    <col min="21" max="16384" width="9.140625" style="139"/>
  </cols>
  <sheetData>
    <row r="1" spans="1:72" ht="60.75" thickBot="1" x14ac:dyDescent="0.3">
      <c r="A1" s="99" t="s">
        <v>112</v>
      </c>
      <c r="B1" s="184" t="s">
        <v>124</v>
      </c>
      <c r="C1" s="183" t="s">
        <v>148</v>
      </c>
      <c r="D1" s="185" t="s">
        <v>138</v>
      </c>
      <c r="E1" s="186" t="s">
        <v>139</v>
      </c>
      <c r="F1" s="187" t="s">
        <v>152</v>
      </c>
      <c r="G1" s="188" t="s">
        <v>135</v>
      </c>
      <c r="H1" s="189" t="s">
        <v>136</v>
      </c>
      <c r="I1" s="185" t="s">
        <v>140</v>
      </c>
      <c r="J1" s="186" t="s">
        <v>141</v>
      </c>
      <c r="K1" s="190" t="s">
        <v>153</v>
      </c>
      <c r="L1" s="191" t="s">
        <v>154</v>
      </c>
      <c r="M1" s="188" t="s">
        <v>155</v>
      </c>
      <c r="N1" s="189" t="s">
        <v>156</v>
      </c>
      <c r="O1" s="192" t="s">
        <v>157</v>
      </c>
      <c r="P1" s="189" t="s">
        <v>158</v>
      </c>
      <c r="Q1" s="188" t="s">
        <v>125</v>
      </c>
      <c r="R1" s="193" t="s">
        <v>126</v>
      </c>
      <c r="S1" s="189" t="s">
        <v>159</v>
      </c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</row>
    <row r="2" spans="1:72" x14ac:dyDescent="0.25">
      <c r="A2" s="44" t="s">
        <v>39</v>
      </c>
      <c r="B2" s="160"/>
      <c r="C2" s="160">
        <v>13189280</v>
      </c>
      <c r="D2" s="164">
        <v>0.53007933200000001</v>
      </c>
      <c r="E2" s="165">
        <f t="shared" ref="E2:E17" si="0">C2*D2</f>
        <v>6991364.7319609597</v>
      </c>
      <c r="F2" s="160">
        <v>500621.41265744454</v>
      </c>
      <c r="G2" s="164">
        <v>0.50277680000000002</v>
      </c>
      <c r="H2" s="165">
        <f t="shared" ref="H2:H17" si="1">G2*C2</f>
        <v>6631263.9927040003</v>
      </c>
      <c r="I2" s="164">
        <v>0.38317954799999998</v>
      </c>
      <c r="J2" s="165">
        <f t="shared" ref="J2:J17" si="2">C2*I2</f>
        <v>5053862.34884544</v>
      </c>
      <c r="K2" s="170">
        <f>IF(Netvolumenmål!AS3&lt;Netvolumenmål!$AG$66,(Netvolumenmål!AS3-Netvolumenmål!$AG$66),0)</f>
        <v>-0.26832145998700296</v>
      </c>
      <c r="L2" s="171">
        <f>Netvolumenmål!AT3*0.8</f>
        <v>-5.9717624134707381E-2</v>
      </c>
      <c r="M2" s="174">
        <f>IF(I2=0,0,IF(I2&lt;-L2,0,I2+L2))</f>
        <v>0.3234619238652926</v>
      </c>
      <c r="N2" s="165">
        <f>(M2*C2)</f>
        <v>4266229.8831980266</v>
      </c>
      <c r="O2" s="176">
        <f>IF(G2&gt;0,C2-H2,"Over fronten")</f>
        <v>6558016.0072959997</v>
      </c>
      <c r="P2" s="165">
        <f>IF(O2&gt;C2*1.015,O2-C2*1.015,0)</f>
        <v>0</v>
      </c>
      <c r="Q2" s="164">
        <f>M2/4</f>
        <v>8.086548096632315E-2</v>
      </c>
      <c r="R2" s="179">
        <f>IF(Q2&gt;0.01,IF(Q2&gt;0.05,0.05,Q2),0)</f>
        <v>0.05</v>
      </c>
      <c r="S2" s="165">
        <f>R2*C2</f>
        <v>659464</v>
      </c>
    </row>
    <row r="3" spans="1:72" x14ac:dyDescent="0.25">
      <c r="A3" s="44" t="s">
        <v>40</v>
      </c>
      <c r="B3" s="159"/>
      <c r="C3" s="160">
        <v>31816802</v>
      </c>
      <c r="D3" s="164">
        <v>0.38385993499999999</v>
      </c>
      <c r="E3" s="165">
        <f t="shared" si="0"/>
        <v>12213195.54762787</v>
      </c>
      <c r="F3" s="160">
        <v>176344</v>
      </c>
      <c r="G3" s="164">
        <v>0.38022576800000002</v>
      </c>
      <c r="H3" s="165">
        <f t="shared" si="1"/>
        <v>12097567.975753937</v>
      </c>
      <c r="I3" s="164">
        <v>0.25062623099999998</v>
      </c>
      <c r="J3" s="165">
        <f t="shared" si="2"/>
        <v>7974125.1677332614</v>
      </c>
      <c r="K3" s="170">
        <f>IF(Netvolumenmål!AS4&lt;Netvolumenmål!$AG$66,(Netvolumenmål!AS4-Netvolumenmål!$AG$66),0)</f>
        <v>0</v>
      </c>
      <c r="L3" s="171">
        <f>Netvolumenmål!AT4*0.8</f>
        <v>0</v>
      </c>
      <c r="M3" s="174">
        <f t="shared" ref="M3:M33" si="3">IF(I3=0,0,IF(I3&lt;-L3,0,I3+L3))</f>
        <v>0.25062623099999998</v>
      </c>
      <c r="N3" s="165">
        <f t="shared" ref="N3:N33" si="4">(M3*C3)</f>
        <v>7974125.1677332614</v>
      </c>
      <c r="O3" s="176">
        <f t="shared" ref="O3:O17" si="5">IF(G3&gt;0,C3-H3,"Over fronten")</f>
        <v>19719234.024246063</v>
      </c>
      <c r="P3" s="165">
        <f t="shared" ref="P3:P33" si="6">IF(O3&gt;C3*1.015,O3-C3*1.015,0)</f>
        <v>0</v>
      </c>
      <c r="Q3" s="164">
        <f t="shared" ref="Q3:Q17" si="7">M3/4</f>
        <v>6.2656557749999994E-2</v>
      </c>
      <c r="R3" s="179">
        <f t="shared" ref="R3:R33" si="8">IF(Q3&gt;0.01,IF(Q3&gt;0.05,0.05,Q3),0)</f>
        <v>0.05</v>
      </c>
      <c r="S3" s="165">
        <f t="shared" ref="S3:S33" si="9">R3*C3</f>
        <v>1590840.1</v>
      </c>
    </row>
    <row r="4" spans="1:72" x14ac:dyDescent="0.25">
      <c r="A4" s="44" t="s">
        <v>41</v>
      </c>
      <c r="B4" s="160"/>
      <c r="C4" s="160">
        <v>27970876</v>
      </c>
      <c r="D4" s="164">
        <v>0.15629827299999999</v>
      </c>
      <c r="E4" s="165">
        <f t="shared" si="0"/>
        <v>4371799.613097148</v>
      </c>
      <c r="F4" s="160">
        <v>162349.61629815184</v>
      </c>
      <c r="G4" s="164">
        <v>0.152512599</v>
      </c>
      <c r="H4" s="165">
        <f t="shared" si="1"/>
        <v>4265910.9950667238</v>
      </c>
      <c r="I4" s="164">
        <v>2.2067725999999999E-2</v>
      </c>
      <c r="J4" s="165">
        <f t="shared" si="2"/>
        <v>617253.62754797598</v>
      </c>
      <c r="K4" s="170">
        <f>IF(Netvolumenmål!AS5&lt;Netvolumenmål!$AG$66,(Netvolumenmål!AS5-Netvolumenmål!$AG$66),0)</f>
        <v>0</v>
      </c>
      <c r="L4" s="171">
        <f>Netvolumenmål!AT5*0.8</f>
        <v>0</v>
      </c>
      <c r="M4" s="174">
        <f t="shared" si="3"/>
        <v>2.2067725999999999E-2</v>
      </c>
      <c r="N4" s="165">
        <f t="shared" si="4"/>
        <v>617253.62754797598</v>
      </c>
      <c r="O4" s="176">
        <f t="shared" si="5"/>
        <v>23704965.004933275</v>
      </c>
      <c r="P4" s="165">
        <f t="shared" si="6"/>
        <v>0</v>
      </c>
      <c r="Q4" s="164">
        <f t="shared" si="7"/>
        <v>5.5169314999999998E-3</v>
      </c>
      <c r="R4" s="179">
        <f t="shared" si="8"/>
        <v>0</v>
      </c>
      <c r="S4" s="165">
        <f t="shared" si="9"/>
        <v>0</v>
      </c>
    </row>
    <row r="5" spans="1:72" x14ac:dyDescent="0.25">
      <c r="A5" s="44" t="s">
        <v>42</v>
      </c>
      <c r="B5" s="160"/>
      <c r="C5" s="160">
        <v>4693026</v>
      </c>
      <c r="D5" s="164">
        <v>0</v>
      </c>
      <c r="E5" s="165">
        <f t="shared" si="0"/>
        <v>0</v>
      </c>
      <c r="F5" s="160">
        <v>551806.12624795642</v>
      </c>
      <c r="G5" s="164">
        <v>0</v>
      </c>
      <c r="H5" s="165">
        <f t="shared" si="1"/>
        <v>0</v>
      </c>
      <c r="I5" s="164">
        <v>0</v>
      </c>
      <c r="J5" s="165">
        <f t="shared" si="2"/>
        <v>0</v>
      </c>
      <c r="K5" s="170">
        <f>IF(Netvolumenmål!AS6&lt;Netvolumenmål!$AG$66,(Netvolumenmål!AS6-Netvolumenmål!$AG$66),0)</f>
        <v>-0.27089570016094289</v>
      </c>
      <c r="L5" s="171">
        <f>Netvolumenmål!AT6*0.8</f>
        <v>-6.0290547027819455E-2</v>
      </c>
      <c r="M5" s="174">
        <f t="shared" si="3"/>
        <v>0</v>
      </c>
      <c r="N5" s="165">
        <f t="shared" si="4"/>
        <v>0</v>
      </c>
      <c r="O5" s="176">
        <f>1.1794*C5</f>
        <v>5534954.8644000003</v>
      </c>
      <c r="P5" s="177">
        <f>IF(O5&gt;C5*1.015,O5-C5*1.015,0)</f>
        <v>771533.47440000065</v>
      </c>
      <c r="Q5" s="164">
        <f t="shared" si="7"/>
        <v>0</v>
      </c>
      <c r="R5" s="179">
        <f t="shared" si="8"/>
        <v>0</v>
      </c>
      <c r="S5" s="165">
        <f t="shared" si="9"/>
        <v>0</v>
      </c>
    </row>
    <row r="6" spans="1:72" x14ac:dyDescent="0.25">
      <c r="A6" s="44" t="s">
        <v>43</v>
      </c>
      <c r="B6" s="160"/>
      <c r="C6" s="160">
        <v>17330696</v>
      </c>
      <c r="D6" s="164">
        <v>0.240014426</v>
      </c>
      <c r="E6" s="165">
        <f t="shared" si="0"/>
        <v>4159617.0526204961</v>
      </c>
      <c r="F6" s="160"/>
      <c r="G6" s="164">
        <v>0.240014426</v>
      </c>
      <c r="H6" s="165">
        <f t="shared" si="1"/>
        <v>4159617.0526204961</v>
      </c>
      <c r="I6" s="164">
        <v>0.115539562</v>
      </c>
      <c r="J6" s="165">
        <f t="shared" si="2"/>
        <v>2002381.0249951519</v>
      </c>
      <c r="K6" s="170">
        <f>IF(Netvolumenmål!AS7&lt;Netvolumenmål!$AG$66,(Netvolumenmål!AS7-Netvolumenmål!$AG$66),0)</f>
        <v>0</v>
      </c>
      <c r="L6" s="171">
        <f>Netvolumenmål!AT7*0.8</f>
        <v>0</v>
      </c>
      <c r="M6" s="174">
        <f t="shared" si="3"/>
        <v>0.115539562</v>
      </c>
      <c r="N6" s="165">
        <f t="shared" si="4"/>
        <v>2002381.0249951519</v>
      </c>
      <c r="O6" s="176">
        <f t="shared" si="5"/>
        <v>13171078.947379503</v>
      </c>
      <c r="P6" s="165">
        <f t="shared" si="6"/>
        <v>0</v>
      </c>
      <c r="Q6" s="164">
        <f t="shared" si="7"/>
        <v>2.88848905E-2</v>
      </c>
      <c r="R6" s="179">
        <f t="shared" si="8"/>
        <v>2.88848905E-2</v>
      </c>
      <c r="S6" s="165">
        <f t="shared" si="9"/>
        <v>500595.25624878798</v>
      </c>
    </row>
    <row r="7" spans="1:72" x14ac:dyDescent="0.25">
      <c r="A7" s="44" t="s">
        <v>46</v>
      </c>
      <c r="B7" s="160"/>
      <c r="C7" s="160">
        <v>22698560</v>
      </c>
      <c r="D7" s="164">
        <v>0.28113765800000001</v>
      </c>
      <c r="E7" s="165">
        <f t="shared" si="0"/>
        <v>6381419.9983724803</v>
      </c>
      <c r="F7" s="160">
        <v>4183606.6986789024</v>
      </c>
      <c r="G7" s="164">
        <v>0.14452942199999999</v>
      </c>
      <c r="H7" s="165">
        <f t="shared" si="1"/>
        <v>3280609.7570323199</v>
      </c>
      <c r="I7" s="164">
        <v>1.9749254000000001E-2</v>
      </c>
      <c r="J7" s="165">
        <f t="shared" si="2"/>
        <v>448279.62687424</v>
      </c>
      <c r="K7" s="170">
        <f>IF(Netvolumenmål!AS8&lt;Netvolumenmål!$AG$66,(Netvolumenmål!AS8-Netvolumenmål!$AG$66),0)</f>
        <v>0</v>
      </c>
      <c r="L7" s="171">
        <f>Netvolumenmål!AT8*0.8</f>
        <v>0</v>
      </c>
      <c r="M7" s="174">
        <f t="shared" si="3"/>
        <v>1.9749254000000001E-2</v>
      </c>
      <c r="N7" s="165">
        <f t="shared" si="4"/>
        <v>448279.62687424</v>
      </c>
      <c r="O7" s="176">
        <f t="shared" si="5"/>
        <v>19417950.24296768</v>
      </c>
      <c r="P7" s="165">
        <f t="shared" si="6"/>
        <v>0</v>
      </c>
      <c r="Q7" s="164">
        <f t="shared" si="7"/>
        <v>4.9373135000000002E-3</v>
      </c>
      <c r="R7" s="179">
        <f t="shared" si="8"/>
        <v>0</v>
      </c>
      <c r="S7" s="165">
        <f t="shared" si="9"/>
        <v>0</v>
      </c>
    </row>
    <row r="8" spans="1:72" x14ac:dyDescent="0.25">
      <c r="A8" s="44" t="s">
        <v>44</v>
      </c>
      <c r="B8" s="160"/>
      <c r="C8" s="160">
        <v>26790593</v>
      </c>
      <c r="D8" s="164">
        <v>0.23946927000000001</v>
      </c>
      <c r="E8" s="165">
        <f t="shared" si="0"/>
        <v>6415523.7485771105</v>
      </c>
      <c r="F8" s="160">
        <v>68923.786942089107</v>
      </c>
      <c r="G8" s="164">
        <v>0.23779129600000001</v>
      </c>
      <c r="H8" s="165">
        <f t="shared" si="1"/>
        <v>6370569.8300785283</v>
      </c>
      <c r="I8" s="164">
        <v>0.107346408</v>
      </c>
      <c r="J8" s="165">
        <f t="shared" si="2"/>
        <v>2875873.9267399441</v>
      </c>
      <c r="K8" s="170">
        <f>IF(Netvolumenmål!AS9&lt;Netvolumenmål!$AG$66,(Netvolumenmål!AS9-Netvolumenmål!$AG$66),0)</f>
        <v>0</v>
      </c>
      <c r="L8" s="171">
        <f>Netvolumenmål!AT9*0.8</f>
        <v>0</v>
      </c>
      <c r="M8" s="174">
        <f t="shared" si="3"/>
        <v>0.107346408</v>
      </c>
      <c r="N8" s="165">
        <f t="shared" si="4"/>
        <v>2875873.9267399441</v>
      </c>
      <c r="O8" s="176">
        <f t="shared" si="5"/>
        <v>20420023.169921473</v>
      </c>
      <c r="P8" s="165">
        <f t="shared" si="6"/>
        <v>0</v>
      </c>
      <c r="Q8" s="164">
        <f t="shared" si="7"/>
        <v>2.6836602000000001E-2</v>
      </c>
      <c r="R8" s="179">
        <f t="shared" si="8"/>
        <v>2.6836602000000001E-2</v>
      </c>
      <c r="S8" s="165">
        <f t="shared" si="9"/>
        <v>718968.48168498604</v>
      </c>
    </row>
    <row r="9" spans="1:72" ht="15.75" x14ac:dyDescent="0.25">
      <c r="A9" s="44" t="s">
        <v>45</v>
      </c>
      <c r="B9" s="159"/>
      <c r="C9" s="160">
        <v>32615804</v>
      </c>
      <c r="D9" s="164">
        <v>0.29769525099999999</v>
      </c>
      <c r="E9" s="165">
        <f t="shared" si="0"/>
        <v>9709569.9583468046</v>
      </c>
      <c r="F9" s="168">
        <v>4299803</v>
      </c>
      <c r="G9" s="164">
        <v>0.20078500099999999</v>
      </c>
      <c r="H9" s="165">
        <f t="shared" si="1"/>
        <v>6548764.2387558036</v>
      </c>
      <c r="I9" s="164">
        <v>7.6004832999999994E-2</v>
      </c>
      <c r="J9" s="165">
        <f t="shared" si="2"/>
        <v>2478958.736180732</v>
      </c>
      <c r="K9" s="170">
        <f>IF(Netvolumenmål!AS10&lt;Netvolumenmål!$AG$66,(Netvolumenmål!AS10-Netvolumenmål!$AG$66),0)</f>
        <v>0</v>
      </c>
      <c r="L9" s="171">
        <f>Netvolumenmål!AT10*0.8</f>
        <v>0</v>
      </c>
      <c r="M9" s="174">
        <f t="shared" si="3"/>
        <v>7.6004832999999994E-2</v>
      </c>
      <c r="N9" s="165">
        <f t="shared" si="4"/>
        <v>2478958.736180732</v>
      </c>
      <c r="O9" s="176">
        <f t="shared" si="5"/>
        <v>26067039.761244196</v>
      </c>
      <c r="P9" s="165">
        <f t="shared" si="6"/>
        <v>0</v>
      </c>
      <c r="Q9" s="164">
        <f t="shared" si="7"/>
        <v>1.9001208249999998E-2</v>
      </c>
      <c r="R9" s="179">
        <f t="shared" si="8"/>
        <v>1.9001208249999998E-2</v>
      </c>
      <c r="S9" s="165">
        <f t="shared" si="9"/>
        <v>619739.68404518301</v>
      </c>
    </row>
    <row r="10" spans="1:72" x14ac:dyDescent="0.25">
      <c r="A10" s="44" t="s">
        <v>47</v>
      </c>
      <c r="B10" s="159"/>
      <c r="C10" s="160">
        <v>18943591</v>
      </c>
      <c r="D10" s="164">
        <v>0.108772332</v>
      </c>
      <c r="E10" s="165">
        <f t="shared" si="0"/>
        <v>2060538.569524212</v>
      </c>
      <c r="F10" s="160">
        <v>163055</v>
      </c>
      <c r="G10" s="164">
        <v>0.10043197399999999</v>
      </c>
      <c r="H10" s="165">
        <f t="shared" si="1"/>
        <v>1902542.2387786338</v>
      </c>
      <c r="I10" s="164">
        <v>0</v>
      </c>
      <c r="J10" s="165">
        <f t="shared" si="2"/>
        <v>0</v>
      </c>
      <c r="K10" s="170">
        <f>IF(Netvolumenmål!AS11&lt;Netvolumenmål!$AG$66,(Netvolumenmål!AS11-Netvolumenmål!$AG$66),0)</f>
        <v>-0.33019999417461432</v>
      </c>
      <c r="L10" s="171">
        <f>Netvolumenmål!AT11*0.8</f>
        <v>-7.3489310703502161E-2</v>
      </c>
      <c r="M10" s="174">
        <f t="shared" si="3"/>
        <v>0</v>
      </c>
      <c r="N10" s="165">
        <f t="shared" si="4"/>
        <v>0</v>
      </c>
      <c r="O10" s="176">
        <f>IF(G10&gt;0,C10-H10,"Over fronten")</f>
        <v>17041048.761221368</v>
      </c>
      <c r="P10" s="165">
        <f t="shared" si="6"/>
        <v>0</v>
      </c>
      <c r="Q10" s="164">
        <f t="shared" si="7"/>
        <v>0</v>
      </c>
      <c r="R10" s="179">
        <f t="shared" si="8"/>
        <v>0</v>
      </c>
      <c r="S10" s="165">
        <f t="shared" si="9"/>
        <v>0</v>
      </c>
    </row>
    <row r="11" spans="1:72" x14ac:dyDescent="0.25">
      <c r="A11" s="44" t="s">
        <v>48</v>
      </c>
      <c r="B11" s="159"/>
      <c r="C11" s="160">
        <v>36147546</v>
      </c>
      <c r="D11" s="164">
        <v>0.313612734</v>
      </c>
      <c r="E11" s="165">
        <f t="shared" si="0"/>
        <v>11336330.728450764</v>
      </c>
      <c r="F11" s="160">
        <v>50285</v>
      </c>
      <c r="G11" s="164">
        <v>0.31268386500000001</v>
      </c>
      <c r="H11" s="165">
        <f t="shared" si="1"/>
        <v>11302754.39354529</v>
      </c>
      <c r="I11" s="164">
        <v>0.185623119</v>
      </c>
      <c r="J11" s="165">
        <f t="shared" si="2"/>
        <v>6709820.2327159746</v>
      </c>
      <c r="K11" s="170">
        <f>IF(Netvolumenmål!AS12&lt;Netvolumenmål!$AG$66,(Netvolumenmål!AS12-Netvolumenmål!$AG$66),0)</f>
        <v>0</v>
      </c>
      <c r="L11" s="171">
        <f>Netvolumenmål!AT12*0.8</f>
        <v>0</v>
      </c>
      <c r="M11" s="174">
        <f t="shared" si="3"/>
        <v>0.185623119</v>
      </c>
      <c r="N11" s="165">
        <f t="shared" si="4"/>
        <v>6709820.2327159746</v>
      </c>
      <c r="O11" s="176">
        <f t="shared" si="5"/>
        <v>24844791.606454708</v>
      </c>
      <c r="P11" s="165">
        <f t="shared" si="6"/>
        <v>0</v>
      </c>
      <c r="Q11" s="164">
        <f t="shared" si="7"/>
        <v>4.6405779750000001E-2</v>
      </c>
      <c r="R11" s="179">
        <f t="shared" si="8"/>
        <v>4.6405779750000001E-2</v>
      </c>
      <c r="S11" s="165">
        <f t="shared" si="9"/>
        <v>1677455.0581789936</v>
      </c>
    </row>
    <row r="12" spans="1:72" x14ac:dyDescent="0.25">
      <c r="A12" s="159" t="s">
        <v>113</v>
      </c>
      <c r="B12" s="160"/>
      <c r="C12" s="160">
        <v>23604049</v>
      </c>
      <c r="D12" s="164">
        <v>0.54833053600000004</v>
      </c>
      <c r="E12" s="165">
        <f t="shared" si="0"/>
        <v>12942820.839940265</v>
      </c>
      <c r="F12" s="160">
        <v>4255736.7484632451</v>
      </c>
      <c r="G12" s="164">
        <v>0.41105059799999999</v>
      </c>
      <c r="H12" s="165">
        <f t="shared" si="1"/>
        <v>9702458.4566713013</v>
      </c>
      <c r="I12" s="164">
        <v>0.28565703999999997</v>
      </c>
      <c r="J12" s="165">
        <f t="shared" si="2"/>
        <v>6742662.769354959</v>
      </c>
      <c r="K12" s="170">
        <f>IF(Netvolumenmål!AS13&lt;Netvolumenmål!$AG$66,(Netvolumenmål!AS13-Netvolumenmål!$AG$66),0)</f>
        <v>0</v>
      </c>
      <c r="L12" s="171">
        <f>Netvolumenmål!AT13*0.8</f>
        <v>0</v>
      </c>
      <c r="M12" s="174">
        <f t="shared" si="3"/>
        <v>0.28565703999999997</v>
      </c>
      <c r="N12" s="165">
        <f t="shared" si="4"/>
        <v>6742662.769354959</v>
      </c>
      <c r="O12" s="176">
        <f>IF(G12&gt;0,C12-H12,"Over fronten")</f>
        <v>13901590.543328699</v>
      </c>
      <c r="P12" s="165">
        <f t="shared" si="6"/>
        <v>0</v>
      </c>
      <c r="Q12" s="164">
        <f t="shared" si="7"/>
        <v>7.1414259999999993E-2</v>
      </c>
      <c r="R12" s="179">
        <f t="shared" si="8"/>
        <v>0.05</v>
      </c>
      <c r="S12" s="165">
        <f t="shared" si="9"/>
        <v>1180202.45</v>
      </c>
    </row>
    <row r="13" spans="1:72" x14ac:dyDescent="0.25">
      <c r="A13" s="44" t="s">
        <v>49</v>
      </c>
      <c r="B13" s="160"/>
      <c r="C13" s="160">
        <v>18610685</v>
      </c>
      <c r="D13" s="164">
        <v>0.40115534800000002</v>
      </c>
      <c r="E13" s="165">
        <f t="shared" si="0"/>
        <v>7465775.8176933806</v>
      </c>
      <c r="F13" s="160">
        <v>1381757.3522726388</v>
      </c>
      <c r="G13" s="164">
        <v>0.330237265</v>
      </c>
      <c r="H13" s="165">
        <f t="shared" si="1"/>
        <v>6145941.7141765254</v>
      </c>
      <c r="I13" s="164">
        <v>0.204916079</v>
      </c>
      <c r="J13" s="165">
        <f t="shared" si="2"/>
        <v>3813628.5977041149</v>
      </c>
      <c r="K13" s="170">
        <f>IF(Netvolumenmål!AS14&lt;Netvolumenmål!$AG$66,(Netvolumenmål!AS14-Netvolumenmål!$AG$66),0)</f>
        <v>-0.2245077984999729</v>
      </c>
      <c r="L13" s="171">
        <f>Netvolumenmål!AT14*0.8</f>
        <v>-4.9966455634153972E-2</v>
      </c>
      <c r="M13" s="174">
        <f t="shared" si="3"/>
        <v>0.15494962336584603</v>
      </c>
      <c r="N13" s="165">
        <f t="shared" si="4"/>
        <v>2883718.6313304002</v>
      </c>
      <c r="O13" s="176">
        <f t="shared" si="5"/>
        <v>12464743.285823476</v>
      </c>
      <c r="P13" s="165">
        <f t="shared" si="6"/>
        <v>0</v>
      </c>
      <c r="Q13" s="164">
        <f t="shared" si="7"/>
        <v>3.8737405841461507E-2</v>
      </c>
      <c r="R13" s="179">
        <f t="shared" si="8"/>
        <v>3.8737405841461507E-2</v>
      </c>
      <c r="S13" s="165">
        <f t="shared" si="9"/>
        <v>720929.65783260006</v>
      </c>
    </row>
    <row r="14" spans="1:72" x14ac:dyDescent="0.25">
      <c r="A14" s="44" t="s">
        <v>50</v>
      </c>
      <c r="B14" s="160"/>
      <c r="C14" s="160">
        <v>7005227</v>
      </c>
      <c r="D14" s="164">
        <v>0.47230400299999997</v>
      </c>
      <c r="E14" s="165">
        <f t="shared" si="0"/>
        <v>3308596.7540236809</v>
      </c>
      <c r="F14" s="160">
        <v>681385.73782811814</v>
      </c>
      <c r="G14" s="164">
        <v>0.40167647499999998</v>
      </c>
      <c r="H14" s="165">
        <f t="shared" si="1"/>
        <v>2813834.8879348249</v>
      </c>
      <c r="I14" s="164">
        <v>0.28207917199999999</v>
      </c>
      <c r="J14" s="165">
        <f t="shared" si="2"/>
        <v>1976028.6318320439</v>
      </c>
      <c r="K14" s="170">
        <f>IF(Netvolumenmål!AS15&lt;Netvolumenmål!$AG$66,(Netvolumenmål!AS15-Netvolumenmål!$AG$66),0)</f>
        <v>-0.39183874725735612</v>
      </c>
      <c r="L14" s="171">
        <f>Netvolumenmål!AT15*0.8</f>
        <v>-8.7207631589597184E-2</v>
      </c>
      <c r="M14" s="174">
        <f t="shared" si="3"/>
        <v>0.1948715404104028</v>
      </c>
      <c r="N14" s="165">
        <f t="shared" si="4"/>
        <v>1365119.3764145449</v>
      </c>
      <c r="O14" s="176">
        <f t="shared" si="5"/>
        <v>4191392.1120651751</v>
      </c>
      <c r="P14" s="165">
        <f t="shared" si="6"/>
        <v>0</v>
      </c>
      <c r="Q14" s="164">
        <f t="shared" si="7"/>
        <v>4.8717885102600701E-2</v>
      </c>
      <c r="R14" s="179">
        <f t="shared" si="8"/>
        <v>4.8717885102600701E-2</v>
      </c>
      <c r="S14" s="165">
        <f t="shared" si="9"/>
        <v>341279.84410363622</v>
      </c>
    </row>
    <row r="15" spans="1:72" x14ac:dyDescent="0.25">
      <c r="A15" s="44" t="s">
        <v>55</v>
      </c>
      <c r="B15" s="160"/>
      <c r="C15" s="160">
        <v>31020605</v>
      </c>
      <c r="D15" s="164">
        <v>0.436373764</v>
      </c>
      <c r="E15" s="165">
        <f t="shared" si="0"/>
        <v>13536578.16540722</v>
      </c>
      <c r="F15" s="160">
        <v>1868359.7963507469</v>
      </c>
      <c r="G15" s="164">
        <v>0.395110664</v>
      </c>
      <c r="H15" s="165">
        <f t="shared" si="1"/>
        <v>12256571.83923172</v>
      </c>
      <c r="I15" s="164">
        <v>0.27551341299999998</v>
      </c>
      <c r="J15" s="165">
        <f t="shared" si="2"/>
        <v>8546592.7568748649</v>
      </c>
      <c r="K15" s="170">
        <f>IF(Netvolumenmål!AS16&lt;Netvolumenmål!$AG$66,(Netvolumenmål!AS16-Netvolumenmål!$AG$66),0)</f>
        <v>0</v>
      </c>
      <c r="L15" s="171">
        <f>Netvolumenmål!AT16*0.8</f>
        <v>0</v>
      </c>
      <c r="M15" s="174">
        <f t="shared" si="3"/>
        <v>0.27551341299999998</v>
      </c>
      <c r="N15" s="165">
        <f t="shared" si="4"/>
        <v>8546592.7568748649</v>
      </c>
      <c r="O15" s="176">
        <f t="shared" si="5"/>
        <v>18764033.160768278</v>
      </c>
      <c r="P15" s="165">
        <f t="shared" si="6"/>
        <v>0</v>
      </c>
      <c r="Q15" s="164">
        <f t="shared" si="7"/>
        <v>6.8878353249999996E-2</v>
      </c>
      <c r="R15" s="179">
        <f t="shared" si="8"/>
        <v>0.05</v>
      </c>
      <c r="S15" s="165">
        <f t="shared" si="9"/>
        <v>1551030.25</v>
      </c>
    </row>
    <row r="16" spans="1:72" x14ac:dyDescent="0.25">
      <c r="A16" s="44" t="s">
        <v>51</v>
      </c>
      <c r="B16" s="160"/>
      <c r="C16" s="160">
        <v>38453473</v>
      </c>
      <c r="D16" s="164">
        <v>0.33672500799999999</v>
      </c>
      <c r="E16" s="165">
        <f t="shared" si="0"/>
        <v>12948246.003552783</v>
      </c>
      <c r="F16" s="160">
        <v>723660.091056554</v>
      </c>
      <c r="G16" s="164">
        <v>0.32425373000000002</v>
      </c>
      <c r="H16" s="165">
        <f t="shared" si="1"/>
        <v>12468682.051704291</v>
      </c>
      <c r="I16" s="164">
        <v>0.19719299300000001</v>
      </c>
      <c r="J16" s="165">
        <f t="shared" si="2"/>
        <v>7582755.4321146896</v>
      </c>
      <c r="K16" s="170">
        <f>IF(Netvolumenmål!AS17&lt;Netvolumenmål!$AG$66,(Netvolumenmål!AS17-Netvolumenmål!$AG$66),0)</f>
        <v>0</v>
      </c>
      <c r="L16" s="171">
        <f>Netvolumenmål!AT17*0.8</f>
        <v>0</v>
      </c>
      <c r="M16" s="174">
        <f t="shared" si="3"/>
        <v>0.19719299300000001</v>
      </c>
      <c r="N16" s="165">
        <f t="shared" si="4"/>
        <v>7582755.4321146896</v>
      </c>
      <c r="O16" s="176">
        <f t="shared" si="5"/>
        <v>25984790.948295709</v>
      </c>
      <c r="P16" s="165">
        <f t="shared" si="6"/>
        <v>0</v>
      </c>
      <c r="Q16" s="164">
        <f t="shared" si="7"/>
        <v>4.9298248250000003E-2</v>
      </c>
      <c r="R16" s="179">
        <f t="shared" si="8"/>
        <v>4.9298248250000003E-2</v>
      </c>
      <c r="S16" s="165">
        <f t="shared" si="9"/>
        <v>1895688.8580286724</v>
      </c>
    </row>
    <row r="17" spans="1:19" x14ac:dyDescent="0.25">
      <c r="A17" s="44" t="s">
        <v>59</v>
      </c>
      <c r="B17" s="159"/>
      <c r="C17" s="160">
        <v>28856048</v>
      </c>
      <c r="D17" s="164">
        <v>0.21690356399999999</v>
      </c>
      <c r="E17" s="165">
        <f t="shared" si="0"/>
        <v>6258979.6541550718</v>
      </c>
      <c r="F17" s="160">
        <v>185820</v>
      </c>
      <c r="G17" s="164">
        <v>0.21268970000000001</v>
      </c>
      <c r="H17" s="165">
        <f t="shared" si="1"/>
        <v>6137384.1923056003</v>
      </c>
      <c r="I17" s="164">
        <v>8.3090200000000003E-2</v>
      </c>
      <c r="J17" s="165">
        <f t="shared" si="2"/>
        <v>2397654.7995296</v>
      </c>
      <c r="K17" s="170">
        <f>IF(Netvolumenmål!AS18&lt;Netvolumenmål!$AG$66,(Netvolumenmål!AS18-Netvolumenmål!$AG$66),0)</f>
        <v>0</v>
      </c>
      <c r="L17" s="171">
        <f>Netvolumenmål!AT18*0.8</f>
        <v>0</v>
      </c>
      <c r="M17" s="174">
        <f t="shared" si="3"/>
        <v>8.3090200000000003E-2</v>
      </c>
      <c r="N17" s="165">
        <f t="shared" si="4"/>
        <v>2397654.7995296</v>
      </c>
      <c r="O17" s="176">
        <f t="shared" si="5"/>
        <v>22718663.807694398</v>
      </c>
      <c r="P17" s="165">
        <f t="shared" si="6"/>
        <v>0</v>
      </c>
      <c r="Q17" s="164">
        <f t="shared" si="7"/>
        <v>2.0772550000000001E-2</v>
      </c>
      <c r="R17" s="179">
        <f t="shared" si="8"/>
        <v>2.0772550000000001E-2</v>
      </c>
      <c r="S17" s="165">
        <f t="shared" si="9"/>
        <v>599413.69988239999</v>
      </c>
    </row>
    <row r="18" spans="1:19" x14ac:dyDescent="0.25">
      <c r="A18" s="44" t="s">
        <v>53</v>
      </c>
      <c r="B18" s="160"/>
      <c r="C18" s="160">
        <v>48504925</v>
      </c>
      <c r="D18" s="164">
        <v>0.38166132600000002</v>
      </c>
      <c r="E18" s="165">
        <f t="shared" ref="E18:E33" si="10">C18*D18</f>
        <v>18512453.993030552</v>
      </c>
      <c r="F18" s="160">
        <v>6804547.0630657608</v>
      </c>
      <c r="G18" s="164">
        <v>0.27395835699999999</v>
      </c>
      <c r="H18" s="165">
        <f t="shared" ref="H18:H33" si="11">G18*C18</f>
        <v>13288329.559408225</v>
      </c>
      <c r="I18" s="164">
        <v>0.14863717000000001</v>
      </c>
      <c r="J18" s="165">
        <f t="shared" ref="J18:J28" si="12">C18*I18</f>
        <v>7209634.7830622504</v>
      </c>
      <c r="K18" s="170">
        <f>IF(Netvolumenmål!AS19&lt;Netvolumenmål!$AG$66,(Netvolumenmål!AS19-Netvolumenmål!$AG$66),0)</f>
        <v>0</v>
      </c>
      <c r="L18" s="171">
        <f>Netvolumenmål!AT19*0.8</f>
        <v>0</v>
      </c>
      <c r="M18" s="174">
        <f t="shared" si="3"/>
        <v>0.14863717000000001</v>
      </c>
      <c r="N18" s="165">
        <f t="shared" si="4"/>
        <v>7209634.7830622504</v>
      </c>
      <c r="O18" s="176">
        <f>IF(G18&gt;0,C18-H18,"Over fronten")</f>
        <v>35216595.440591775</v>
      </c>
      <c r="P18" s="165">
        <f t="shared" si="6"/>
        <v>0</v>
      </c>
      <c r="Q18" s="164">
        <f t="shared" ref="Q18:Q28" si="13">M18/4</f>
        <v>3.7159292500000003E-2</v>
      </c>
      <c r="R18" s="179">
        <f t="shared" si="8"/>
        <v>3.7159292500000003E-2</v>
      </c>
      <c r="S18" s="165">
        <f t="shared" si="9"/>
        <v>1802408.6957655626</v>
      </c>
    </row>
    <row r="19" spans="1:19" x14ac:dyDescent="0.25">
      <c r="A19" s="44" t="s">
        <v>54</v>
      </c>
      <c r="B19" s="160"/>
      <c r="C19" s="160">
        <v>47618175</v>
      </c>
      <c r="D19" s="164">
        <v>0.17208704899999999</v>
      </c>
      <c r="E19" s="165">
        <f t="shared" si="10"/>
        <v>8194471.2145155743</v>
      </c>
      <c r="F19" s="160">
        <v>2225163.9231061959</v>
      </c>
      <c r="G19" s="164">
        <v>0.140280507</v>
      </c>
      <c r="H19" s="165">
        <f t="shared" si="11"/>
        <v>6679901.7314147251</v>
      </c>
      <c r="I19" s="164">
        <v>1.3219761E-2</v>
      </c>
      <c r="J19" s="165">
        <f t="shared" si="12"/>
        <v>629500.89275617502</v>
      </c>
      <c r="K19" s="170">
        <f>IF(Netvolumenmål!AS20&lt;Netvolumenmål!$AG$66,(Netvolumenmål!AS20-Netvolumenmål!$AG$66),0)</f>
        <v>0</v>
      </c>
      <c r="L19" s="171">
        <f>Netvolumenmål!AT20*0.8</f>
        <v>0</v>
      </c>
      <c r="M19" s="174">
        <f t="shared" si="3"/>
        <v>1.3219761E-2</v>
      </c>
      <c r="N19" s="165">
        <f t="shared" si="4"/>
        <v>629500.89275617502</v>
      </c>
      <c r="O19" s="176">
        <f t="shared" ref="O19:O33" si="14">IF(G19&gt;0,C19-H19,"Over fronten")</f>
        <v>40938273.268585272</v>
      </c>
      <c r="P19" s="165">
        <f t="shared" si="6"/>
        <v>0</v>
      </c>
      <c r="Q19" s="164">
        <f t="shared" si="13"/>
        <v>3.30494025E-3</v>
      </c>
      <c r="R19" s="179">
        <f t="shared" si="8"/>
        <v>0</v>
      </c>
      <c r="S19" s="165">
        <f t="shared" si="9"/>
        <v>0</v>
      </c>
    </row>
    <row r="20" spans="1:19" x14ac:dyDescent="0.25">
      <c r="A20" s="44" t="s">
        <v>61</v>
      </c>
      <c r="B20" s="160"/>
      <c r="C20" s="160">
        <v>46895798</v>
      </c>
      <c r="D20" s="164">
        <v>0.26765418099999999</v>
      </c>
      <c r="E20" s="165">
        <f t="shared" si="10"/>
        <v>12551856.406031437</v>
      </c>
      <c r="F20" s="160">
        <v>558004.18146398943</v>
      </c>
      <c r="G20" s="164">
        <v>0.259869666</v>
      </c>
      <c r="H20" s="165">
        <f t="shared" si="11"/>
        <v>12186795.363063468</v>
      </c>
      <c r="I20" s="164">
        <v>0.130270143</v>
      </c>
      <c r="J20" s="165">
        <f t="shared" si="12"/>
        <v>6109122.3115591146</v>
      </c>
      <c r="K20" s="170">
        <f>IF(Netvolumenmål!AS21&lt;Netvolumenmål!$AG$66,(Netvolumenmål!AS21-Netvolumenmål!$AG$66),0)</f>
        <v>0</v>
      </c>
      <c r="L20" s="171">
        <f>Netvolumenmål!AT21*0.8</f>
        <v>0</v>
      </c>
      <c r="M20" s="174">
        <f t="shared" si="3"/>
        <v>0.130270143</v>
      </c>
      <c r="N20" s="165">
        <f t="shared" si="4"/>
        <v>6109122.3115591146</v>
      </c>
      <c r="O20" s="176">
        <f t="shared" si="14"/>
        <v>34709002.63693653</v>
      </c>
      <c r="P20" s="165">
        <f t="shared" si="6"/>
        <v>0</v>
      </c>
      <c r="Q20" s="164">
        <f t="shared" si="13"/>
        <v>3.2567535750000001E-2</v>
      </c>
      <c r="R20" s="179">
        <f t="shared" si="8"/>
        <v>3.2567535750000001E-2</v>
      </c>
      <c r="S20" s="165">
        <f t="shared" si="9"/>
        <v>1527280.5778897787</v>
      </c>
    </row>
    <row r="21" spans="1:19" x14ac:dyDescent="0.25">
      <c r="A21" s="44" t="s">
        <v>121</v>
      </c>
      <c r="B21" s="160"/>
      <c r="C21" s="160">
        <v>10100072</v>
      </c>
      <c r="D21" s="164">
        <v>0.71519529800000003</v>
      </c>
      <c r="E21" s="165">
        <f t="shared" si="10"/>
        <v>7223524.0038614562</v>
      </c>
      <c r="F21" s="160">
        <v>2436319.9734016457</v>
      </c>
      <c r="G21" s="164">
        <v>0.54345988899999997</v>
      </c>
      <c r="H21" s="165">
        <f t="shared" si="11"/>
        <v>5488984.0080120079</v>
      </c>
      <c r="I21" s="164">
        <v>0.41806628000000001</v>
      </c>
      <c r="J21" s="165">
        <f t="shared" si="12"/>
        <v>4222499.5287721604</v>
      </c>
      <c r="K21" s="170">
        <f>IF(Netvolumenmål!AS22&lt;Netvolumenmål!$AG$66,(Netvolumenmål!AS22-Netvolumenmål!$AG$66),0)</f>
        <v>-0.21695274105809778</v>
      </c>
      <c r="L21" s="171">
        <f>Netvolumenmål!AT22*0.8</f>
        <v>-4.8285002049890245E-2</v>
      </c>
      <c r="M21" s="174">
        <f t="shared" si="3"/>
        <v>0.36978127795010979</v>
      </c>
      <c r="N21" s="165">
        <f t="shared" si="4"/>
        <v>3734817.5315481215</v>
      </c>
      <c r="O21" s="176">
        <f t="shared" si="14"/>
        <v>4611087.9919879921</v>
      </c>
      <c r="P21" s="165">
        <f t="shared" si="6"/>
        <v>0</v>
      </c>
      <c r="Q21" s="164">
        <f t="shared" si="13"/>
        <v>9.2445319487527447E-2</v>
      </c>
      <c r="R21" s="179">
        <f t="shared" si="8"/>
        <v>0.05</v>
      </c>
      <c r="S21" s="165">
        <f t="shared" si="9"/>
        <v>505003.60000000003</v>
      </c>
    </row>
    <row r="22" spans="1:19" x14ac:dyDescent="0.25">
      <c r="A22" s="44" t="s">
        <v>122</v>
      </c>
      <c r="B22" s="160"/>
      <c r="C22" s="160">
        <v>7980104</v>
      </c>
      <c r="D22" s="164">
        <v>0.453379959</v>
      </c>
      <c r="E22" s="165">
        <f t="shared" si="10"/>
        <v>3618019.2243357361</v>
      </c>
      <c r="F22" s="160">
        <v>1561788.2953466554</v>
      </c>
      <c r="G22" s="164">
        <v>0.27077973</v>
      </c>
      <c r="H22" s="165">
        <f t="shared" si="11"/>
        <v>2160850.4064919199</v>
      </c>
      <c r="I22" s="164">
        <v>0.145458585</v>
      </c>
      <c r="J22" s="165">
        <f t="shared" si="12"/>
        <v>1160774.6359928399</v>
      </c>
      <c r="K22" s="170">
        <f>IF(Netvolumenmål!AS23&lt;Netvolumenmål!$AG$66,(Netvolumenmål!AS23-Netvolumenmål!$AG$66),0)</f>
        <v>-0.35710353246654691</v>
      </c>
      <c r="L22" s="171">
        <f>Netvolumenmål!AT23*0.8</f>
        <v>-7.9476962185754688E-2</v>
      </c>
      <c r="M22" s="174">
        <f t="shared" si="3"/>
        <v>6.5981622814245314E-2</v>
      </c>
      <c r="N22" s="165">
        <f t="shared" si="4"/>
        <v>526540.2121464503</v>
      </c>
      <c r="O22" s="176">
        <f t="shared" si="14"/>
        <v>5819253.5935080796</v>
      </c>
      <c r="P22" s="165">
        <f t="shared" si="6"/>
        <v>0</v>
      </c>
      <c r="Q22" s="164">
        <f t="shared" si="13"/>
        <v>1.6495405703561328E-2</v>
      </c>
      <c r="R22" s="179">
        <f t="shared" si="8"/>
        <v>1.6495405703561328E-2</v>
      </c>
      <c r="S22" s="165">
        <f t="shared" si="9"/>
        <v>131635.05303661257</v>
      </c>
    </row>
    <row r="23" spans="1:19" x14ac:dyDescent="0.25">
      <c r="A23" s="44" t="s">
        <v>56</v>
      </c>
      <c r="B23" s="160"/>
      <c r="C23" s="160">
        <v>36397668</v>
      </c>
      <c r="D23" s="164">
        <v>0.22066571600000001</v>
      </c>
      <c r="E23" s="165">
        <f t="shared" si="10"/>
        <v>8031717.4699502885</v>
      </c>
      <c r="F23" s="169">
        <v>4442907.0631675553</v>
      </c>
      <c r="G23" s="164">
        <v>0.135967376</v>
      </c>
      <c r="H23" s="165">
        <f t="shared" si="11"/>
        <v>4948895.4104791684</v>
      </c>
      <c r="I23" s="164">
        <v>8.9066370000000002E-3</v>
      </c>
      <c r="J23" s="165">
        <f t="shared" si="12"/>
        <v>324180.81652251602</v>
      </c>
      <c r="K23" s="170">
        <f>IF(Netvolumenmål!AS24&lt;Netvolumenmål!$AG$66,(Netvolumenmål!AS24-Netvolumenmål!$AG$66),0)</f>
        <v>0</v>
      </c>
      <c r="L23" s="171">
        <f>Netvolumenmål!AT24*0.8</f>
        <v>0</v>
      </c>
      <c r="M23" s="174">
        <f t="shared" si="3"/>
        <v>8.9066370000000002E-3</v>
      </c>
      <c r="N23" s="165">
        <f t="shared" si="4"/>
        <v>324180.81652251602</v>
      </c>
      <c r="O23" s="176">
        <f>IF(G23&gt;0,C23-H23,"Over fronten")</f>
        <v>31448772.589520831</v>
      </c>
      <c r="P23" s="165">
        <f t="shared" si="6"/>
        <v>0</v>
      </c>
      <c r="Q23" s="164">
        <f t="shared" si="13"/>
        <v>2.2266592500000001E-3</v>
      </c>
      <c r="R23" s="179">
        <f t="shared" si="8"/>
        <v>0</v>
      </c>
      <c r="S23" s="165">
        <f t="shared" si="9"/>
        <v>0</v>
      </c>
    </row>
    <row r="24" spans="1:19" x14ac:dyDescent="0.25">
      <c r="A24" s="44" t="s">
        <v>57</v>
      </c>
      <c r="B24" s="159"/>
      <c r="C24" s="160">
        <v>64139356</v>
      </c>
      <c r="D24" s="164">
        <v>0.21374847699999999</v>
      </c>
      <c r="E24" s="165">
        <f t="shared" si="10"/>
        <v>13709689.660760811</v>
      </c>
      <c r="F24" s="160"/>
      <c r="G24" s="164">
        <v>0.21374847699999999</v>
      </c>
      <c r="H24" s="165">
        <f t="shared" si="11"/>
        <v>13709689.660760811</v>
      </c>
      <c r="I24" s="164">
        <v>8.3303601000000005E-2</v>
      </c>
      <c r="J24" s="165">
        <f t="shared" si="12"/>
        <v>5343039.3206209559</v>
      </c>
      <c r="K24" s="170">
        <f>IF(Netvolumenmål!AS25&lt;Netvolumenmål!$AG$66,(Netvolumenmål!AS25-Netvolumenmål!$AG$66),0)</f>
        <v>0</v>
      </c>
      <c r="L24" s="171">
        <f>Netvolumenmål!AT25*0.8</f>
        <v>0</v>
      </c>
      <c r="M24" s="174">
        <f t="shared" si="3"/>
        <v>8.3303601000000005E-2</v>
      </c>
      <c r="N24" s="165">
        <f t="shared" si="4"/>
        <v>5343039.3206209559</v>
      </c>
      <c r="O24" s="176">
        <f t="shared" si="14"/>
        <v>50429666.339239188</v>
      </c>
      <c r="P24" s="165">
        <f t="shared" si="6"/>
        <v>0</v>
      </c>
      <c r="Q24" s="164">
        <f t="shared" si="13"/>
        <v>2.0825900250000001E-2</v>
      </c>
      <c r="R24" s="179">
        <f t="shared" si="8"/>
        <v>2.0825900250000001E-2</v>
      </c>
      <c r="S24" s="165">
        <f t="shared" si="9"/>
        <v>1335759.830155239</v>
      </c>
    </row>
    <row r="25" spans="1:19" x14ac:dyDescent="0.25">
      <c r="A25" s="44" t="s">
        <v>58</v>
      </c>
      <c r="B25" s="161"/>
      <c r="C25" s="160">
        <v>18667083</v>
      </c>
      <c r="D25" s="164">
        <v>0.224801155</v>
      </c>
      <c r="E25" s="165">
        <f t="shared" si="10"/>
        <v>4196381.8188808654</v>
      </c>
      <c r="F25" s="160">
        <v>1304631.8567012898</v>
      </c>
      <c r="G25" s="164">
        <v>0.16673930100000001</v>
      </c>
      <c r="H25" s="165">
        <f t="shared" si="11"/>
        <v>3112536.3711289833</v>
      </c>
      <c r="I25" s="164">
        <v>4.1418125E-2</v>
      </c>
      <c r="J25" s="165">
        <f t="shared" si="12"/>
        <v>773155.57707937504</v>
      </c>
      <c r="K25" s="170">
        <f>IF(Netvolumenmål!AS26&lt;Netvolumenmål!$AG$66,(Netvolumenmål!AS26-Netvolumenmål!$AG$66),0)</f>
        <v>0</v>
      </c>
      <c r="L25" s="171">
        <f>Netvolumenmål!AT26*0.8</f>
        <v>0</v>
      </c>
      <c r="M25" s="174">
        <f t="shared" si="3"/>
        <v>4.1418125E-2</v>
      </c>
      <c r="N25" s="165">
        <f t="shared" si="4"/>
        <v>773155.57707937504</v>
      </c>
      <c r="O25" s="176">
        <f t="shared" si="14"/>
        <v>15554546.628871016</v>
      </c>
      <c r="P25" s="165">
        <f t="shared" si="6"/>
        <v>0</v>
      </c>
      <c r="Q25" s="164">
        <f t="shared" si="13"/>
        <v>1.035453125E-2</v>
      </c>
      <c r="R25" s="179">
        <f t="shared" si="8"/>
        <v>1.035453125E-2</v>
      </c>
      <c r="S25" s="165">
        <f t="shared" si="9"/>
        <v>193288.89426984376</v>
      </c>
    </row>
    <row r="26" spans="1:19" x14ac:dyDescent="0.25">
      <c r="A26" s="44" t="s">
        <v>60</v>
      </c>
      <c r="B26" s="159"/>
      <c r="C26" s="160">
        <v>26692836</v>
      </c>
      <c r="D26" s="164">
        <v>0.42166847200000002</v>
      </c>
      <c r="E26" s="165">
        <f t="shared" si="10"/>
        <v>11255527.369466592</v>
      </c>
      <c r="F26" s="160">
        <v>3658676</v>
      </c>
      <c r="G26" s="164">
        <v>0.33227078799999998</v>
      </c>
      <c r="H26" s="165">
        <f>G26*C26</f>
        <v>8869249.651674768</v>
      </c>
      <c r="I26" s="164">
        <v>0.201825914</v>
      </c>
      <c r="J26" s="165">
        <f t="shared" si="12"/>
        <v>5387306.022952104</v>
      </c>
      <c r="K26" s="170">
        <f>IF(Netvolumenmål!AS27&lt;Netvolumenmål!$AG$66,(Netvolumenmål!AS27-Netvolumenmål!$AG$66),0)</f>
        <v>0</v>
      </c>
      <c r="L26" s="171">
        <f>Netvolumenmål!AT27*0.8</f>
        <v>0</v>
      </c>
      <c r="M26" s="174">
        <f t="shared" si="3"/>
        <v>0.201825914</v>
      </c>
      <c r="N26" s="165">
        <f t="shared" si="4"/>
        <v>5387306.022952104</v>
      </c>
      <c r="O26" s="176">
        <f t="shared" si="14"/>
        <v>17823586.34832523</v>
      </c>
      <c r="P26" s="165">
        <f t="shared" si="6"/>
        <v>0</v>
      </c>
      <c r="Q26" s="164">
        <f t="shared" si="13"/>
        <v>5.0456478499999999E-2</v>
      </c>
      <c r="R26" s="179">
        <f t="shared" si="8"/>
        <v>0.05</v>
      </c>
      <c r="S26" s="165">
        <f t="shared" si="9"/>
        <v>1334641.8</v>
      </c>
    </row>
    <row r="27" spans="1:19" x14ac:dyDescent="0.25">
      <c r="A27" s="44" t="s">
        <v>62</v>
      </c>
      <c r="B27" s="160"/>
      <c r="C27" s="160">
        <v>12278998</v>
      </c>
      <c r="D27" s="164">
        <v>3.1667180000000003E-2</v>
      </c>
      <c r="E27" s="165">
        <f t="shared" si="10"/>
        <v>388841.23988564004</v>
      </c>
      <c r="F27" s="160">
        <v>74898.797221562592</v>
      </c>
      <c r="G27" s="164">
        <v>2.7522122999999999E-2</v>
      </c>
      <c r="H27" s="165">
        <f t="shared" si="11"/>
        <v>337944.09327275399</v>
      </c>
      <c r="I27" s="164">
        <v>0</v>
      </c>
      <c r="J27" s="165">
        <f t="shared" si="12"/>
        <v>0</v>
      </c>
      <c r="K27" s="170">
        <f>IF(Netvolumenmål!AS28&lt;Netvolumenmål!$AG$66,(Netvolumenmål!AS28-Netvolumenmål!$AG$66),0)</f>
        <v>0</v>
      </c>
      <c r="L27" s="171">
        <f>Netvolumenmål!AT28*0.8</f>
        <v>0</v>
      </c>
      <c r="M27" s="174">
        <f t="shared" si="3"/>
        <v>0</v>
      </c>
      <c r="N27" s="165">
        <f t="shared" si="4"/>
        <v>0</v>
      </c>
      <c r="O27" s="176">
        <f t="shared" si="14"/>
        <v>11941053.906727247</v>
      </c>
      <c r="P27" s="165">
        <f t="shared" si="6"/>
        <v>0</v>
      </c>
      <c r="Q27" s="164">
        <f t="shared" si="13"/>
        <v>0</v>
      </c>
      <c r="R27" s="179">
        <f t="shared" si="8"/>
        <v>0</v>
      </c>
      <c r="S27" s="165">
        <f t="shared" si="9"/>
        <v>0</v>
      </c>
    </row>
    <row r="28" spans="1:19" x14ac:dyDescent="0.25">
      <c r="A28" s="159" t="s">
        <v>114</v>
      </c>
      <c r="B28" s="159"/>
      <c r="C28" s="160">
        <v>19795184</v>
      </c>
      <c r="D28" s="164">
        <v>0.40539482900000001</v>
      </c>
      <c r="E28" s="165">
        <f t="shared" si="10"/>
        <v>8024865.2327035358</v>
      </c>
      <c r="F28" s="160"/>
      <c r="G28" s="164">
        <v>0.40539482900000001</v>
      </c>
      <c r="H28" s="165">
        <f t="shared" si="11"/>
        <v>8024865.2327035358</v>
      </c>
      <c r="I28" s="164">
        <v>0.278334097</v>
      </c>
      <c r="J28" s="165">
        <f t="shared" si="12"/>
        <v>5509674.663588848</v>
      </c>
      <c r="K28" s="170">
        <f>IF(Netvolumenmål!AS29&lt;Netvolumenmål!$AG$66,(Netvolumenmål!AS29-Netvolumenmål!$AG$66),0)</f>
        <v>0</v>
      </c>
      <c r="L28" s="171">
        <f>Netvolumenmål!AT29*0.8</f>
        <v>0</v>
      </c>
      <c r="M28" s="174">
        <f t="shared" si="3"/>
        <v>0.278334097</v>
      </c>
      <c r="N28" s="165">
        <f t="shared" si="4"/>
        <v>5509674.663588848</v>
      </c>
      <c r="O28" s="176">
        <f t="shared" si="14"/>
        <v>11770318.767296463</v>
      </c>
      <c r="P28" s="165">
        <f t="shared" si="6"/>
        <v>0</v>
      </c>
      <c r="Q28" s="164">
        <f t="shared" si="13"/>
        <v>6.9583524250000001E-2</v>
      </c>
      <c r="R28" s="179">
        <f t="shared" si="8"/>
        <v>0.05</v>
      </c>
      <c r="S28" s="165">
        <f t="shared" si="9"/>
        <v>989759.20000000007</v>
      </c>
    </row>
    <row r="29" spans="1:19" x14ac:dyDescent="0.25">
      <c r="A29" s="44" t="s">
        <v>74</v>
      </c>
      <c r="B29" s="160"/>
      <c r="C29" s="160">
        <v>23915578</v>
      </c>
      <c r="D29" s="164">
        <v>0.32755302800000002</v>
      </c>
      <c r="E29" s="165">
        <f t="shared" si="10"/>
        <v>7833619.9902701844</v>
      </c>
      <c r="F29" s="160">
        <v>1148988.3718782228</v>
      </c>
      <c r="G29" s="164">
        <v>0.29549927399999998</v>
      </c>
      <c r="H29" s="165">
        <f t="shared" si="11"/>
        <v>7067035.9362903712</v>
      </c>
      <c r="I29" s="164">
        <v>0.16589975900000001</v>
      </c>
      <c r="J29" s="165">
        <f t="shared" ref="J29:J31" si="15">C29*I29</f>
        <v>3967588.6265457021</v>
      </c>
      <c r="K29" s="170">
        <f>IF(Netvolumenmål!AS30&lt;Netvolumenmål!$AG$66,(Netvolumenmål!AS30-Netvolumenmål!$AG$66),0)</f>
        <v>0</v>
      </c>
      <c r="L29" s="171">
        <f>Netvolumenmål!AT30*0.8</f>
        <v>0</v>
      </c>
      <c r="M29" s="174">
        <f t="shared" si="3"/>
        <v>0.16589975900000001</v>
      </c>
      <c r="N29" s="165">
        <f t="shared" si="4"/>
        <v>3967588.6265457021</v>
      </c>
      <c r="O29" s="176">
        <f t="shared" si="14"/>
        <v>16848542.063709628</v>
      </c>
      <c r="P29" s="165">
        <f t="shared" si="6"/>
        <v>0</v>
      </c>
      <c r="Q29" s="164">
        <f t="shared" ref="Q29:Q31" si="16">M29/4</f>
        <v>4.1474939750000002E-2</v>
      </c>
      <c r="R29" s="179">
        <f t="shared" si="8"/>
        <v>4.1474939750000002E-2</v>
      </c>
      <c r="S29" s="165">
        <f t="shared" si="9"/>
        <v>991897.15663642553</v>
      </c>
    </row>
    <row r="30" spans="1:19" x14ac:dyDescent="0.25">
      <c r="A30" s="44" t="s">
        <v>77</v>
      </c>
      <c r="B30" s="159"/>
      <c r="C30" s="160">
        <v>164056471</v>
      </c>
      <c r="D30" s="164">
        <v>0.43678005399999997</v>
      </c>
      <c r="E30" s="165">
        <f t="shared" si="10"/>
        <v>71656594.262429431</v>
      </c>
      <c r="F30" s="160"/>
      <c r="G30" s="164">
        <v>0.43678005399999997</v>
      </c>
      <c r="H30" s="165">
        <f t="shared" si="11"/>
        <v>71656594.262429431</v>
      </c>
      <c r="I30" s="164">
        <v>0.30633517700000001</v>
      </c>
      <c r="J30" s="165">
        <f t="shared" si="15"/>
        <v>50256268.081780367</v>
      </c>
      <c r="K30" s="170">
        <f>IF(Netvolumenmål!AS31&lt;Netvolumenmål!$AG$66,(Netvolumenmål!AS31-Netvolumenmål!$AG$66),0)</f>
        <v>0</v>
      </c>
      <c r="L30" s="171">
        <f>Netvolumenmål!AT31*0.8</f>
        <v>0</v>
      </c>
      <c r="M30" s="174">
        <f t="shared" si="3"/>
        <v>0.30633517700000001</v>
      </c>
      <c r="N30" s="165">
        <f t="shared" si="4"/>
        <v>50256268.081780367</v>
      </c>
      <c r="O30" s="176">
        <f t="shared" si="14"/>
        <v>92399876.737570569</v>
      </c>
      <c r="P30" s="165">
        <f t="shared" si="6"/>
        <v>0</v>
      </c>
      <c r="Q30" s="164">
        <f t="shared" si="16"/>
        <v>7.6583794250000004E-2</v>
      </c>
      <c r="R30" s="179">
        <f t="shared" si="8"/>
        <v>0.05</v>
      </c>
      <c r="S30" s="165">
        <f t="shared" si="9"/>
        <v>8202823.5500000007</v>
      </c>
    </row>
    <row r="31" spans="1:19" x14ac:dyDescent="0.25">
      <c r="A31" s="159" t="s">
        <v>115</v>
      </c>
      <c r="B31" s="159"/>
      <c r="C31" s="160">
        <v>1761124</v>
      </c>
      <c r="D31" s="164">
        <v>0</v>
      </c>
      <c r="E31" s="165">
        <f t="shared" si="10"/>
        <v>0</v>
      </c>
      <c r="F31" s="160"/>
      <c r="G31" s="164">
        <v>0</v>
      </c>
      <c r="H31" s="165">
        <f t="shared" si="11"/>
        <v>0</v>
      </c>
      <c r="I31" s="164">
        <v>0</v>
      </c>
      <c r="J31" s="165">
        <f t="shared" si="15"/>
        <v>0</v>
      </c>
      <c r="K31" s="170">
        <f>IF(Netvolumenmål!AS32&lt;Netvolumenmål!$AG$66,(Netvolumenmål!AS32-Netvolumenmål!$AG$66),0)</f>
        <v>0</v>
      </c>
      <c r="L31" s="171">
        <f>Netvolumenmål!AT32*0.8</f>
        <v>0</v>
      </c>
      <c r="M31" s="174">
        <f t="shared" si="3"/>
        <v>0</v>
      </c>
      <c r="N31" s="165">
        <f t="shared" si="4"/>
        <v>0</v>
      </c>
      <c r="O31" s="176">
        <f>1.23185*C31</f>
        <v>2169440.5993999997</v>
      </c>
      <c r="P31" s="177">
        <f>IF(O31&gt;C31*1.015,O31-C31*1.015,0)</f>
        <v>381899.73939999985</v>
      </c>
      <c r="Q31" s="164">
        <f t="shared" si="16"/>
        <v>0</v>
      </c>
      <c r="R31" s="179">
        <f t="shared" si="8"/>
        <v>0</v>
      </c>
      <c r="S31" s="165">
        <f t="shared" si="9"/>
        <v>0</v>
      </c>
    </row>
    <row r="32" spans="1:19" x14ac:dyDescent="0.25">
      <c r="A32" s="44" t="s">
        <v>63</v>
      </c>
      <c r="B32" s="160"/>
      <c r="C32" s="160">
        <v>32154173</v>
      </c>
      <c r="D32" s="164">
        <v>0.332153641</v>
      </c>
      <c r="E32" s="165">
        <f t="shared" si="10"/>
        <v>10680125.635293894</v>
      </c>
      <c r="F32" s="160">
        <v>1337347.7086241439</v>
      </c>
      <c r="G32" s="164">
        <v>0.30496103800000002</v>
      </c>
      <c r="H32" s="165">
        <f t="shared" si="11"/>
        <v>9805769.9741115738</v>
      </c>
      <c r="I32" s="164">
        <v>0.175361512</v>
      </c>
      <c r="J32" s="165">
        <f t="shared" ref="J32:J60" si="17">C32*I32</f>
        <v>5638604.3943895763</v>
      </c>
      <c r="K32" s="170">
        <f>IF(Netvolumenmål!AS33&lt;Netvolumenmål!$AG$66,(Netvolumenmål!AS33-Netvolumenmål!$AG$66),0)</f>
        <v>0</v>
      </c>
      <c r="L32" s="171">
        <f>Netvolumenmål!AT33*0.8</f>
        <v>0</v>
      </c>
      <c r="M32" s="174">
        <f t="shared" si="3"/>
        <v>0.175361512</v>
      </c>
      <c r="N32" s="165">
        <f t="shared" si="4"/>
        <v>5638604.3943895763</v>
      </c>
      <c r="O32" s="176">
        <f t="shared" si="14"/>
        <v>22348403.025888428</v>
      </c>
      <c r="P32" s="165">
        <f t="shared" si="6"/>
        <v>0</v>
      </c>
      <c r="Q32" s="164">
        <f t="shared" ref="Q32:Q60" si="18">M32/4</f>
        <v>4.3840377999999999E-2</v>
      </c>
      <c r="R32" s="179">
        <f t="shared" si="8"/>
        <v>4.3840377999999999E-2</v>
      </c>
      <c r="S32" s="165">
        <f t="shared" si="9"/>
        <v>1409651.0985973941</v>
      </c>
    </row>
    <row r="33" spans="1:19" x14ac:dyDescent="0.25">
      <c r="A33" s="44" t="s">
        <v>64</v>
      </c>
      <c r="B33" s="160"/>
      <c r="C33" s="160">
        <v>24274170</v>
      </c>
      <c r="D33" s="164">
        <v>0.21564667300000001</v>
      </c>
      <c r="E33" s="165">
        <f t="shared" si="10"/>
        <v>5234644.0003364105</v>
      </c>
      <c r="F33" s="160">
        <v>449511.4143862967</v>
      </c>
      <c r="G33" s="164">
        <v>0.203242284</v>
      </c>
      <c r="H33" s="165">
        <f t="shared" si="11"/>
        <v>4933537.7530042799</v>
      </c>
      <c r="I33" s="164">
        <v>7.6181536999999994E-2</v>
      </c>
      <c r="J33" s="165">
        <f t="shared" si="17"/>
        <v>1849243.5799992899</v>
      </c>
      <c r="K33" s="170">
        <f>IF(Netvolumenmål!AS34&lt;Netvolumenmål!$AG$66,(Netvolumenmål!AS34-Netvolumenmål!$AG$66),0)</f>
        <v>0</v>
      </c>
      <c r="L33" s="171">
        <f>Netvolumenmål!AT34*0.8</f>
        <v>0</v>
      </c>
      <c r="M33" s="174">
        <f t="shared" si="3"/>
        <v>7.6181536999999994E-2</v>
      </c>
      <c r="N33" s="165">
        <f t="shared" si="4"/>
        <v>1849243.5799992899</v>
      </c>
      <c r="O33" s="176">
        <f t="shared" si="14"/>
        <v>19340632.246995721</v>
      </c>
      <c r="P33" s="165">
        <f t="shared" si="6"/>
        <v>0</v>
      </c>
      <c r="Q33" s="164">
        <f t="shared" si="18"/>
        <v>1.9045384249999998E-2</v>
      </c>
      <c r="R33" s="179">
        <f t="shared" si="8"/>
        <v>1.9045384249999998E-2</v>
      </c>
      <c r="S33" s="165">
        <f t="shared" si="9"/>
        <v>462310.89499982249</v>
      </c>
    </row>
    <row r="34" spans="1:19" x14ac:dyDescent="0.25">
      <c r="A34" s="44" t="s">
        <v>65</v>
      </c>
      <c r="B34" s="159"/>
      <c r="C34" s="160">
        <v>30905280</v>
      </c>
      <c r="D34" s="164">
        <v>0.47951912200000002</v>
      </c>
      <c r="E34" s="165">
        <f t="shared" ref="E34:E54" si="19">C34*D34</f>
        <v>14819672.73076416</v>
      </c>
      <c r="F34" s="160"/>
      <c r="G34" s="164">
        <v>0.47951912200000002</v>
      </c>
      <c r="H34" s="165">
        <f t="shared" ref="H34:H54" si="20">G34*C34</f>
        <v>14819672.73076416</v>
      </c>
      <c r="I34" s="164">
        <v>0.359921871</v>
      </c>
      <c r="J34" s="165">
        <f t="shared" si="17"/>
        <v>11123486.20137888</v>
      </c>
      <c r="K34" s="170">
        <f>IF(Netvolumenmål!AS35&lt;Netvolumenmål!$AG$66,(Netvolumenmål!AS35-Netvolumenmål!$AG$66),0)</f>
        <v>0</v>
      </c>
      <c r="L34" s="171">
        <f>Netvolumenmål!AT35*0.8</f>
        <v>0</v>
      </c>
      <c r="M34" s="174">
        <f t="shared" ref="M34:M60" si="21">IF(I34=0,0,IF(I34&lt;-L34,0,I34+L34))</f>
        <v>0.359921871</v>
      </c>
      <c r="N34" s="165">
        <f t="shared" ref="N34:N60" si="22">(M34*C34)</f>
        <v>11123486.20137888</v>
      </c>
      <c r="O34" s="176">
        <f t="shared" ref="O34:O53" si="23">IF(G34&gt;0,C34-H34,"Over fronten")</f>
        <v>16085607.26923584</v>
      </c>
      <c r="P34" s="165">
        <f t="shared" ref="P34:P60" si="24">IF(O34&gt;C34*1.015,O34-C34*1.015,0)</f>
        <v>0</v>
      </c>
      <c r="Q34" s="164">
        <f t="shared" si="18"/>
        <v>8.9980467750000001E-2</v>
      </c>
      <c r="R34" s="179">
        <f t="shared" ref="R34:R60" si="25">IF(Q34&gt;0.01,IF(Q34&gt;0.05,0.05,Q34),0)</f>
        <v>0.05</v>
      </c>
      <c r="S34" s="165">
        <f t="shared" ref="S34:S60" si="26">R34*C34</f>
        <v>1545264</v>
      </c>
    </row>
    <row r="35" spans="1:19" x14ac:dyDescent="0.25">
      <c r="A35" s="44" t="s">
        <v>66</v>
      </c>
      <c r="B35" s="159"/>
      <c r="C35" s="160">
        <v>13933178</v>
      </c>
      <c r="D35" s="368">
        <v>0.5404795</v>
      </c>
      <c r="E35" s="165">
        <f t="shared" si="19"/>
        <v>7530597.0788510004</v>
      </c>
      <c r="F35" s="160"/>
      <c r="G35" s="368">
        <v>0.5404795</v>
      </c>
      <c r="H35" s="165">
        <f t="shared" si="20"/>
        <v>7530597.0788510004</v>
      </c>
      <c r="I35" s="368">
        <v>0.41003469999999997</v>
      </c>
      <c r="J35" s="165">
        <f t="shared" si="17"/>
        <v>5713086.4612765992</v>
      </c>
      <c r="K35" s="170">
        <f>IF(Netvolumenmål!AS36&lt;Netvolumenmål!$AG$66,(Netvolumenmål!AS36-Netvolumenmål!$AG$66),0)</f>
        <v>0</v>
      </c>
      <c r="L35" s="171">
        <f>Netvolumenmål!AT36*0.8</f>
        <v>0</v>
      </c>
      <c r="M35" s="174">
        <f t="shared" si="21"/>
        <v>0.41003469999999997</v>
      </c>
      <c r="N35" s="165">
        <f t="shared" si="22"/>
        <v>5713086.4612765992</v>
      </c>
      <c r="O35" s="176">
        <f t="shared" si="23"/>
        <v>6402580.9211489996</v>
      </c>
      <c r="P35" s="165">
        <f t="shared" si="24"/>
        <v>0</v>
      </c>
      <c r="Q35" s="164">
        <f t="shared" si="18"/>
        <v>0.10250867499999999</v>
      </c>
      <c r="R35" s="179">
        <f t="shared" si="25"/>
        <v>0.05</v>
      </c>
      <c r="S35" s="165">
        <f t="shared" si="26"/>
        <v>696658.9</v>
      </c>
    </row>
    <row r="36" spans="1:19" x14ac:dyDescent="0.25">
      <c r="A36" s="44" t="s">
        <v>67</v>
      </c>
      <c r="B36" s="159"/>
      <c r="C36" s="160">
        <v>20769186</v>
      </c>
      <c r="D36" s="164">
        <v>0.37707844000000001</v>
      </c>
      <c r="E36" s="165">
        <f t="shared" si="19"/>
        <v>7831612.2569498401</v>
      </c>
      <c r="F36" s="160"/>
      <c r="G36" s="164">
        <v>0.37707844000000001</v>
      </c>
      <c r="H36" s="165">
        <f t="shared" si="20"/>
        <v>7831612.2569498401</v>
      </c>
      <c r="I36" s="164">
        <v>0.24766848499999999</v>
      </c>
      <c r="J36" s="165">
        <f t="shared" si="17"/>
        <v>5143872.83130321</v>
      </c>
      <c r="K36" s="170">
        <f>IF(Netvolumenmål!AS37&lt;Netvolumenmål!$AG$66,(Netvolumenmål!AS37-Netvolumenmål!$AG$66),0)</f>
        <v>0</v>
      </c>
      <c r="L36" s="171">
        <f>Netvolumenmål!AT37*0.8</f>
        <v>0</v>
      </c>
      <c r="M36" s="174">
        <f t="shared" si="21"/>
        <v>0.24766848499999999</v>
      </c>
      <c r="N36" s="165">
        <f t="shared" si="22"/>
        <v>5143872.83130321</v>
      </c>
      <c r="O36" s="176">
        <f t="shared" si="23"/>
        <v>12937573.74305016</v>
      </c>
      <c r="P36" s="165">
        <f t="shared" si="24"/>
        <v>0</v>
      </c>
      <c r="Q36" s="164">
        <f t="shared" si="18"/>
        <v>6.1917121249999998E-2</v>
      </c>
      <c r="R36" s="179">
        <f t="shared" si="25"/>
        <v>0.05</v>
      </c>
      <c r="S36" s="165">
        <f t="shared" si="26"/>
        <v>1038459.3</v>
      </c>
    </row>
    <row r="37" spans="1:19" x14ac:dyDescent="0.25">
      <c r="A37" s="44" t="s">
        <v>68</v>
      </c>
      <c r="B37" s="160"/>
      <c r="C37" s="160">
        <v>51405336</v>
      </c>
      <c r="D37" s="164">
        <v>0.33890556300000002</v>
      </c>
      <c r="E37" s="165">
        <f t="shared" si="19"/>
        <v>17421554.338284168</v>
      </c>
      <c r="F37" s="160">
        <v>6997079.029361547</v>
      </c>
      <c r="G37" s="164">
        <v>0.24856367200000001</v>
      </c>
      <c r="H37" s="165">
        <f t="shared" si="20"/>
        <v>12777499.076553792</v>
      </c>
      <c r="I37" s="164">
        <v>0.12234409</v>
      </c>
      <c r="J37" s="165">
        <f t="shared" si="17"/>
        <v>6289139.0540642403</v>
      </c>
      <c r="K37" s="170">
        <f>IF(Netvolumenmål!AS38&lt;Netvolumenmål!$AG$66,(Netvolumenmål!AS38-Netvolumenmål!$AG$66),0)</f>
        <v>0</v>
      </c>
      <c r="L37" s="171">
        <f>Netvolumenmål!AT38*0.8</f>
        <v>0</v>
      </c>
      <c r="M37" s="174">
        <f t="shared" si="21"/>
        <v>0.12234409</v>
      </c>
      <c r="N37" s="165">
        <f t="shared" si="22"/>
        <v>6289139.0540642403</v>
      </c>
      <c r="O37" s="176">
        <f t="shared" si="23"/>
        <v>38627836.923446208</v>
      </c>
      <c r="P37" s="165">
        <f t="shared" si="24"/>
        <v>0</v>
      </c>
      <c r="Q37" s="164">
        <f t="shared" si="18"/>
        <v>3.0586022500000001E-2</v>
      </c>
      <c r="R37" s="179">
        <f t="shared" si="25"/>
        <v>3.0586022500000001E-2</v>
      </c>
      <c r="S37" s="165">
        <f t="shared" si="26"/>
        <v>1572284.7635160601</v>
      </c>
    </row>
    <row r="38" spans="1:19" x14ac:dyDescent="0.25">
      <c r="A38" s="44" t="s">
        <v>69</v>
      </c>
      <c r="B38" s="160"/>
      <c r="C38" s="160">
        <v>12775737</v>
      </c>
      <c r="D38" s="164">
        <v>0.34136682200000001</v>
      </c>
      <c r="E38" s="165">
        <f t="shared" si="19"/>
        <v>4361212.7383978143</v>
      </c>
      <c r="F38" s="160">
        <v>137525</v>
      </c>
      <c r="G38" s="164">
        <v>0.33434592299999999</v>
      </c>
      <c r="H38" s="165">
        <f t="shared" si="20"/>
        <v>4271515.5792702511</v>
      </c>
      <c r="I38" s="164">
        <v>0.20390101399999999</v>
      </c>
      <c r="J38" s="165">
        <f t="shared" si="17"/>
        <v>2604985.7288973178</v>
      </c>
      <c r="K38" s="170">
        <f>IF(Netvolumenmål!AS39&lt;Netvolumenmål!$AG$66,(Netvolumenmål!AS39-Netvolumenmål!$AG$66),0)</f>
        <v>0</v>
      </c>
      <c r="L38" s="171">
        <f>Netvolumenmål!AT39*0.8</f>
        <v>0</v>
      </c>
      <c r="M38" s="174">
        <f t="shared" si="21"/>
        <v>0.20390101399999999</v>
      </c>
      <c r="N38" s="165">
        <f t="shared" si="22"/>
        <v>2604985.7288973178</v>
      </c>
      <c r="O38" s="176">
        <f t="shared" si="23"/>
        <v>8504221.4207297489</v>
      </c>
      <c r="P38" s="165">
        <f t="shared" si="24"/>
        <v>0</v>
      </c>
      <c r="Q38" s="164">
        <f t="shared" si="18"/>
        <v>5.0975253499999998E-2</v>
      </c>
      <c r="R38" s="179">
        <f t="shared" si="25"/>
        <v>0.05</v>
      </c>
      <c r="S38" s="165">
        <f t="shared" si="26"/>
        <v>638786.85000000009</v>
      </c>
    </row>
    <row r="39" spans="1:19" x14ac:dyDescent="0.25">
      <c r="A39" s="285" t="s">
        <v>161</v>
      </c>
      <c r="B39" s="161"/>
      <c r="C39" s="161">
        <v>25405896.616934899</v>
      </c>
      <c r="D39" s="346">
        <v>0.25219999999999998</v>
      </c>
      <c r="E39" s="177">
        <f t="shared" si="19"/>
        <v>6407367.1267909808</v>
      </c>
      <c r="F39" s="161">
        <v>354141</v>
      </c>
      <c r="G39" s="346">
        <v>0.2346</v>
      </c>
      <c r="H39" s="177">
        <f t="shared" si="20"/>
        <v>5960223.3463329272</v>
      </c>
      <c r="I39" s="346">
        <v>0.16300000000000001</v>
      </c>
      <c r="J39" s="177">
        <f t="shared" si="17"/>
        <v>4141161.1485603889</v>
      </c>
      <c r="K39" s="347">
        <f>IF(Netvolumenmål!AS40&lt;Netvolumenmål!$AG$66,(Netvolumenmål!AS40-Netvolumenmål!$AG$66),0)</f>
        <v>0</v>
      </c>
      <c r="L39" s="348">
        <f>Netvolumenmål!AT40*0.8</f>
        <v>0</v>
      </c>
      <c r="M39" s="349">
        <f t="shared" si="21"/>
        <v>0.16300000000000001</v>
      </c>
      <c r="N39" s="177">
        <f t="shared" si="22"/>
        <v>4141161.1485603889</v>
      </c>
      <c r="O39" s="350">
        <f t="shared" ref="O39" si="27">IF(G39&gt;0,C39-H39,"Over fronten")</f>
        <v>19445673.270601973</v>
      </c>
      <c r="P39" s="177">
        <f t="shared" ref="P39" si="28">IF(O39&gt;C39*1.015,O39-C39*1.015,0)</f>
        <v>0</v>
      </c>
      <c r="Q39" s="346">
        <f t="shared" ref="Q39" si="29">M39/4</f>
        <v>4.0750000000000001E-2</v>
      </c>
      <c r="R39" s="351">
        <f>S39/C39</f>
        <v>2.4363230939216364E-2</v>
      </c>
      <c r="S39" s="177">
        <f>(828232-S40)</f>
        <v>618969.72649624071</v>
      </c>
    </row>
    <row r="40" spans="1:19" x14ac:dyDescent="0.25">
      <c r="A40" s="285" t="s">
        <v>70</v>
      </c>
      <c r="B40" s="161"/>
      <c r="C40" s="161">
        <v>13937753.383065101</v>
      </c>
      <c r="D40" s="346">
        <v>0.2303</v>
      </c>
      <c r="E40" s="177">
        <f>C40*D40</f>
        <v>3209864.6041198927</v>
      </c>
      <c r="F40" s="161">
        <v>685018</v>
      </c>
      <c r="G40" s="346">
        <v>0.19800000000000001</v>
      </c>
      <c r="H40" s="177">
        <f t="shared" si="20"/>
        <v>2759675.16984689</v>
      </c>
      <c r="I40" s="346">
        <v>6.8400000000000002E-2</v>
      </c>
      <c r="J40" s="177">
        <f t="shared" si="17"/>
        <v>953342.33140165289</v>
      </c>
      <c r="K40" s="347">
        <f>IF(Netvolumenmål!AS41&lt;Netvolumenmål!$AG$66,(Netvolumenmål!AS41-Netvolumenmål!$AG$66),0)</f>
        <v>-3.7489925053018708E-2</v>
      </c>
      <c r="L40" s="348">
        <f>Netvolumenmål!AT41*0.8</f>
        <v>-8.3437577197998433E-3</v>
      </c>
      <c r="M40" s="349">
        <f t="shared" si="21"/>
        <v>6.0056242280200157E-2</v>
      </c>
      <c r="N40" s="177">
        <f t="shared" si="22"/>
        <v>837049.09401503706</v>
      </c>
      <c r="O40" s="350">
        <f t="shared" si="23"/>
        <v>11178078.21321821</v>
      </c>
      <c r="P40" s="177">
        <f t="shared" si="24"/>
        <v>0</v>
      </c>
      <c r="Q40" s="346">
        <f t="shared" si="18"/>
        <v>1.5014060570050039E-2</v>
      </c>
      <c r="R40" s="351">
        <f t="shared" si="25"/>
        <v>1.5014060570050039E-2</v>
      </c>
      <c r="S40" s="177">
        <f t="shared" si="26"/>
        <v>209262.27350375926</v>
      </c>
    </row>
    <row r="41" spans="1:19" x14ac:dyDescent="0.25">
      <c r="A41" s="44" t="s">
        <v>71</v>
      </c>
      <c r="B41" s="159"/>
      <c r="C41" s="160">
        <v>12137544</v>
      </c>
      <c r="D41" s="164">
        <v>0.120008487</v>
      </c>
      <c r="E41" s="165">
        <f t="shared" si="19"/>
        <v>1456608.291335928</v>
      </c>
      <c r="F41" s="160">
        <v>1441626</v>
      </c>
      <c r="G41" s="164">
        <v>4.1667620000000002E-2</v>
      </c>
      <c r="H41" s="165">
        <f t="shared" si="20"/>
        <v>505742.57112528005</v>
      </c>
      <c r="I41" s="164">
        <v>0</v>
      </c>
      <c r="J41" s="165">
        <f t="shared" si="17"/>
        <v>0</v>
      </c>
      <c r="K41" s="170">
        <f>IF(Netvolumenmål!AS42&lt;Netvolumenmål!$AG$66,(Netvolumenmål!AS42-Netvolumenmål!$AG$66),0)</f>
        <v>0</v>
      </c>
      <c r="L41" s="171">
        <f>Netvolumenmål!AT42*0.8</f>
        <v>0</v>
      </c>
      <c r="M41" s="174">
        <f t="shared" si="21"/>
        <v>0</v>
      </c>
      <c r="N41" s="165">
        <f t="shared" si="22"/>
        <v>0</v>
      </c>
      <c r="O41" s="176">
        <f t="shared" si="23"/>
        <v>11631801.42887472</v>
      </c>
      <c r="P41" s="165">
        <f t="shared" si="24"/>
        <v>0</v>
      </c>
      <c r="Q41" s="164">
        <f t="shared" si="18"/>
        <v>0</v>
      </c>
      <c r="R41" s="179">
        <f t="shared" si="25"/>
        <v>0</v>
      </c>
      <c r="S41" s="165">
        <f t="shared" si="26"/>
        <v>0</v>
      </c>
    </row>
    <row r="42" spans="1:19" x14ac:dyDescent="0.25">
      <c r="A42" s="44" t="s">
        <v>87</v>
      </c>
      <c r="B42" s="159"/>
      <c r="C42" s="160">
        <v>11426742</v>
      </c>
      <c r="D42" s="164">
        <v>0.414475551</v>
      </c>
      <c r="E42" s="165">
        <f t="shared" si="19"/>
        <v>4736105.1865848424</v>
      </c>
      <c r="F42" s="160"/>
      <c r="G42" s="164">
        <v>0.414475551</v>
      </c>
      <c r="H42" s="165">
        <f t="shared" si="20"/>
        <v>4736105.1865848424</v>
      </c>
      <c r="I42" s="164">
        <v>0.28458410200000001</v>
      </c>
      <c r="J42" s="165">
        <f t="shared" si="17"/>
        <v>3251869.1108556842</v>
      </c>
      <c r="K42" s="170">
        <f>IF(Netvolumenmål!AS43&lt;Netvolumenmål!$AG$66,(Netvolumenmål!AS43-Netvolumenmål!$AG$66),0)</f>
        <v>0</v>
      </c>
      <c r="L42" s="171">
        <f>Netvolumenmål!AT43*0.8</f>
        <v>0</v>
      </c>
      <c r="M42" s="174">
        <f t="shared" si="21"/>
        <v>0.28458410200000001</v>
      </c>
      <c r="N42" s="165">
        <f t="shared" si="22"/>
        <v>3251869.1108556842</v>
      </c>
      <c r="O42" s="176">
        <f t="shared" si="23"/>
        <v>6690636.8134151576</v>
      </c>
      <c r="P42" s="165">
        <f t="shared" si="24"/>
        <v>0</v>
      </c>
      <c r="Q42" s="164">
        <f t="shared" si="18"/>
        <v>7.1146025500000001E-2</v>
      </c>
      <c r="R42" s="179">
        <f t="shared" si="25"/>
        <v>0.05</v>
      </c>
      <c r="S42" s="165">
        <f t="shared" si="26"/>
        <v>571337.1</v>
      </c>
    </row>
    <row r="43" spans="1:19" x14ac:dyDescent="0.25">
      <c r="A43" s="44" t="s">
        <v>72</v>
      </c>
      <c r="B43" s="160"/>
      <c r="C43" s="160">
        <v>64777624</v>
      </c>
      <c r="D43" s="164">
        <v>0.49672314499999998</v>
      </c>
      <c r="E43" s="165">
        <f t="shared" si="19"/>
        <v>32176545.118907478</v>
      </c>
      <c r="F43" s="160">
        <v>17452397</v>
      </c>
      <c r="G43" s="164">
        <v>0.29748985500000003</v>
      </c>
      <c r="H43" s="165">
        <f t="shared" si="20"/>
        <v>19270685.971004523</v>
      </c>
      <c r="I43" s="164">
        <v>0.17209053899999999</v>
      </c>
      <c r="J43" s="165">
        <f t="shared" si="17"/>
        <v>11147616.229299335</v>
      </c>
      <c r="K43" s="170">
        <f>IF(Netvolumenmål!AS44&lt;Netvolumenmål!$AG$66,(Netvolumenmål!AS44-Netvolumenmål!$AG$66),0)</f>
        <v>0</v>
      </c>
      <c r="L43" s="171">
        <f>Netvolumenmål!AT44*0.8</f>
        <v>0</v>
      </c>
      <c r="M43" s="174">
        <f t="shared" si="21"/>
        <v>0.17209053899999999</v>
      </c>
      <c r="N43" s="165">
        <f t="shared" si="22"/>
        <v>11147616.229299335</v>
      </c>
      <c r="O43" s="176">
        <f t="shared" si="23"/>
        <v>45506938.028995477</v>
      </c>
      <c r="P43" s="165">
        <f t="shared" si="24"/>
        <v>0</v>
      </c>
      <c r="Q43" s="164">
        <f t="shared" si="18"/>
        <v>4.3022634749999997E-2</v>
      </c>
      <c r="R43" s="179">
        <f t="shared" si="25"/>
        <v>4.3022634749999997E-2</v>
      </c>
      <c r="S43" s="165">
        <f t="shared" si="26"/>
        <v>2786904.0573248337</v>
      </c>
    </row>
    <row r="44" spans="1:19" x14ac:dyDescent="0.25">
      <c r="A44" s="44" t="s">
        <v>88</v>
      </c>
      <c r="B44" s="160"/>
      <c r="C44" s="160">
        <v>56616860</v>
      </c>
      <c r="D44" s="164">
        <v>0.34902407299999999</v>
      </c>
      <c r="E44" s="165">
        <f t="shared" si="19"/>
        <v>19760647.077670779</v>
      </c>
      <c r="F44" s="160">
        <v>1702697.1651764493</v>
      </c>
      <c r="G44" s="164">
        <v>0.32859589700000003</v>
      </c>
      <c r="H44" s="165">
        <f t="shared" si="20"/>
        <v>18604067.897023421</v>
      </c>
      <c r="I44" s="164">
        <v>0.20312093000000001</v>
      </c>
      <c r="J44" s="165">
        <f t="shared" si="17"/>
        <v>11500069.256879801</v>
      </c>
      <c r="K44" s="170">
        <f>IF(Netvolumenmål!AS45&lt;Netvolumenmål!$AG$66,(Netvolumenmål!AS45-Netvolumenmål!$AG$66),0)</f>
        <v>0</v>
      </c>
      <c r="L44" s="171">
        <f>Netvolumenmål!AT45*0.8</f>
        <v>0</v>
      </c>
      <c r="M44" s="174">
        <f t="shared" si="21"/>
        <v>0.20312093000000001</v>
      </c>
      <c r="N44" s="165">
        <f t="shared" si="22"/>
        <v>11500069.256879801</v>
      </c>
      <c r="O44" s="176">
        <f t="shared" si="23"/>
        <v>38012792.102976575</v>
      </c>
      <c r="P44" s="165">
        <f t="shared" si="24"/>
        <v>0</v>
      </c>
      <c r="Q44" s="164">
        <f t="shared" si="18"/>
        <v>5.0780232500000001E-2</v>
      </c>
      <c r="R44" s="179">
        <f t="shared" si="25"/>
        <v>0.05</v>
      </c>
      <c r="S44" s="165">
        <f t="shared" si="26"/>
        <v>2830843</v>
      </c>
    </row>
    <row r="45" spans="1:19" x14ac:dyDescent="0.25">
      <c r="A45" s="44" t="s">
        <v>73</v>
      </c>
      <c r="B45" s="160"/>
      <c r="C45" s="160">
        <v>19751297</v>
      </c>
      <c r="D45" s="164">
        <v>0.53455705200000003</v>
      </c>
      <c r="E45" s="165">
        <f t="shared" si="19"/>
        <v>10558195.097496444</v>
      </c>
      <c r="F45" s="160">
        <v>578332.60202280467</v>
      </c>
      <c r="G45" s="164">
        <v>0.514760522</v>
      </c>
      <c r="H45" s="165">
        <f t="shared" si="20"/>
        <v>10167187.953897035</v>
      </c>
      <c r="I45" s="164">
        <v>0.38769978799999999</v>
      </c>
      <c r="J45" s="165">
        <f t="shared" si="17"/>
        <v>7657573.6596250357</v>
      </c>
      <c r="K45" s="170">
        <f>IF(Netvolumenmål!AS46&lt;Netvolumenmål!$AG$66,(Netvolumenmål!AS46-Netvolumenmål!$AG$66),0)</f>
        <v>0</v>
      </c>
      <c r="L45" s="171">
        <f>Netvolumenmål!AT46*0.8</f>
        <v>0</v>
      </c>
      <c r="M45" s="174">
        <f t="shared" si="21"/>
        <v>0.38769978799999999</v>
      </c>
      <c r="N45" s="165">
        <f t="shared" si="22"/>
        <v>7657573.6596250357</v>
      </c>
      <c r="O45" s="176">
        <f t="shared" si="23"/>
        <v>9584109.0461029653</v>
      </c>
      <c r="P45" s="165">
        <f t="shared" si="24"/>
        <v>0</v>
      </c>
      <c r="Q45" s="164">
        <f t="shared" si="18"/>
        <v>9.6924946999999997E-2</v>
      </c>
      <c r="R45" s="179">
        <f t="shared" si="25"/>
        <v>0.05</v>
      </c>
      <c r="S45" s="165">
        <f t="shared" si="26"/>
        <v>987564.85000000009</v>
      </c>
    </row>
    <row r="46" spans="1:19" x14ac:dyDescent="0.25">
      <c r="A46" s="44" t="s">
        <v>75</v>
      </c>
      <c r="B46" s="160"/>
      <c r="C46" s="160">
        <v>16747365</v>
      </c>
      <c r="D46" s="164">
        <v>0.32752414699999999</v>
      </c>
      <c r="E46" s="165">
        <f t="shared" si="19"/>
        <v>5485166.4361226549</v>
      </c>
      <c r="F46" s="160">
        <v>229234.47616119994</v>
      </c>
      <c r="G46" s="164">
        <v>0.31859665300000001</v>
      </c>
      <c r="H46" s="165">
        <f t="shared" si="20"/>
        <v>5335654.435569345</v>
      </c>
      <c r="I46" s="164">
        <v>0.18815177499999999</v>
      </c>
      <c r="J46" s="165">
        <f t="shared" si="17"/>
        <v>3151046.451322875</v>
      </c>
      <c r="K46" s="170">
        <f>IF(Netvolumenmål!AS47&lt;Netvolumenmål!$AG$66,(Netvolumenmål!AS47-Netvolumenmål!$AG$66),0)</f>
        <v>0</v>
      </c>
      <c r="L46" s="171">
        <f>Netvolumenmål!AT47*0.8</f>
        <v>0</v>
      </c>
      <c r="M46" s="174">
        <f t="shared" si="21"/>
        <v>0.18815177499999999</v>
      </c>
      <c r="N46" s="165">
        <f t="shared" si="22"/>
        <v>3151046.451322875</v>
      </c>
      <c r="O46" s="176">
        <f t="shared" si="23"/>
        <v>11411710.564430654</v>
      </c>
      <c r="P46" s="165">
        <f t="shared" si="24"/>
        <v>0</v>
      </c>
      <c r="Q46" s="164">
        <f t="shared" si="18"/>
        <v>4.7037943749999998E-2</v>
      </c>
      <c r="R46" s="179">
        <f t="shared" si="25"/>
        <v>4.7037943749999998E-2</v>
      </c>
      <c r="S46" s="165">
        <f t="shared" si="26"/>
        <v>787761.61283071875</v>
      </c>
    </row>
    <row r="47" spans="1:19" x14ac:dyDescent="0.25">
      <c r="A47" s="44" t="s">
        <v>76</v>
      </c>
      <c r="B47" s="159"/>
      <c r="C47" s="160">
        <v>12061091</v>
      </c>
      <c r="D47" s="164">
        <v>0</v>
      </c>
      <c r="E47" s="165">
        <f t="shared" si="19"/>
        <v>0</v>
      </c>
      <c r="F47" s="160"/>
      <c r="G47" s="164">
        <v>0</v>
      </c>
      <c r="H47" s="165">
        <f t="shared" si="20"/>
        <v>0</v>
      </c>
      <c r="I47" s="164">
        <v>0</v>
      </c>
      <c r="J47" s="165">
        <f t="shared" si="17"/>
        <v>0</v>
      </c>
      <c r="K47" s="170">
        <f>IF(Netvolumenmål!AS48&lt;Netvolumenmål!$AG$66,(Netvolumenmål!AS48-Netvolumenmål!$AG$66),0)</f>
        <v>0</v>
      </c>
      <c r="L47" s="171">
        <f>Netvolumenmål!AT48*0.8</f>
        <v>0</v>
      </c>
      <c r="M47" s="174">
        <f t="shared" si="21"/>
        <v>0</v>
      </c>
      <c r="N47" s="165">
        <f t="shared" si="22"/>
        <v>0</v>
      </c>
      <c r="O47" s="176">
        <f>1.190155*C47</f>
        <v>14354567.759105001</v>
      </c>
      <c r="P47" s="177">
        <f t="shared" si="24"/>
        <v>2112560.3941050023</v>
      </c>
      <c r="Q47" s="164">
        <f t="shared" si="18"/>
        <v>0</v>
      </c>
      <c r="R47" s="179">
        <f t="shared" si="25"/>
        <v>0</v>
      </c>
      <c r="S47" s="165">
        <f t="shared" si="26"/>
        <v>0</v>
      </c>
    </row>
    <row r="48" spans="1:19" x14ac:dyDescent="0.25">
      <c r="A48" s="44" t="s">
        <v>89</v>
      </c>
      <c r="B48" s="160"/>
      <c r="C48" s="160">
        <v>39052223</v>
      </c>
      <c r="D48" s="164">
        <v>0.35414472299999999</v>
      </c>
      <c r="E48" s="165">
        <f t="shared" si="19"/>
        <v>13830138.696869228</v>
      </c>
      <c r="F48" s="160">
        <v>2060434.6119527889</v>
      </c>
      <c r="G48" s="164">
        <v>0.31578300799999998</v>
      </c>
      <c r="H48" s="165">
        <f t="shared" si="20"/>
        <v>12332028.448026784</v>
      </c>
      <c r="I48" s="164">
        <v>0.19013776900000001</v>
      </c>
      <c r="J48" s="165">
        <f t="shared" si="17"/>
        <v>7425302.5557104871</v>
      </c>
      <c r="K48" s="170">
        <f>IF(Netvolumenmål!AS49&lt;Netvolumenmål!$AG$66,(Netvolumenmål!AS49-Netvolumenmål!$AG$66),0)</f>
        <v>0</v>
      </c>
      <c r="L48" s="171">
        <f>Netvolumenmål!AT49*0.8</f>
        <v>0</v>
      </c>
      <c r="M48" s="174">
        <f t="shared" si="21"/>
        <v>0.19013776900000001</v>
      </c>
      <c r="N48" s="165">
        <f t="shared" si="22"/>
        <v>7425302.5557104871</v>
      </c>
      <c r="O48" s="176">
        <f t="shared" si="23"/>
        <v>26720194.551973216</v>
      </c>
      <c r="P48" s="165">
        <f t="shared" si="24"/>
        <v>0</v>
      </c>
      <c r="Q48" s="164">
        <f t="shared" si="18"/>
        <v>4.7534442250000003E-2</v>
      </c>
      <c r="R48" s="179">
        <f t="shared" si="25"/>
        <v>4.7534442250000003E-2</v>
      </c>
      <c r="S48" s="165">
        <f t="shared" si="26"/>
        <v>1856325.6389276218</v>
      </c>
    </row>
    <row r="49" spans="1:19" x14ac:dyDescent="0.25">
      <c r="A49" s="44" t="s">
        <v>78</v>
      </c>
      <c r="B49" s="159"/>
      <c r="C49" s="160">
        <v>56079876</v>
      </c>
      <c r="D49" s="164">
        <v>0.34661687800000002</v>
      </c>
      <c r="E49" s="165">
        <f t="shared" si="19"/>
        <v>19438231.53774713</v>
      </c>
      <c r="F49" s="160">
        <v>350822</v>
      </c>
      <c r="G49" s="164">
        <v>0.34193270999999997</v>
      </c>
      <c r="H49" s="165">
        <f t="shared" si="20"/>
        <v>19175543.977143958</v>
      </c>
      <c r="I49" s="164">
        <v>0.216611526</v>
      </c>
      <c r="J49" s="165">
        <f t="shared" si="17"/>
        <v>12147547.518250776</v>
      </c>
      <c r="K49" s="170">
        <f>IF(Netvolumenmål!AS50&lt;Netvolumenmål!$AG$66,(Netvolumenmål!AS50-Netvolumenmål!$AG$66),0)</f>
        <v>0</v>
      </c>
      <c r="L49" s="171">
        <f>Netvolumenmål!AT50*0.8</f>
        <v>0</v>
      </c>
      <c r="M49" s="174">
        <f t="shared" si="21"/>
        <v>0.216611526</v>
      </c>
      <c r="N49" s="165">
        <f t="shared" si="22"/>
        <v>12147547.518250776</v>
      </c>
      <c r="O49" s="176">
        <f>IF(G49&gt;0,C49-H49,"Over fronten")</f>
        <v>36904332.022856042</v>
      </c>
      <c r="P49" s="165">
        <f t="shared" si="24"/>
        <v>0</v>
      </c>
      <c r="Q49" s="164">
        <f t="shared" si="18"/>
        <v>5.41528815E-2</v>
      </c>
      <c r="R49" s="179">
        <f t="shared" si="25"/>
        <v>0.05</v>
      </c>
      <c r="S49" s="165">
        <f t="shared" si="26"/>
        <v>2803993.8000000003</v>
      </c>
    </row>
    <row r="50" spans="1:19" x14ac:dyDescent="0.25">
      <c r="A50" s="44" t="s">
        <v>160</v>
      </c>
      <c r="B50" s="159"/>
      <c r="C50" s="160">
        <v>20388029</v>
      </c>
      <c r="D50" s="164">
        <v>0</v>
      </c>
      <c r="E50" s="165">
        <f t="shared" si="19"/>
        <v>0</v>
      </c>
      <c r="F50" s="160"/>
      <c r="G50" s="164">
        <v>0</v>
      </c>
      <c r="H50" s="165">
        <f t="shared" si="20"/>
        <v>0</v>
      </c>
      <c r="I50" s="164">
        <v>0</v>
      </c>
      <c r="J50" s="165">
        <f t="shared" si="17"/>
        <v>0</v>
      </c>
      <c r="K50" s="170">
        <f>IF(Netvolumenmål!AS51&lt;Netvolumenmål!$AG$66,(Netvolumenmål!AS51-Netvolumenmål!$AG$66),0)</f>
        <v>0</v>
      </c>
      <c r="L50" s="171">
        <f>Netvolumenmål!AT51*0.8</f>
        <v>0</v>
      </c>
      <c r="M50" s="174">
        <f t="shared" si="21"/>
        <v>0</v>
      </c>
      <c r="N50" s="165">
        <f t="shared" si="22"/>
        <v>0</v>
      </c>
      <c r="O50" s="176">
        <f>1.271597101*C50</f>
        <v>25925358.57150393</v>
      </c>
      <c r="P50" s="165">
        <f>IF(O50&gt;C50*1.015,O50-C50*1.015,0)</f>
        <v>5231509.1365039311</v>
      </c>
      <c r="Q50" s="164">
        <f t="shared" si="18"/>
        <v>0</v>
      </c>
      <c r="R50" s="179">
        <f t="shared" si="25"/>
        <v>0</v>
      </c>
      <c r="S50" s="165">
        <f t="shared" si="26"/>
        <v>0</v>
      </c>
    </row>
    <row r="51" spans="1:19" x14ac:dyDescent="0.25">
      <c r="A51" s="44" t="s">
        <v>79</v>
      </c>
      <c r="B51" s="159"/>
      <c r="C51" s="160">
        <v>16211147</v>
      </c>
      <c r="D51" s="164">
        <v>5.8622173E-2</v>
      </c>
      <c r="E51" s="165">
        <f t="shared" si="19"/>
        <v>950332.66396243102</v>
      </c>
      <c r="F51" s="160">
        <v>91593</v>
      </c>
      <c r="G51" s="164">
        <v>5.4754908999999997E-2</v>
      </c>
      <c r="H51" s="165">
        <f t="shared" si="20"/>
        <v>887639.87877062301</v>
      </c>
      <c r="I51" s="164">
        <v>0</v>
      </c>
      <c r="J51" s="165">
        <f t="shared" si="17"/>
        <v>0</v>
      </c>
      <c r="K51" s="170">
        <f>IF(Netvolumenmål!AS52&lt;Netvolumenmål!$AG$66,(Netvolumenmål!AS52-Netvolumenmål!$AG$66),0)</f>
        <v>0</v>
      </c>
      <c r="L51" s="171">
        <f>Netvolumenmål!AT52*0.8</f>
        <v>0</v>
      </c>
      <c r="M51" s="174">
        <f t="shared" si="21"/>
        <v>0</v>
      </c>
      <c r="N51" s="165">
        <f t="shared" si="22"/>
        <v>0</v>
      </c>
      <c r="O51" s="176">
        <f t="shared" si="23"/>
        <v>15323507.121229377</v>
      </c>
      <c r="P51" s="165">
        <f>IF(O51&gt;C51*1.015,O51-C51*1.015,0)</f>
        <v>0</v>
      </c>
      <c r="Q51" s="164">
        <f t="shared" si="18"/>
        <v>0</v>
      </c>
      <c r="R51" s="179">
        <f t="shared" si="25"/>
        <v>0</v>
      </c>
      <c r="S51" s="165">
        <f t="shared" si="26"/>
        <v>0</v>
      </c>
    </row>
    <row r="52" spans="1:19" x14ac:dyDescent="0.25">
      <c r="A52" s="44" t="s">
        <v>90</v>
      </c>
      <c r="B52" s="160"/>
      <c r="C52" s="160">
        <v>30510435</v>
      </c>
      <c r="D52" s="164">
        <v>0.38860588600000001</v>
      </c>
      <c r="E52" s="165">
        <f t="shared" si="19"/>
        <v>11856534.62542041</v>
      </c>
      <c r="F52" s="160">
        <v>1912667.6895240613</v>
      </c>
      <c r="G52" s="164">
        <v>0.34243820000000003</v>
      </c>
      <c r="H52" s="165">
        <f t="shared" si="20"/>
        <v>10447938.442617001</v>
      </c>
      <c r="I52" s="164">
        <v>0.21701436499999999</v>
      </c>
      <c r="J52" s="165">
        <f t="shared" si="17"/>
        <v>6621202.6773987748</v>
      </c>
      <c r="K52" s="170">
        <f>IF(Netvolumenmål!AS53&lt;Netvolumenmål!$AG$66,(Netvolumenmål!AS53-Netvolumenmål!$AG$66),0)</f>
        <v>0</v>
      </c>
      <c r="L52" s="171">
        <f>Netvolumenmål!AT53*0.8</f>
        <v>0</v>
      </c>
      <c r="M52" s="174">
        <f t="shared" si="21"/>
        <v>0.21701436499999999</v>
      </c>
      <c r="N52" s="165">
        <f t="shared" si="22"/>
        <v>6621202.6773987748</v>
      </c>
      <c r="O52" s="176">
        <f t="shared" si="23"/>
        <v>20062496.557383001</v>
      </c>
      <c r="P52" s="165">
        <f t="shared" si="24"/>
        <v>0</v>
      </c>
      <c r="Q52" s="164">
        <f t="shared" si="18"/>
        <v>5.4253591249999997E-2</v>
      </c>
      <c r="R52" s="179">
        <f t="shared" si="25"/>
        <v>0.05</v>
      </c>
      <c r="S52" s="165">
        <f t="shared" si="26"/>
        <v>1525521.75</v>
      </c>
    </row>
    <row r="53" spans="1:19" x14ac:dyDescent="0.25">
      <c r="A53" s="44" t="s">
        <v>91</v>
      </c>
      <c r="B53" s="160"/>
      <c r="C53" s="160">
        <v>23788661</v>
      </c>
      <c r="D53" s="164">
        <v>0.17691034</v>
      </c>
      <c r="E53" s="165">
        <f t="shared" si="19"/>
        <v>4208460.1056547398</v>
      </c>
      <c r="F53" s="160">
        <v>597037</v>
      </c>
      <c r="G53" s="164">
        <v>0.15501859800000001</v>
      </c>
      <c r="H53" s="165">
        <f t="shared" si="20"/>
        <v>3687684.8765172781</v>
      </c>
      <c r="I53" s="164">
        <v>2.9697417E-2</v>
      </c>
      <c r="J53" s="165">
        <f t="shared" si="17"/>
        <v>706461.78558863699</v>
      </c>
      <c r="K53" s="170">
        <f>IF(Netvolumenmål!AS54&lt;Netvolumenmål!$AG$66,(Netvolumenmål!AS54-Netvolumenmål!$AG$66),0)</f>
        <v>0</v>
      </c>
      <c r="L53" s="171">
        <f>Netvolumenmål!AT54*0.8</f>
        <v>0</v>
      </c>
      <c r="M53" s="174">
        <f t="shared" si="21"/>
        <v>2.9697417E-2</v>
      </c>
      <c r="N53" s="165">
        <f t="shared" si="22"/>
        <v>706461.78558863699</v>
      </c>
      <c r="O53" s="176">
        <f t="shared" si="23"/>
        <v>20100976.123482723</v>
      </c>
      <c r="P53" s="165">
        <f t="shared" si="24"/>
        <v>0</v>
      </c>
      <c r="Q53" s="164">
        <f t="shared" si="18"/>
        <v>7.4243542500000001E-3</v>
      </c>
      <c r="R53" s="179">
        <f t="shared" si="25"/>
        <v>0</v>
      </c>
      <c r="S53" s="165">
        <f t="shared" si="26"/>
        <v>0</v>
      </c>
    </row>
    <row r="54" spans="1:19" x14ac:dyDescent="0.25">
      <c r="A54" s="44" t="s">
        <v>80</v>
      </c>
      <c r="B54" s="160"/>
      <c r="C54" s="160">
        <v>4853251</v>
      </c>
      <c r="D54" s="164">
        <v>0.78212814799999997</v>
      </c>
      <c r="E54" s="165">
        <f t="shared" si="19"/>
        <v>3795864.2164091477</v>
      </c>
      <c r="F54" s="160">
        <v>550218.9240711045</v>
      </c>
      <c r="G54" s="164">
        <v>0.69546927400000003</v>
      </c>
      <c r="H54" s="165">
        <f t="shared" si="20"/>
        <v>3375286.9495097743</v>
      </c>
      <c r="I54" s="164">
        <v>0.57078750099999997</v>
      </c>
      <c r="J54" s="165">
        <f t="shared" si="17"/>
        <v>2770175.0100157508</v>
      </c>
      <c r="K54" s="170">
        <f>IF(Netvolumenmål!AS55&lt;Netvolumenmål!$AG$66,(Netvolumenmål!AS55-Netvolumenmål!$AG$66),0)</f>
        <v>-0.29022813352005394</v>
      </c>
      <c r="L54" s="171">
        <f>Netvolumenmål!AT55*0.8</f>
        <v>-6.4593173396223211E-2</v>
      </c>
      <c r="M54" s="174">
        <f t="shared" si="21"/>
        <v>0.50619432760377681</v>
      </c>
      <c r="N54" s="165">
        <f t="shared" si="22"/>
        <v>2456688.1266373573</v>
      </c>
      <c r="O54" s="176">
        <f>IF(G54&gt;0,C54-H54,"Over fronten")</f>
        <v>1477964.0504902257</v>
      </c>
      <c r="P54" s="165">
        <f t="shared" si="24"/>
        <v>0</v>
      </c>
      <c r="Q54" s="164">
        <f t="shared" si="18"/>
        <v>0.1265485819009442</v>
      </c>
      <c r="R54" s="179">
        <f t="shared" si="25"/>
        <v>0.05</v>
      </c>
      <c r="S54" s="165">
        <f t="shared" si="26"/>
        <v>242662.55000000002</v>
      </c>
    </row>
    <row r="55" spans="1:19" x14ac:dyDescent="0.25">
      <c r="A55" s="44" t="s">
        <v>81</v>
      </c>
      <c r="B55" s="160"/>
      <c r="C55" s="160">
        <v>44259696</v>
      </c>
      <c r="D55" s="164">
        <v>0.29006109800000002</v>
      </c>
      <c r="E55" s="165">
        <f t="shared" ref="E55:E60" si="30">C55*D55</f>
        <v>12838016.01890621</v>
      </c>
      <c r="F55" s="160">
        <v>938429.46693527547</v>
      </c>
      <c r="G55" s="164">
        <v>0.27618055600000002</v>
      </c>
      <c r="H55" s="165">
        <f t="shared" ref="H55:H60" si="31">G55*C55</f>
        <v>12223667.449670976</v>
      </c>
      <c r="I55" s="164">
        <v>0.146581028</v>
      </c>
      <c r="J55" s="165">
        <f t="shared" si="17"/>
        <v>6487631.7386474879</v>
      </c>
      <c r="K55" s="170">
        <f>IF(Netvolumenmål!AS56&lt;Netvolumenmål!$AG$66,(Netvolumenmål!AS56-Netvolumenmål!$AG$66),0)</f>
        <v>0</v>
      </c>
      <c r="L55" s="171">
        <f>Netvolumenmål!AT56*0.8</f>
        <v>0</v>
      </c>
      <c r="M55" s="174">
        <f t="shared" si="21"/>
        <v>0.146581028</v>
      </c>
      <c r="N55" s="165">
        <f t="shared" si="22"/>
        <v>6487631.7386474879</v>
      </c>
      <c r="O55" s="176">
        <f t="shared" ref="O55:O60" si="32">IF(G55&gt;0,C55-H55,"Over fronten")</f>
        <v>32036028.550329022</v>
      </c>
      <c r="P55" s="165">
        <f t="shared" si="24"/>
        <v>0</v>
      </c>
      <c r="Q55" s="164">
        <f t="shared" si="18"/>
        <v>3.6645257000000001E-2</v>
      </c>
      <c r="R55" s="179">
        <f t="shared" si="25"/>
        <v>3.6645257000000001E-2</v>
      </c>
      <c r="S55" s="165">
        <f t="shared" si="26"/>
        <v>1621907.934661872</v>
      </c>
    </row>
    <row r="56" spans="1:19" x14ac:dyDescent="0.25">
      <c r="A56" s="44" t="s">
        <v>82</v>
      </c>
      <c r="B56" s="160"/>
      <c r="C56" s="160">
        <v>27527597</v>
      </c>
      <c r="D56" s="164">
        <v>1.4644140999999999E-2</v>
      </c>
      <c r="E56" s="165">
        <f t="shared" si="30"/>
        <v>403118.01185917697</v>
      </c>
      <c r="F56" s="160">
        <v>1592293.3866117969</v>
      </c>
      <c r="G56" s="164">
        <v>0</v>
      </c>
      <c r="H56" s="165">
        <f t="shared" si="31"/>
        <v>0</v>
      </c>
      <c r="I56" s="164">
        <v>0</v>
      </c>
      <c r="J56" s="165">
        <f t="shared" si="17"/>
        <v>0</v>
      </c>
      <c r="K56" s="170">
        <f>IF(Netvolumenmål!AS57&lt;Netvolumenmål!$AG$66,(Netvolumenmål!AS57-Netvolumenmål!$AG$66),0)</f>
        <v>0</v>
      </c>
      <c r="L56" s="171">
        <f>Netvolumenmål!AT57*0.8</f>
        <v>0</v>
      </c>
      <c r="M56" s="174">
        <f t="shared" si="21"/>
        <v>0</v>
      </c>
      <c r="N56" s="165">
        <f t="shared" si="22"/>
        <v>0</v>
      </c>
      <c r="O56" s="176">
        <f>1.0231*C56</f>
        <v>28163484.490699999</v>
      </c>
      <c r="P56" s="165">
        <f t="shared" si="24"/>
        <v>222973.53570000082</v>
      </c>
      <c r="Q56" s="164">
        <f t="shared" si="18"/>
        <v>0</v>
      </c>
      <c r="R56" s="179">
        <f t="shared" si="25"/>
        <v>0</v>
      </c>
      <c r="S56" s="165">
        <f t="shared" si="26"/>
        <v>0</v>
      </c>
    </row>
    <row r="57" spans="1:19" x14ac:dyDescent="0.25">
      <c r="A57" s="44" t="s">
        <v>83</v>
      </c>
      <c r="B57" s="159"/>
      <c r="C57" s="163">
        <v>18262287</v>
      </c>
      <c r="D57" s="164">
        <v>0.73994823700000001</v>
      </c>
      <c r="E57" s="165">
        <f t="shared" si="30"/>
        <v>13513147.069238018</v>
      </c>
      <c r="F57" s="160"/>
      <c r="G57" s="164">
        <v>0.73994823700000001</v>
      </c>
      <c r="H57" s="165">
        <f t="shared" si="31"/>
        <v>13513147.069238018</v>
      </c>
      <c r="I57" s="164">
        <v>0.60950337300000001</v>
      </c>
      <c r="J57" s="165">
        <f t="shared" si="17"/>
        <v>11130925.525194051</v>
      </c>
      <c r="K57" s="170">
        <f>IF(Netvolumenmål!AS58&lt;Netvolumenmål!$AG$66,(Netvolumenmål!AS58-Netvolumenmål!$AG$66),0)</f>
        <v>0</v>
      </c>
      <c r="L57" s="171">
        <f>Netvolumenmål!AT58*0.8</f>
        <v>0</v>
      </c>
      <c r="M57" s="174">
        <f t="shared" si="21"/>
        <v>0.60950337300000001</v>
      </c>
      <c r="N57" s="165">
        <f t="shared" si="22"/>
        <v>11130925.525194051</v>
      </c>
      <c r="O57" s="176">
        <f t="shared" si="32"/>
        <v>4749139.9307619818</v>
      </c>
      <c r="P57" s="165">
        <f t="shared" si="24"/>
        <v>0</v>
      </c>
      <c r="Q57" s="164">
        <f t="shared" si="18"/>
        <v>0.15237584325</v>
      </c>
      <c r="R57" s="179">
        <f t="shared" si="25"/>
        <v>0.05</v>
      </c>
      <c r="S57" s="165">
        <f t="shared" si="26"/>
        <v>913114.35000000009</v>
      </c>
    </row>
    <row r="58" spans="1:19" x14ac:dyDescent="0.25">
      <c r="A58" s="44" t="s">
        <v>84</v>
      </c>
      <c r="B58" s="160"/>
      <c r="C58" s="160">
        <v>12539897.319</v>
      </c>
      <c r="D58" s="164">
        <v>0</v>
      </c>
      <c r="E58" s="165">
        <f t="shared" si="30"/>
        <v>0</v>
      </c>
      <c r="F58" s="160">
        <v>1060986.1045185723</v>
      </c>
      <c r="G58" s="164">
        <v>0</v>
      </c>
      <c r="H58" s="165">
        <f t="shared" si="31"/>
        <v>0</v>
      </c>
      <c r="I58" s="164">
        <v>0</v>
      </c>
      <c r="J58" s="165">
        <f t="shared" si="17"/>
        <v>0</v>
      </c>
      <c r="K58" s="170">
        <f>IF(Netvolumenmål!AS59&lt;Netvolumenmål!$AG$66,(Netvolumenmål!AS59-Netvolumenmål!$AG$66),0)</f>
        <v>0</v>
      </c>
      <c r="L58" s="171">
        <f>Netvolumenmål!AT59*0.8</f>
        <v>0</v>
      </c>
      <c r="M58" s="174">
        <f t="shared" si="21"/>
        <v>0</v>
      </c>
      <c r="N58" s="165">
        <f t="shared" si="22"/>
        <v>0</v>
      </c>
      <c r="O58" s="176">
        <f>1.09948643831697*C58</f>
        <v>13787447.040127831</v>
      </c>
      <c r="P58" s="177">
        <f t="shared" si="24"/>
        <v>1059451.261342831</v>
      </c>
      <c r="Q58" s="164">
        <f t="shared" si="18"/>
        <v>0</v>
      </c>
      <c r="R58" s="179">
        <f t="shared" si="25"/>
        <v>0</v>
      </c>
      <c r="S58" s="165">
        <f t="shared" si="26"/>
        <v>0</v>
      </c>
    </row>
    <row r="59" spans="1:19" x14ac:dyDescent="0.25">
      <c r="A59" s="44" t="s">
        <v>92</v>
      </c>
      <c r="B59" s="159"/>
      <c r="C59" s="160">
        <v>5922300</v>
      </c>
      <c r="D59" s="164">
        <v>0.20928842</v>
      </c>
      <c r="E59" s="165">
        <f t="shared" si="30"/>
        <v>1239468.8097659999</v>
      </c>
      <c r="F59" s="160"/>
      <c r="G59" s="164">
        <v>0.20928842</v>
      </c>
      <c r="H59" s="165">
        <f t="shared" si="31"/>
        <v>1239468.8097659999</v>
      </c>
      <c r="I59" s="164">
        <v>8.4813550000000001E-2</v>
      </c>
      <c r="J59" s="165">
        <f t="shared" si="17"/>
        <v>502291.28716499999</v>
      </c>
      <c r="K59" s="170">
        <f>IF(Netvolumenmål!AS60&lt;Netvolumenmål!$AG$66,(Netvolumenmål!AS60-Netvolumenmål!$AG$66),0)</f>
        <v>0</v>
      </c>
      <c r="L59" s="171">
        <f>Netvolumenmål!AT60*0.8</f>
        <v>0</v>
      </c>
      <c r="M59" s="174">
        <f t="shared" si="21"/>
        <v>8.4813550000000001E-2</v>
      </c>
      <c r="N59" s="165">
        <f t="shared" si="22"/>
        <v>502291.28716499999</v>
      </c>
      <c r="O59" s="176">
        <f t="shared" si="32"/>
        <v>4682831.1902339999</v>
      </c>
      <c r="P59" s="165">
        <f t="shared" si="24"/>
        <v>0</v>
      </c>
      <c r="Q59" s="164">
        <f t="shared" si="18"/>
        <v>2.12033875E-2</v>
      </c>
      <c r="R59" s="179">
        <f t="shared" si="25"/>
        <v>2.12033875E-2</v>
      </c>
      <c r="S59" s="165">
        <f t="shared" si="26"/>
        <v>125572.82179125</v>
      </c>
    </row>
    <row r="60" spans="1:19" ht="15.75" thickBot="1" x14ac:dyDescent="0.3">
      <c r="A60" s="23" t="s">
        <v>86</v>
      </c>
      <c r="B60" s="162"/>
      <c r="C60" s="162">
        <v>103365163</v>
      </c>
      <c r="D60" s="166">
        <v>0.37002058599999998</v>
      </c>
      <c r="E60" s="167">
        <f t="shared" si="30"/>
        <v>38247238.185245514</v>
      </c>
      <c r="F60" s="162">
        <v>8640247.3082094435</v>
      </c>
      <c r="G60" s="166">
        <v>0.31094627200000002</v>
      </c>
      <c r="H60" s="167">
        <f t="shared" si="31"/>
        <v>32141012.089522339</v>
      </c>
      <c r="I60" s="166">
        <v>0.18555269799999999</v>
      </c>
      <c r="J60" s="167">
        <f t="shared" si="17"/>
        <v>19179684.873859774</v>
      </c>
      <c r="K60" s="172">
        <f>IF(Netvolumenmål!AS61&lt;Netvolumenmål!$AG$66,(Netvolumenmål!AS61-Netvolumenmål!$AG$66),0)</f>
        <v>0</v>
      </c>
      <c r="L60" s="173">
        <f>Netvolumenmål!AT61*0.8</f>
        <v>0</v>
      </c>
      <c r="M60" s="175">
        <f t="shared" si="21"/>
        <v>0.18555269799999999</v>
      </c>
      <c r="N60" s="167">
        <f t="shared" si="22"/>
        <v>19179684.873859774</v>
      </c>
      <c r="O60" s="178">
        <f t="shared" si="32"/>
        <v>71224150.910477668</v>
      </c>
      <c r="P60" s="167">
        <f t="shared" si="24"/>
        <v>0</v>
      </c>
      <c r="Q60" s="166">
        <f t="shared" si="18"/>
        <v>4.6388174499999997E-2</v>
      </c>
      <c r="R60" s="180">
        <f t="shared" si="25"/>
        <v>4.6388174499999997E-2</v>
      </c>
      <c r="S60" s="167">
        <f t="shared" si="26"/>
        <v>4794921.2184649436</v>
      </c>
    </row>
    <row r="61" spans="1:19" x14ac:dyDescent="0.25">
      <c r="R61" s="83"/>
    </row>
    <row r="62" spans="1:19" x14ac:dyDescent="0.25">
      <c r="R62" s="83"/>
    </row>
  </sheetData>
  <sortState ref="A3:Q107">
    <sortCondition ref="A2"/>
  </sortState>
  <customSheetViews>
    <customSheetView guid="{CA125778-F8FD-4378-B746-C94ABF8D8556}">
      <pane xSplit="1" ySplit="2" topLeftCell="B3" activePane="bottomRight" state="frozen"/>
      <selection pane="bottomRight" activeCell="I7" sqref="I7"/>
      <pageMargins left="0.7" right="0.7" top="0.75" bottom="0.75" header="0.3" footer="0.3"/>
      <pageSetup paperSize="9" orientation="portrait" r:id="rId1"/>
    </customSheetView>
    <customSheetView guid="{630A50AD-37E0-4B13-8A0F-82608C065D57}" topLeftCell="A76">
      <pane xSplit="1" topLeftCell="K1" activePane="topRight" state="frozen"/>
      <selection pane="topRight" activeCell="P113" sqref="P113"/>
      <pageMargins left="0.7" right="0.7" top="0.75" bottom="0.75" header="0.3" footer="0.3"/>
    </customSheetView>
    <customSheetView guid="{80E426B4-B9D0-45E3-ACA1-6AA797532F97}">
      <pane xSplit="1" ySplit="2" topLeftCell="B80" activePane="bottomRight" state="frozen"/>
      <selection pane="bottomRight" activeCell="A109" sqref="A109:XFD109"/>
      <pageMargins left="0.7" right="0.7" top="0.75" bottom="0.75" header="0.3" footer="0.3"/>
    </customSheetView>
    <customSheetView guid="{A178F800-3B7E-4511-BF10-5AA233FDE985}" scale="80">
      <pane xSplit="1" ySplit="2" topLeftCell="B3" activePane="bottomRight" state="frozen"/>
      <selection pane="bottomRight" activeCell="P10" sqref="P10"/>
      <pageMargins left="0.7" right="0.7" top="0.75" bottom="0.75" header="0.3" footer="0.3"/>
    </customSheetView>
    <customSheetView guid="{1AAC2EB3-B963-4CB8-8604-06326666FF8C}">
      <pane xSplit="1" ySplit="2" topLeftCell="B43" activePane="bottomRight" state="frozen"/>
      <selection pane="bottomRight" activeCell="F44" sqref="F44"/>
      <pageMargins left="0.7" right="0.7" top="0.75" bottom="0.75" header="0.3" footer="0.3"/>
      <pageSetup paperSize="9" orientation="portrait" r:id="rId2"/>
    </customSheetView>
    <customSheetView guid="{898A57C7-EA84-4A1C-AA42-8284F31DD32C}">
      <pane xSplit="1" ySplit="2" topLeftCell="K37" activePane="bottomRight" state="frozen"/>
      <selection pane="bottomRight" activeCell="S60" sqref="S60"/>
      <pageMargins left="0.7" right="0.7" top="0.75" bottom="0.75" header="0.3" footer="0.3"/>
      <pageSetup paperSize="9" orientation="portrait" r:id="rId3"/>
    </customSheetView>
    <customSheetView guid="{88D7A6C6-1D77-4300-8600-F7BD640C7FF4}">
      <pane xSplit="1" ySplit="2" topLeftCell="B3" activePane="bottomRight" state="frozen"/>
      <selection pane="bottomRight" activeCell="F17" sqref="F17"/>
      <pageMargins left="0.7" right="0.7" top="0.75" bottom="0.75" header="0.3" footer="0.3"/>
      <pageSetup paperSize="9" orientation="portrait" r:id="rId4"/>
    </customSheetView>
    <customSheetView guid="{15973B62-11BC-4FDE-92B3-1DF2358CDD3E}">
      <pane xSplit="1" ySplit="2" topLeftCell="B3" activePane="bottomRight" state="frozen"/>
      <selection pane="bottomRight" activeCell="O23" sqref="O23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T7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G59" sqref="AG59"/>
    </sheetView>
  </sheetViews>
  <sheetFormatPr defaultRowHeight="15" x14ac:dyDescent="0.25"/>
  <cols>
    <col min="1" max="1" width="36.85546875" style="139" bestFit="1" customWidth="1"/>
    <col min="2" max="2" width="13.140625" customWidth="1"/>
    <col min="3" max="3" width="13" customWidth="1"/>
    <col min="4" max="4" width="12.5703125" customWidth="1"/>
    <col min="5" max="5" width="11.85546875" customWidth="1"/>
    <col min="6" max="6" width="11.28515625" customWidth="1"/>
    <col min="7" max="7" width="11.140625" customWidth="1"/>
    <col min="8" max="8" width="10.28515625" customWidth="1"/>
    <col min="9" max="9" width="11.140625" customWidth="1"/>
    <col min="10" max="10" width="7.85546875" customWidth="1"/>
    <col min="12" max="12" width="15.85546875" customWidth="1"/>
    <col min="13" max="13" width="15.28515625" customWidth="1"/>
    <col min="14" max="14" width="18.42578125" customWidth="1"/>
    <col min="15" max="20" width="18.42578125" style="33" customWidth="1"/>
    <col min="21" max="21" width="15.5703125" customWidth="1"/>
    <col min="22" max="22" width="13.5703125" customWidth="1"/>
    <col min="23" max="23" width="26" bestFit="1" customWidth="1"/>
    <col min="24" max="24" width="8" bestFit="1" customWidth="1"/>
    <col min="25" max="25" width="15.42578125" bestFit="1" customWidth="1"/>
    <col min="26" max="26" width="11.28515625" bestFit="1" customWidth="1"/>
    <col min="27" max="27" width="12.42578125" bestFit="1" customWidth="1"/>
    <col min="28" max="28" width="11.85546875" bestFit="1" customWidth="1"/>
    <col min="29" max="29" width="15.42578125" bestFit="1" customWidth="1"/>
    <col min="30" max="30" width="15.7109375" bestFit="1" customWidth="1"/>
    <col min="31" max="31" width="7.42578125" bestFit="1" customWidth="1"/>
    <col min="32" max="32" width="11.5703125" style="31" customWidth="1"/>
    <col min="33" max="33" width="17.85546875" style="31" customWidth="1"/>
    <col min="36" max="36" width="10.5703125" bestFit="1" customWidth="1"/>
    <col min="37" max="38" width="11.5703125" customWidth="1"/>
    <col min="41" max="41" width="10.28515625" customWidth="1"/>
    <col min="44" max="44" width="17.7109375" customWidth="1"/>
    <col min="45" max="45" width="20" bestFit="1" customWidth="1"/>
    <col min="46" max="46" width="11" customWidth="1"/>
  </cols>
  <sheetData>
    <row r="1" spans="1:46" ht="15.75" thickBot="1" x14ac:dyDescent="0.3">
      <c r="A1" s="107"/>
      <c r="B1" s="352" t="s">
        <v>98</v>
      </c>
      <c r="C1" s="353"/>
      <c r="D1" s="353"/>
      <c r="E1" s="353"/>
      <c r="F1" s="353"/>
      <c r="G1" s="353"/>
      <c r="H1" s="353"/>
      <c r="I1" s="354"/>
      <c r="J1" s="5" t="s">
        <v>99</v>
      </c>
      <c r="K1" s="5" t="s">
        <v>100</v>
      </c>
      <c r="L1" s="355" t="s">
        <v>101</v>
      </c>
      <c r="M1" s="353"/>
      <c r="N1" s="354"/>
      <c r="O1" s="352" t="s">
        <v>101</v>
      </c>
      <c r="P1" s="353"/>
      <c r="Q1" s="357"/>
      <c r="R1" s="352" t="s">
        <v>101</v>
      </c>
      <c r="S1" s="353"/>
      <c r="T1" s="357"/>
      <c r="U1" s="358" t="s">
        <v>149</v>
      </c>
      <c r="V1" s="359"/>
      <c r="X1" s="356" t="s">
        <v>127</v>
      </c>
      <c r="Y1" s="356"/>
      <c r="Z1" s="356"/>
      <c r="AA1" s="356"/>
      <c r="AB1" s="356"/>
      <c r="AC1" s="356"/>
      <c r="AI1" s="356" t="s">
        <v>128</v>
      </c>
      <c r="AJ1" s="356"/>
      <c r="AK1" s="356"/>
      <c r="AL1" s="356"/>
      <c r="AM1" s="356"/>
      <c r="AN1" s="356"/>
    </row>
    <row r="2" spans="1:46" ht="64.5" customHeight="1" thickBot="1" x14ac:dyDescent="0.3">
      <c r="A2" s="99" t="s">
        <v>0</v>
      </c>
      <c r="B2" s="51" t="s">
        <v>1</v>
      </c>
      <c r="C2" s="45" t="s">
        <v>106</v>
      </c>
      <c r="D2" s="45" t="s">
        <v>107</v>
      </c>
      <c r="E2" s="45" t="s">
        <v>111</v>
      </c>
      <c r="F2" s="45" t="s">
        <v>108</v>
      </c>
      <c r="G2" s="45" t="s">
        <v>109</v>
      </c>
      <c r="H2" s="45" t="s">
        <v>110</v>
      </c>
      <c r="I2" s="46" t="s">
        <v>7</v>
      </c>
      <c r="J2" s="24" t="s">
        <v>99</v>
      </c>
      <c r="K2" s="47" t="s">
        <v>102</v>
      </c>
      <c r="L2" s="51" t="s">
        <v>103</v>
      </c>
      <c r="M2" s="45" t="s">
        <v>104</v>
      </c>
      <c r="N2" s="52" t="s">
        <v>105</v>
      </c>
      <c r="O2" s="51" t="s">
        <v>145</v>
      </c>
      <c r="P2" s="45" t="s">
        <v>146</v>
      </c>
      <c r="Q2" s="52" t="s">
        <v>147</v>
      </c>
      <c r="R2" s="26" t="s">
        <v>142</v>
      </c>
      <c r="S2" s="25" t="s">
        <v>143</v>
      </c>
      <c r="T2" s="6" t="s">
        <v>144</v>
      </c>
      <c r="U2" s="53" t="s">
        <v>97</v>
      </c>
      <c r="V2" s="54" t="s">
        <v>120</v>
      </c>
      <c r="W2" s="10"/>
      <c r="X2" s="51" t="s">
        <v>1</v>
      </c>
      <c r="Y2" s="45" t="s">
        <v>2</v>
      </c>
      <c r="Z2" s="45" t="s">
        <v>107</v>
      </c>
      <c r="AA2" s="45" t="s">
        <v>111</v>
      </c>
      <c r="AB2" s="45" t="s">
        <v>150</v>
      </c>
      <c r="AC2" s="45" t="s">
        <v>5</v>
      </c>
      <c r="AD2" s="45" t="s">
        <v>6</v>
      </c>
      <c r="AE2" s="52" t="s">
        <v>7</v>
      </c>
      <c r="AF2" s="29"/>
      <c r="AG2" s="62" t="s">
        <v>134</v>
      </c>
      <c r="AI2" s="26" t="s">
        <v>1</v>
      </c>
      <c r="AJ2" s="25" t="s">
        <v>106</v>
      </c>
      <c r="AK2" s="25" t="s">
        <v>107</v>
      </c>
      <c r="AL2" s="25" t="s">
        <v>111</v>
      </c>
      <c r="AM2" s="25" t="s">
        <v>108</v>
      </c>
      <c r="AN2" s="25" t="s">
        <v>109</v>
      </c>
      <c r="AO2" s="25" t="s">
        <v>110</v>
      </c>
      <c r="AP2" s="6" t="s">
        <v>7</v>
      </c>
      <c r="AR2" s="137" t="s">
        <v>134</v>
      </c>
      <c r="AS2" s="60" t="s">
        <v>133</v>
      </c>
      <c r="AT2" s="61" t="s">
        <v>151</v>
      </c>
    </row>
    <row r="3" spans="1:46" x14ac:dyDescent="0.25">
      <c r="A3" s="133" t="s">
        <v>39</v>
      </c>
      <c r="B3" s="12">
        <f>VLOOKUP($A3,Costdrivere!$A$1:$I$69,2,FALSE)</f>
        <v>5185054</v>
      </c>
      <c r="C3" s="13">
        <f>VLOOKUP($A3,Costdrivere!$A$1:$I$69,3,FALSE)</f>
        <v>1723825</v>
      </c>
      <c r="D3" s="13">
        <f>VLOOKUP($A3,Costdrivere!$A$1:$I$69,4,FALSE)</f>
        <v>595012</v>
      </c>
      <c r="E3" s="13">
        <f>VLOOKUP($A3,Costdrivere!$A$1:$I$69,5,FALSE)</f>
        <v>88830</v>
      </c>
      <c r="F3" s="13">
        <f>VLOOKUP($A3,Costdrivere!$A$1:$I$69,6,FALSE)</f>
        <v>0</v>
      </c>
      <c r="G3" s="13">
        <f>VLOOKUP($A3,Costdrivere!$A$1:$I$69,7,FALSE)</f>
        <v>0</v>
      </c>
      <c r="H3" s="13">
        <f>VLOOKUP($A3,Costdrivere!$A$1:$I$69,8,FALSE)</f>
        <v>0</v>
      </c>
      <c r="I3" s="14">
        <f>VLOOKUP($A3,Costdrivere!$A$1:$I$69,9,FALSE)</f>
        <v>1023780</v>
      </c>
      <c r="J3" s="108">
        <v>42.242706791766992</v>
      </c>
      <c r="K3" s="48">
        <f>VLOOKUP(A3,Costdrivere!$A$1:$J$69,10,FALSE)</f>
        <v>1.8544857768052515E-2</v>
      </c>
      <c r="L3" s="12">
        <f t="shared" ref="L3:L18" si="0">SUM(B3:I3)</f>
        <v>8616501</v>
      </c>
      <c r="M3" s="13">
        <f>(0.527+0.016*J3)*L3</f>
        <v>10364645.232023472</v>
      </c>
      <c r="N3" s="13">
        <f>(0.719+19.567*K3)*L3</f>
        <v>9321910.0859427247</v>
      </c>
      <c r="O3" s="12">
        <f>L3+'Potentialer og krav'!$F2</f>
        <v>9117122.4126574453</v>
      </c>
      <c r="P3" s="13">
        <f>(0.527+0.016*J3)*O3</f>
        <v>10966834.373271044</v>
      </c>
      <c r="Q3" s="13">
        <f>(0.719+19.567*K3)*O3</f>
        <v>9863515.9879080728</v>
      </c>
      <c r="R3" s="12">
        <f>O3+(0.2*'Potentialer og krav'!$C2)</f>
        <v>11754978.412657445</v>
      </c>
      <c r="S3" s="13">
        <f>P3+(0.2*'Potentialer og krav'!$C2)</f>
        <v>13604690.373271044</v>
      </c>
      <c r="T3" s="14">
        <f>Q3+(0.2*'Potentialer og krav'!$C2)</f>
        <v>12501371.987908073</v>
      </c>
      <c r="U3" s="13">
        <v>13389319</v>
      </c>
      <c r="V3" s="19">
        <f t="shared" ref="V3:V18" si="1">1.031*U3</f>
        <v>13804387.888999999</v>
      </c>
      <c r="X3" s="110">
        <f t="shared" ref="X3:AE4" si="2">B3/(SUM($B3:$I3))</f>
        <v>0.60175864889936181</v>
      </c>
      <c r="Y3" s="101">
        <f t="shared" si="2"/>
        <v>0.20006090639344207</v>
      </c>
      <c r="Z3" s="101">
        <f t="shared" si="2"/>
        <v>6.9054944692747089E-2</v>
      </c>
      <c r="AA3" s="101">
        <f t="shared" si="2"/>
        <v>1.0309289118634119E-2</v>
      </c>
      <c r="AB3" s="101">
        <f t="shared" si="2"/>
        <v>0</v>
      </c>
      <c r="AC3" s="101">
        <f t="shared" si="2"/>
        <v>0</v>
      </c>
      <c r="AD3" s="101">
        <f t="shared" si="2"/>
        <v>0</v>
      </c>
      <c r="AE3" s="94">
        <f t="shared" si="2"/>
        <v>0.1188162108958149</v>
      </c>
      <c r="AF3" s="32"/>
      <c r="AG3" s="71">
        <f>X3+Z3+AE3</f>
        <v>0.78962980448792375</v>
      </c>
      <c r="AH3" s="30"/>
      <c r="AI3" s="110">
        <f t="shared" ref="AI3:AI31" si="3">X$63-X3</f>
        <v>-0.38797107271216746</v>
      </c>
      <c r="AJ3" s="101">
        <f t="shared" ref="AJ3:AJ31" si="4">Y$63-Y3</f>
        <v>-4.2827413225492994E-3</v>
      </c>
      <c r="AK3" s="101">
        <f t="shared" ref="AK3:AK31" si="5">Z$63-Z3</f>
        <v>-4.9071253112193174E-2</v>
      </c>
      <c r="AL3" s="101">
        <f t="shared" ref="AL3:AL31" si="6">AA$63-AA3</f>
        <v>2.9986291239139963E-3</v>
      </c>
      <c r="AM3" s="101">
        <f t="shared" ref="AM3:AM31" si="7">AB$63-AB3</f>
        <v>0.3521528600235474</v>
      </c>
      <c r="AN3" s="101">
        <f t="shared" ref="AN3:AN31" si="8">AC$63-AC3</f>
        <v>0.13478929647649207</v>
      </c>
      <c r="AO3" s="101">
        <f t="shared" ref="AO3:AO31" si="9">AD$63-AD3</f>
        <v>5.5489330739503563E-4</v>
      </c>
      <c r="AP3" s="94">
        <f t="shared" ref="AP3:AP31" si="10">AE$63-AE3</f>
        <v>-4.9170611784438545E-2</v>
      </c>
      <c r="AR3" s="105">
        <f>X3+Z3+AE3</f>
        <v>0.78962980448792375</v>
      </c>
      <c r="AS3" s="97">
        <f t="shared" ref="AS3:AS31" si="11">$AG$63-AR3</f>
        <v>-0.48678005515188594</v>
      </c>
      <c r="AT3" s="115">
        <f t="shared" ref="AT3:AT31" si="12">IF(AS3&lt;$AG$66,(AS3-$AG$66)*0.2782,0)</f>
        <v>-7.4647030168384226E-2</v>
      </c>
    </row>
    <row r="4" spans="1:46" x14ac:dyDescent="0.25">
      <c r="A4" s="55" t="s">
        <v>40</v>
      </c>
      <c r="B4" s="9">
        <f>VLOOKUP($A4,Costdrivere!$A$1:$I$69,2,FALSE)</f>
        <v>4857562.8550000004</v>
      </c>
      <c r="C4" s="11">
        <f>VLOOKUP($A4,Costdrivere!$A$1:$I$69,3,FALSE)</f>
        <v>10819779</v>
      </c>
      <c r="D4" s="11">
        <f>VLOOKUP($A4,Costdrivere!$A$1:$I$69,4,FALSE)</f>
        <v>405690</v>
      </c>
      <c r="E4" s="11">
        <f>VLOOKUP($A4,Costdrivere!$A$1:$I$69,5,FALSE)</f>
        <v>1052220.96</v>
      </c>
      <c r="F4" s="11">
        <f>VLOOKUP($A4,Costdrivere!$A$1:$I$69,6,FALSE)</f>
        <v>8437518.9551864527</v>
      </c>
      <c r="G4" s="11">
        <f>VLOOKUP($A4,Costdrivere!$A$1:$I$69,7,FALSE)</f>
        <v>2429405.42</v>
      </c>
      <c r="H4" s="11">
        <f>VLOOKUP($A4,Costdrivere!$A$1:$I$69,8,FALSE)</f>
        <v>0</v>
      </c>
      <c r="I4" s="15">
        <f>VLOOKUP($A4,Costdrivere!$A$1:$I$69,9,FALSE)</f>
        <v>1895352</v>
      </c>
      <c r="J4" s="98">
        <v>28.339138803052727</v>
      </c>
      <c r="K4" s="49">
        <f>VLOOKUP(A4,Costdrivere!$A$1:$J$69,10,FALSE)</f>
        <v>1.6179160745994393E-2</v>
      </c>
      <c r="L4" s="9">
        <f t="shared" si="0"/>
        <v>29897529.190186456</v>
      </c>
      <c r="M4" s="11">
        <f t="shared" ref="M4:M18" si="13">(0.527+0.016*J4)*L4</f>
        <v>29312321.556652498</v>
      </c>
      <c r="N4" s="11">
        <f>(0.719+19.567*K4)*L4</f>
        <v>30961212.670283038</v>
      </c>
      <c r="O4" s="9">
        <f>L4+'Potentialer og krav'!$F3</f>
        <v>30073873.190186456</v>
      </c>
      <c r="P4" s="11">
        <f>(0.527+0.016*J4)*O4</f>
        <v>29485213.838141866</v>
      </c>
      <c r="Q4" s="11">
        <f>(0.719+19.567*K4)*O4</f>
        <v>31143830.573334388</v>
      </c>
      <c r="R4" s="9">
        <f>O4+(0.2*'Potentialer og krav'!$C3)</f>
        <v>36437233.590186454</v>
      </c>
      <c r="S4" s="11">
        <f>P4+(0.2*'Potentialer og krav'!$C3)</f>
        <v>35848574.238141865</v>
      </c>
      <c r="T4" s="15">
        <f>Q4+(0.2*'Potentialer og krav'!$C3)</f>
        <v>37507190.973334387</v>
      </c>
      <c r="U4" s="11">
        <v>29072047</v>
      </c>
      <c r="V4" s="20">
        <f t="shared" si="1"/>
        <v>29973280.456999999</v>
      </c>
      <c r="X4" s="134">
        <f t="shared" si="2"/>
        <v>0.1624737222965717</v>
      </c>
      <c r="Y4" s="85">
        <f t="shared" si="2"/>
        <v>0.36189542390517931</v>
      </c>
      <c r="Z4" s="85">
        <f t="shared" si="2"/>
        <v>1.3569348738462422E-2</v>
      </c>
      <c r="AA4" s="85">
        <f t="shared" si="2"/>
        <v>3.5194244758706687E-2</v>
      </c>
      <c r="AB4" s="85">
        <f t="shared" si="2"/>
        <v>0.28221459042695668</v>
      </c>
      <c r="AC4" s="85">
        <f t="shared" si="2"/>
        <v>8.1257732187361695E-2</v>
      </c>
      <c r="AD4" s="85">
        <f t="shared" si="2"/>
        <v>0</v>
      </c>
      <c r="AE4" s="88">
        <f t="shared" si="2"/>
        <v>6.3394937686761382E-2</v>
      </c>
      <c r="AF4" s="32"/>
      <c r="AG4" s="70">
        <f t="shared" ref="AG4:AG34" si="14">X4+Z4+AE4</f>
        <v>0.23943800872179549</v>
      </c>
      <c r="AH4" s="30"/>
      <c r="AI4" s="134">
        <f t="shared" si="3"/>
        <v>5.1313853890622624E-2</v>
      </c>
      <c r="AJ4" s="85">
        <f t="shared" si="4"/>
        <v>-0.16611725883428655</v>
      </c>
      <c r="AK4" s="85">
        <f t="shared" si="5"/>
        <v>6.4143428420914937E-3</v>
      </c>
      <c r="AL4" s="85">
        <f t="shared" si="6"/>
        <v>-2.1886326516158572E-2</v>
      </c>
      <c r="AM4" s="85">
        <f t="shared" si="7"/>
        <v>6.9938269596590719E-2</v>
      </c>
      <c r="AN4" s="85">
        <f t="shared" si="8"/>
        <v>5.3531564289130376E-2</v>
      </c>
      <c r="AO4" s="85">
        <f t="shared" si="9"/>
        <v>5.5489330739503563E-4</v>
      </c>
      <c r="AP4" s="88">
        <f t="shared" si="10"/>
        <v>6.2506614246149728E-3</v>
      </c>
      <c r="AR4" s="90">
        <f t="shared" ref="AR4:AR35" si="15">X4+Z4+AE4</f>
        <v>0.23943800872179549</v>
      </c>
      <c r="AS4" s="80">
        <f t="shared" si="11"/>
        <v>6.3411740614242318E-2</v>
      </c>
      <c r="AT4" s="128">
        <f t="shared" si="12"/>
        <v>0</v>
      </c>
    </row>
    <row r="5" spans="1:46" x14ac:dyDescent="0.25">
      <c r="A5" s="55" t="s">
        <v>41</v>
      </c>
      <c r="B5" s="9">
        <f>VLOOKUP($A5,Costdrivere!$A$1:$I$69,2,FALSE)</f>
        <v>4687216.6000000006</v>
      </c>
      <c r="C5" s="11">
        <f>VLOOKUP($A5,Costdrivere!$A$1:$I$69,3,FALSE)</f>
        <v>8524534</v>
      </c>
      <c r="D5" s="11">
        <f>VLOOKUP($A5,Costdrivere!$A$1:$I$69,4,FALSE)</f>
        <v>1298208</v>
      </c>
      <c r="E5" s="11">
        <f>VLOOKUP($A5,Costdrivere!$A$1:$I$69,5,FALSE)</f>
        <v>229003.74</v>
      </c>
      <c r="F5" s="11">
        <f>VLOOKUP($A5,Costdrivere!$A$1:$I$69,6,FALSE)</f>
        <v>15873905.897699326</v>
      </c>
      <c r="G5" s="11">
        <f>VLOOKUP($A5,Costdrivere!$A$1:$I$69,7,FALSE)</f>
        <v>3291282</v>
      </c>
      <c r="H5" s="11">
        <f>VLOOKUP($A5,Costdrivere!$A$1:$I$69,8,FALSE)</f>
        <v>297180</v>
      </c>
      <c r="I5" s="15">
        <f>VLOOKUP($A5,Costdrivere!$A$1:$I$69,9,FALSE)</f>
        <v>1981120</v>
      </c>
      <c r="J5" s="98">
        <v>24.469782061022187</v>
      </c>
      <c r="K5" s="49">
        <f>VLOOKUP(A5,Costdrivere!$A$1:$J$69,10,FALSE)</f>
        <v>1.4971699835676465E-2</v>
      </c>
      <c r="L5" s="9">
        <f t="shared" si="0"/>
        <v>36182450.23769933</v>
      </c>
      <c r="M5" s="11">
        <f t="shared" si="13"/>
        <v>33234178.023272078</v>
      </c>
      <c r="N5" s="11">
        <f t="shared" ref="N5:N18" si="16">(0.719+19.567*K5)*L5</f>
        <v>36614875.77087608</v>
      </c>
      <c r="O5" s="9">
        <f>L5+'Potentialer og krav'!$F4</f>
        <v>36344799.853997484</v>
      </c>
      <c r="P5" s="11">
        <f t="shared" ref="P5:P34" si="17">(0.527+0.016*J5)*O5</f>
        <v>33383298.826717306</v>
      </c>
      <c r="Q5" s="11">
        <f t="shared" ref="Q5:Q34" si="18">(0.719+19.567*K5)*O5</f>
        <v>36779165.668137178</v>
      </c>
      <c r="R5" s="9">
        <f>O5+(0.2*'Potentialer og krav'!$C4)</f>
        <v>41938975.053997487</v>
      </c>
      <c r="S5" s="11">
        <f>P5+(0.2*'Potentialer og krav'!$C4)</f>
        <v>38977474.026717305</v>
      </c>
      <c r="T5" s="15">
        <f>Q5+(0.2*'Potentialer og krav'!$C4)</f>
        <v>42373340.868137181</v>
      </c>
      <c r="U5" s="11">
        <v>24899091</v>
      </c>
      <c r="V5" s="20">
        <f t="shared" si="1"/>
        <v>25670962.820999999</v>
      </c>
      <c r="X5" s="134">
        <f t="shared" ref="X5:X61" si="19">B5/(SUM($B5:$I5))</f>
        <v>0.12954392444976767</v>
      </c>
      <c r="Y5" s="85">
        <f t="shared" ref="Y5:Y61" si="20">C5/(SUM($B5:$I5))</f>
        <v>0.23559858284882243</v>
      </c>
      <c r="Z5" s="85">
        <f t="shared" ref="Z5:Z61" si="21">D5/(SUM($B5:$I5))</f>
        <v>3.5879493828402123E-2</v>
      </c>
      <c r="AA5" s="85">
        <f t="shared" ref="AA5:AA61" si="22">E5/(SUM($B5:$I5))</f>
        <v>6.3291385325086611E-3</v>
      </c>
      <c r="AB5" s="85">
        <f t="shared" ref="AB5:AB61" si="23">F5/(SUM($B5:$I5))</f>
        <v>0.43871837847951872</v>
      </c>
      <c r="AC5" s="85">
        <f t="shared" ref="AC5:AC61" si="24">G5/(SUM($B5:$I5))</f>
        <v>9.0963491371591446E-2</v>
      </c>
      <c r="AD5" s="85">
        <f t="shared" ref="AD5:AD61" si="25">H5/(SUM($B5:$I5))</f>
        <v>8.2133741094836434E-3</v>
      </c>
      <c r="AE5" s="88">
        <f t="shared" ref="AE5:AE61" si="26">I5/(SUM($B5:$I5))</f>
        <v>5.475361637990523E-2</v>
      </c>
      <c r="AF5" s="32"/>
      <c r="AG5" s="70">
        <f t="shared" si="14"/>
        <v>0.22017703465807503</v>
      </c>
      <c r="AI5" s="134">
        <f t="shared" si="3"/>
        <v>8.424365173742665E-2</v>
      </c>
      <c r="AJ5" s="85">
        <f t="shared" si="4"/>
        <v>-3.9820417777929662E-2</v>
      </c>
      <c r="AK5" s="85">
        <f t="shared" si="5"/>
        <v>-1.5895802247848208E-2</v>
      </c>
      <c r="AL5" s="85">
        <f t="shared" si="6"/>
        <v>6.9787797100394544E-3</v>
      </c>
      <c r="AM5" s="85">
        <f t="shared" si="7"/>
        <v>-8.6565518455971324E-2</v>
      </c>
      <c r="AN5" s="85">
        <f t="shared" si="8"/>
        <v>4.3825805104900625E-2</v>
      </c>
      <c r="AO5" s="85">
        <f t="shared" si="9"/>
        <v>-7.6584808020886078E-3</v>
      </c>
      <c r="AP5" s="88">
        <f t="shared" si="10"/>
        <v>1.4891982731471125E-2</v>
      </c>
      <c r="AR5" s="90">
        <f t="shared" si="15"/>
        <v>0.22017703465807503</v>
      </c>
      <c r="AS5" s="80">
        <f t="shared" si="11"/>
        <v>8.2672714677962778E-2</v>
      </c>
      <c r="AT5" s="128">
        <f t="shared" si="12"/>
        <v>0</v>
      </c>
    </row>
    <row r="6" spans="1:46" x14ac:dyDescent="0.25">
      <c r="A6" s="55" t="s">
        <v>42</v>
      </c>
      <c r="B6" s="9">
        <f>VLOOKUP($A6,Costdrivere!$A$1:$I$69,2,FALSE)</f>
        <v>4441771</v>
      </c>
      <c r="C6" s="11">
        <f>VLOOKUP($A6,Costdrivere!$A$1:$I$69,3,FALSE)</f>
        <v>1081860</v>
      </c>
      <c r="D6" s="11">
        <f>VLOOKUP($A6,Costdrivere!$A$1:$I$69,4,FALSE)</f>
        <v>121707</v>
      </c>
      <c r="E6" s="11">
        <f>VLOOKUP($A6,Costdrivere!$A$1:$I$69,5,FALSE)</f>
        <v>304785.59999999998</v>
      </c>
      <c r="F6" s="11">
        <f>VLOOKUP($A6,Costdrivere!$A$1:$I$69,6,FALSE)</f>
        <v>0</v>
      </c>
      <c r="G6" s="11">
        <f>VLOOKUP($A6,Costdrivere!$A$1:$I$69,7,FALSE)</f>
        <v>0</v>
      </c>
      <c r="H6" s="11">
        <f>VLOOKUP($A6,Costdrivere!$A$1:$I$69,8,FALSE)</f>
        <v>0</v>
      </c>
      <c r="I6" s="15">
        <f>VLOOKUP($A6,Costdrivere!$A$1:$I$69,9,FALSE)</f>
        <v>722988</v>
      </c>
      <c r="J6" s="98">
        <v>47.130791408421821</v>
      </c>
      <c r="K6" s="49">
        <f>VLOOKUP(A6,Costdrivere!$A$1:$J$69,10,FALSE)</f>
        <v>1.8586956521739129E-2</v>
      </c>
      <c r="L6" s="9">
        <f t="shared" si="0"/>
        <v>6673111.5999999996</v>
      </c>
      <c r="M6" s="11">
        <f t="shared" si="13"/>
        <v>8548874.3070355188</v>
      </c>
      <c r="N6" s="11">
        <f t="shared" si="16"/>
        <v>7224917.726247956</v>
      </c>
      <c r="O6" s="9">
        <f>L6+'Potentialer og krav'!$F5</f>
        <v>7224917.726247956</v>
      </c>
      <c r="P6" s="11">
        <f t="shared" si="17"/>
        <v>9255789.0865135007</v>
      </c>
      <c r="Q6" s="11">
        <f t="shared" si="18"/>
        <v>7822353.2408856973</v>
      </c>
      <c r="R6" s="9">
        <f>O6+(0.2*'Potentialer og krav'!$C5)</f>
        <v>8163522.9262479562</v>
      </c>
      <c r="S6" s="11">
        <f>P6+(0.2*'Potentialer og krav'!$C5)</f>
        <v>10194394.2865135</v>
      </c>
      <c r="T6" s="15">
        <f>Q6+(0.2*'Potentialer og krav'!$C5)</f>
        <v>8760958.4408856966</v>
      </c>
      <c r="U6" s="11">
        <v>4504181</v>
      </c>
      <c r="V6" s="20">
        <f t="shared" si="1"/>
        <v>4643810.6109999996</v>
      </c>
      <c r="X6" s="134">
        <f t="shared" si="19"/>
        <v>0.66562216642682859</v>
      </c>
      <c r="Y6" s="85">
        <f t="shared" si="20"/>
        <v>0.16212226991678066</v>
      </c>
      <c r="Z6" s="85">
        <f t="shared" si="21"/>
        <v>1.8238418191597456E-2</v>
      </c>
      <c r="AA6" s="85">
        <f t="shared" si="22"/>
        <v>4.5673685421355754E-2</v>
      </c>
      <c r="AB6" s="85">
        <f t="shared" si="23"/>
        <v>0</v>
      </c>
      <c r="AC6" s="85">
        <f t="shared" si="24"/>
        <v>0</v>
      </c>
      <c r="AD6" s="85">
        <f t="shared" si="25"/>
        <v>0</v>
      </c>
      <c r="AE6" s="88">
        <f t="shared" si="26"/>
        <v>0.10834346004343762</v>
      </c>
      <c r="AF6" s="32"/>
      <c r="AG6" s="70">
        <f t="shared" si="14"/>
        <v>0.79220404466186367</v>
      </c>
      <c r="AI6" s="134">
        <f t="shared" si="3"/>
        <v>-0.45183459023963424</v>
      </c>
      <c r="AJ6" s="85">
        <f t="shared" si="4"/>
        <v>3.3655895154112103E-2</v>
      </c>
      <c r="AK6" s="85">
        <f t="shared" si="5"/>
        <v>1.7452733889564594E-3</v>
      </c>
      <c r="AL6" s="85">
        <f t="shared" si="6"/>
        <v>-3.2365767178807639E-2</v>
      </c>
      <c r="AM6" s="85">
        <f t="shared" si="7"/>
        <v>0.3521528600235474</v>
      </c>
      <c r="AN6" s="85">
        <f t="shared" si="8"/>
        <v>0.13478929647649207</v>
      </c>
      <c r="AO6" s="85">
        <f t="shared" si="9"/>
        <v>5.5489330739503563E-4</v>
      </c>
      <c r="AP6" s="88">
        <f t="shared" si="10"/>
        <v>-3.8697860932061262E-2</v>
      </c>
      <c r="AR6" s="90">
        <f t="shared" si="15"/>
        <v>0.79220404466186367</v>
      </c>
      <c r="AS6" s="80">
        <f t="shared" si="11"/>
        <v>-0.48935429532582586</v>
      </c>
      <c r="AT6" s="128">
        <f t="shared" si="12"/>
        <v>-7.5363183784774315E-2</v>
      </c>
    </row>
    <row r="7" spans="1:46" x14ac:dyDescent="0.25">
      <c r="A7" s="55" t="s">
        <v>43</v>
      </c>
      <c r="B7" s="9">
        <f>VLOOKUP($A7,Costdrivere!$A$1:$I$69,2,FALSE)</f>
        <v>2406937.5</v>
      </c>
      <c r="C7" s="11">
        <f>VLOOKUP($A7,Costdrivere!$A$1:$I$69,3,FALSE)</f>
        <v>3585784</v>
      </c>
      <c r="D7" s="11">
        <f>VLOOKUP($A7,Costdrivere!$A$1:$I$69,4,FALSE)</f>
        <v>189322</v>
      </c>
      <c r="E7" s="11">
        <f>VLOOKUP($A7,Costdrivere!$A$1:$I$69,5,FALSE)</f>
        <v>459941.99999999994</v>
      </c>
      <c r="F7" s="11">
        <f>VLOOKUP($A7,Costdrivere!$A$1:$I$69,6,FALSE)</f>
        <v>8251402.8646298889</v>
      </c>
      <c r="G7" s="11">
        <f>VLOOKUP($A7,Costdrivere!$A$1:$I$69,7,FALSE)</f>
        <v>3114491.1999999997</v>
      </c>
      <c r="H7" s="11">
        <f>VLOOKUP($A7,Costdrivere!$A$1:$I$69,8,FALSE)</f>
        <v>0</v>
      </c>
      <c r="I7" s="15">
        <f>VLOOKUP($A7,Costdrivere!$A$1:$I$69,9,FALSE)</f>
        <v>1369872</v>
      </c>
      <c r="J7" s="98">
        <v>7.1255809043961014</v>
      </c>
      <c r="K7" s="49">
        <f>VLOOKUP(A7,Costdrivere!$A$1:$J$69,10,FALSE)</f>
        <v>2.0160000000000001E-2</v>
      </c>
      <c r="L7" s="9">
        <f t="shared" si="0"/>
        <v>19377751.56462989</v>
      </c>
      <c r="M7" s="11">
        <f t="shared" si="13"/>
        <v>12421318.858864887</v>
      </c>
      <c r="N7" s="11">
        <f t="shared" si="16"/>
        <v>21576558.986649569</v>
      </c>
      <c r="O7" s="9">
        <f>L7+'Potentialer og krav'!$F6</f>
        <v>19377751.56462989</v>
      </c>
      <c r="P7" s="11">
        <f t="shared" si="17"/>
        <v>12421318.858864887</v>
      </c>
      <c r="Q7" s="11">
        <f t="shared" si="18"/>
        <v>21576558.986649569</v>
      </c>
      <c r="R7" s="9">
        <f>O7+(0.2*'Potentialer og krav'!$C6)</f>
        <v>22843890.764629889</v>
      </c>
      <c r="S7" s="11">
        <f>P7+(0.2*'Potentialer og krav'!$C6)</f>
        <v>15887458.058864888</v>
      </c>
      <c r="T7" s="15">
        <f>Q7+(0.2*'Potentialer og krav'!$C6)</f>
        <v>25042698.186649568</v>
      </c>
      <c r="U7" s="11">
        <v>15604263</v>
      </c>
      <c r="V7" s="20">
        <f t="shared" si="1"/>
        <v>16087995.152999999</v>
      </c>
      <c r="X7" s="134">
        <f t="shared" si="19"/>
        <v>0.12421139222330473</v>
      </c>
      <c r="Y7" s="85">
        <f t="shared" si="20"/>
        <v>0.18504644298077971</v>
      </c>
      <c r="Z7" s="85">
        <f t="shared" si="21"/>
        <v>9.7700705558413942E-3</v>
      </c>
      <c r="AA7" s="85">
        <f t="shared" si="22"/>
        <v>2.3735571098946778E-2</v>
      </c>
      <c r="AB7" s="85">
        <f t="shared" si="23"/>
        <v>0.42581838440385067</v>
      </c>
      <c r="AC7" s="85">
        <f t="shared" si="24"/>
        <v>0.16072510732797629</v>
      </c>
      <c r="AD7" s="85">
        <f t="shared" si="25"/>
        <v>0</v>
      </c>
      <c r="AE7" s="88">
        <f t="shared" si="26"/>
        <v>7.0693031409300361E-2</v>
      </c>
      <c r="AF7" s="32"/>
      <c r="AG7" s="70">
        <f t="shared" si="14"/>
        <v>0.20467449418844649</v>
      </c>
      <c r="AI7" s="134">
        <f t="shared" si="3"/>
        <v>8.9576183963889597E-2</v>
      </c>
      <c r="AJ7" s="85">
        <f t="shared" si="4"/>
        <v>1.0731722090113055E-2</v>
      </c>
      <c r="AK7" s="85">
        <f t="shared" si="5"/>
        <v>1.0213621024712521E-2</v>
      </c>
      <c r="AL7" s="85">
        <f t="shared" si="6"/>
        <v>-1.0427652856398663E-2</v>
      </c>
      <c r="AM7" s="85">
        <f t="shared" si="7"/>
        <v>-7.3665524380303271E-2</v>
      </c>
      <c r="AN7" s="85">
        <f t="shared" si="8"/>
        <v>-2.593581085148422E-2</v>
      </c>
      <c r="AO7" s="85">
        <f t="shared" si="9"/>
        <v>5.5489330739503563E-4</v>
      </c>
      <c r="AP7" s="88">
        <f t="shared" si="10"/>
        <v>-1.0474322979240058E-3</v>
      </c>
      <c r="AR7" s="90">
        <f t="shared" si="15"/>
        <v>0.20467449418844649</v>
      </c>
      <c r="AS7" s="80">
        <f t="shared" si="11"/>
        <v>9.8175255147591317E-2</v>
      </c>
      <c r="AT7" s="128">
        <f t="shared" si="12"/>
        <v>0</v>
      </c>
    </row>
    <row r="8" spans="1:46" x14ac:dyDescent="0.25">
      <c r="A8" s="55" t="s">
        <v>46</v>
      </c>
      <c r="B8" s="9">
        <f>VLOOKUP($A8,Costdrivere!$A$1:$I$69,2,FALSE)</f>
        <v>5927782.7999999989</v>
      </c>
      <c r="C8" s="11">
        <f>VLOOKUP($A8,Costdrivere!$A$1:$I$69,3,FALSE)</f>
        <v>4007458</v>
      </c>
      <c r="D8" s="11">
        <f>VLOOKUP($A8,Costdrivere!$A$1:$I$69,4,FALSE)</f>
        <v>1000702</v>
      </c>
      <c r="E8" s="11">
        <f>VLOOKUP($A8,Costdrivere!$A$1:$I$69,5,FALSE)</f>
        <v>531558.72</v>
      </c>
      <c r="F8" s="11">
        <f>VLOOKUP($A8,Costdrivere!$A$1:$I$69,6,FALSE)</f>
        <v>6092213.3059917707</v>
      </c>
      <c r="G8" s="11">
        <f>VLOOKUP($A8,Costdrivere!$A$1:$I$69,7,FALSE)</f>
        <v>2578699.62</v>
      </c>
      <c r="H8" s="11">
        <f>VLOOKUP($A8,Costdrivere!$A$1:$I$69,8,FALSE)</f>
        <v>7620</v>
      </c>
      <c r="I8" s="15">
        <f>VLOOKUP($A8,Costdrivere!$A$1:$I$69,9,FALSE)</f>
        <v>1869017.5999999999</v>
      </c>
      <c r="J8" s="98">
        <v>30.584123903101982</v>
      </c>
      <c r="K8" s="49">
        <f>VLOOKUP(A8,Costdrivere!$A$1:$J$69,10,FALSE)</f>
        <v>2.6312925170068033E-2</v>
      </c>
      <c r="L8" s="9">
        <f t="shared" si="0"/>
        <v>22015052.045991775</v>
      </c>
      <c r="M8" s="11">
        <f t="shared" si="13"/>
        <v>22374909.700363286</v>
      </c>
      <c r="N8" s="11">
        <f t="shared" si="16"/>
        <v>27163602.342489902</v>
      </c>
      <c r="O8" s="9">
        <f>L8+'Potentialer og krav'!$F7</f>
        <v>26198658.744670678</v>
      </c>
      <c r="P8" s="11">
        <f t="shared" si="17"/>
        <v>26626901.560714956</v>
      </c>
      <c r="Q8" s="11">
        <f t="shared" si="18"/>
        <v>32325608.250215258</v>
      </c>
      <c r="R8" s="9">
        <f>O8+(0.2*'Potentialer og krav'!$C7)</f>
        <v>30738370.744670678</v>
      </c>
      <c r="S8" s="11">
        <f>P8+(0.2*'Potentialer og krav'!$C7)</f>
        <v>31166613.560714956</v>
      </c>
      <c r="T8" s="15">
        <f>Q8+(0.2*'Potentialer og krav'!$C7)</f>
        <v>36865320.250215262</v>
      </c>
      <c r="U8" s="11">
        <v>22551626</v>
      </c>
      <c r="V8" s="20">
        <f t="shared" si="1"/>
        <v>23250726.405999999</v>
      </c>
      <c r="X8" s="134">
        <f t="shared" si="19"/>
        <v>0.2692604490607714</v>
      </c>
      <c r="Y8" s="85">
        <f t="shared" si="20"/>
        <v>0.18203263801638969</v>
      </c>
      <c r="Z8" s="85">
        <f t="shared" si="21"/>
        <v>4.5455354723187916E-2</v>
      </c>
      <c r="AA8" s="85">
        <f t="shared" si="22"/>
        <v>2.414524021517267E-2</v>
      </c>
      <c r="AB8" s="85">
        <f t="shared" si="23"/>
        <v>0.27672945279731759</v>
      </c>
      <c r="AC8" s="85">
        <f t="shared" si="24"/>
        <v>0.11713347824991845</v>
      </c>
      <c r="AD8" s="85">
        <f t="shared" si="25"/>
        <v>3.4612682196167482E-4</v>
      </c>
      <c r="AE8" s="88">
        <f t="shared" si="26"/>
        <v>8.4897260115280412E-2</v>
      </c>
      <c r="AF8" s="32"/>
      <c r="AG8" s="70">
        <f t="shared" si="14"/>
        <v>0.39961306389923973</v>
      </c>
      <c r="AI8" s="134">
        <f t="shared" si="3"/>
        <v>-5.5472872873577078E-2</v>
      </c>
      <c r="AJ8" s="85">
        <f t="shared" si="4"/>
        <v>1.3745527054503076E-2</v>
      </c>
      <c r="AK8" s="85">
        <f t="shared" si="5"/>
        <v>-2.5471663142634E-2</v>
      </c>
      <c r="AL8" s="85">
        <f t="shared" si="6"/>
        <v>-1.0837321972624554E-2</v>
      </c>
      <c r="AM8" s="85">
        <f t="shared" si="7"/>
        <v>7.5423407226229811E-2</v>
      </c>
      <c r="AN8" s="85">
        <f t="shared" si="8"/>
        <v>1.7655818226573625E-2</v>
      </c>
      <c r="AO8" s="85">
        <f t="shared" si="9"/>
        <v>2.0876648543336081E-4</v>
      </c>
      <c r="AP8" s="88">
        <f t="shared" si="10"/>
        <v>-1.5251661003904057E-2</v>
      </c>
      <c r="AR8" s="90">
        <f t="shared" si="15"/>
        <v>0.39961306389923973</v>
      </c>
      <c r="AS8" s="80">
        <f t="shared" si="11"/>
        <v>-9.6763314563201919E-2</v>
      </c>
      <c r="AT8" s="128">
        <f t="shared" si="12"/>
        <v>0</v>
      </c>
    </row>
    <row r="9" spans="1:46" x14ac:dyDescent="0.25">
      <c r="A9" s="55" t="s">
        <v>44</v>
      </c>
      <c r="B9" s="9">
        <f>VLOOKUP($A9,Costdrivere!$A$1:$I$69,2,FALSE)</f>
        <v>4569972</v>
      </c>
      <c r="C9" s="11">
        <f>VLOOKUP($A9,Costdrivere!$A$1:$I$69,3,FALSE)</f>
        <v>5545256</v>
      </c>
      <c r="D9" s="11">
        <f>VLOOKUP($A9,Costdrivere!$A$1:$I$69,4,FALSE)</f>
        <v>1555145</v>
      </c>
      <c r="E9" s="11">
        <f>VLOOKUP($A9,Costdrivere!$A$1:$I$69,5,FALSE)</f>
        <v>18555.599999999999</v>
      </c>
      <c r="F9" s="11">
        <f>VLOOKUP($A9,Costdrivere!$A$1:$I$69,6,FALSE)</f>
        <v>13930913.405917585</v>
      </c>
      <c r="G9" s="11">
        <f>VLOOKUP($A9,Costdrivere!$A$1:$I$69,7,FALSE)</f>
        <v>3719545.2</v>
      </c>
      <c r="H9" s="11">
        <f>VLOOKUP($A9,Costdrivere!$A$1:$I$69,8,FALSE)</f>
        <v>20320</v>
      </c>
      <c r="I9" s="15">
        <f>VLOOKUP($A9,Costdrivere!$A$1:$I$69,9,FALSE)</f>
        <v>1879648</v>
      </c>
      <c r="J9" s="98">
        <v>29.349345723934832</v>
      </c>
      <c r="K9" s="49">
        <f>VLOOKUP(A9,Costdrivere!$A$1:$J$69,10,FALSE)</f>
        <v>1.4569288389513109E-2</v>
      </c>
      <c r="L9" s="9">
        <f t="shared" si="0"/>
        <v>31239355.205917586</v>
      </c>
      <c r="M9" s="11">
        <f t="shared" si="13"/>
        <v>31132814.371619027</v>
      </c>
      <c r="N9" s="11">
        <f t="shared" si="16"/>
        <v>31366726.364186566</v>
      </c>
      <c r="O9" s="9">
        <f>L9+'Potentialer og krav'!$F8</f>
        <v>31308278.992859676</v>
      </c>
      <c r="P9" s="11">
        <f>(0.527+0.016*J9)*O9</f>
        <v>31201503.096162569</v>
      </c>
      <c r="Q9" s="11">
        <f t="shared" si="18"/>
        <v>31435931.171736069</v>
      </c>
      <c r="R9" s="9">
        <f>O9+(0.2*'Potentialer og krav'!$C8)</f>
        <v>36666397.592859678</v>
      </c>
      <c r="S9" s="11">
        <f>P9+(0.2*'Potentialer og krav'!$C8)</f>
        <v>36559621.696162567</v>
      </c>
      <c r="T9" s="15">
        <f>Q9+(0.2*'Potentialer og krav'!$C8)</f>
        <v>36794049.771736071</v>
      </c>
      <c r="U9" s="11">
        <v>25697510</v>
      </c>
      <c r="V9" s="20">
        <f t="shared" si="1"/>
        <v>26494132.809999999</v>
      </c>
      <c r="X9" s="134">
        <f t="shared" si="19"/>
        <v>0.14628893489883307</v>
      </c>
      <c r="Y9" s="85">
        <f t="shared" si="20"/>
        <v>0.17750865737938079</v>
      </c>
      <c r="Z9" s="85">
        <f t="shared" si="21"/>
        <v>4.9781597275266848E-2</v>
      </c>
      <c r="AA9" s="85">
        <f t="shared" si="22"/>
        <v>5.9398152995440386E-4</v>
      </c>
      <c r="AB9" s="85">
        <f t="shared" si="23"/>
        <v>0.44594113143790787</v>
      </c>
      <c r="AC9" s="85">
        <f t="shared" si="24"/>
        <v>0.11906600425912174</v>
      </c>
      <c r="AD9" s="85">
        <f t="shared" si="25"/>
        <v>6.5046156894271745E-4</v>
      </c>
      <c r="AE9" s="88">
        <f t="shared" si="26"/>
        <v>6.0169231650592563E-2</v>
      </c>
      <c r="AF9" s="32"/>
      <c r="AG9" s="70">
        <f t="shared" si="14"/>
        <v>0.25623976382469249</v>
      </c>
      <c r="AI9" s="134">
        <f t="shared" si="3"/>
        <v>6.749864128836125E-2</v>
      </c>
      <c r="AJ9" s="85">
        <f t="shared" si="4"/>
        <v>1.8269507691511977E-2</v>
      </c>
      <c r="AK9" s="85">
        <f t="shared" si="5"/>
        <v>-2.9797905694712933E-2</v>
      </c>
      <c r="AL9" s="85">
        <f t="shared" si="6"/>
        <v>1.2713936712593712E-2</v>
      </c>
      <c r="AM9" s="85">
        <f t="shared" si="7"/>
        <v>-9.3788271414360469E-2</v>
      </c>
      <c r="AN9" s="85">
        <f t="shared" si="8"/>
        <v>1.572329221737033E-2</v>
      </c>
      <c r="AO9" s="85">
        <f t="shared" si="9"/>
        <v>-9.5568261547681818E-5</v>
      </c>
      <c r="AP9" s="88">
        <f t="shared" si="10"/>
        <v>9.4763674607837925E-3</v>
      </c>
      <c r="AR9" s="90">
        <f t="shared" si="15"/>
        <v>0.25623976382469249</v>
      </c>
      <c r="AS9" s="80">
        <f t="shared" si="11"/>
        <v>4.660998551134532E-2</v>
      </c>
      <c r="AT9" s="128">
        <f t="shared" si="12"/>
        <v>0</v>
      </c>
    </row>
    <row r="10" spans="1:46" x14ac:dyDescent="0.25">
      <c r="A10" s="55" t="s">
        <v>45</v>
      </c>
      <c r="B10" s="9">
        <f>VLOOKUP($A10,Costdrivere!$A$1:$I$69,2,FALSE)</f>
        <v>2500444</v>
      </c>
      <c r="C10" s="11">
        <f>VLOOKUP($A10,Costdrivere!$A$1:$I$69,3,FALSE)</f>
        <v>2459184</v>
      </c>
      <c r="D10" s="11">
        <f>VLOOKUP($A10,Costdrivere!$A$1:$I$69,4,FALSE)</f>
        <v>473305</v>
      </c>
      <c r="E10" s="11">
        <f>VLOOKUP($A10,Costdrivere!$A$1:$I$69,5,FALSE)</f>
        <v>0</v>
      </c>
      <c r="F10" s="11">
        <f>VLOOKUP($A10,Costdrivere!$A$1:$I$69,6,FALSE)</f>
        <v>19447483.819912631</v>
      </c>
      <c r="G10" s="11">
        <f>VLOOKUP($A10,Costdrivere!$A$1:$I$69,7,FALSE)</f>
        <v>4528486.8</v>
      </c>
      <c r="H10" s="11">
        <f>VLOOKUP($A10,Costdrivere!$A$1:$I$69,8,FALSE)</f>
        <v>0</v>
      </c>
      <c r="I10" s="15">
        <f>VLOOKUP($A10,Costdrivere!$A$1:$I$69,9,FALSE)</f>
        <v>1751600</v>
      </c>
      <c r="J10" s="98">
        <v>31.573994298614284</v>
      </c>
      <c r="K10" s="49">
        <f>VLOOKUP(A10,Costdrivere!$A$1:$J$69,10,FALSE)</f>
        <v>2.5663716814159292E-2</v>
      </c>
      <c r="L10" s="9">
        <f t="shared" si="0"/>
        <v>31160503.619912632</v>
      </c>
      <c r="M10" s="11">
        <f t="shared" si="13"/>
        <v>32163370.425887097</v>
      </c>
      <c r="N10" s="11">
        <f t="shared" si="16"/>
        <v>38052021.266959734</v>
      </c>
      <c r="O10" s="9">
        <f>L10+'Potentialer og krav'!$F9</f>
        <v>35460306.619912632</v>
      </c>
      <c r="P10" s="11">
        <f t="shared" si="17"/>
        <v>36601557.893401735</v>
      </c>
      <c r="Q10" s="11">
        <f t="shared" si="18"/>
        <v>43302777.069737613</v>
      </c>
      <c r="R10" s="9">
        <f>O10+(0.2*'Potentialer og krav'!$C9)</f>
        <v>41983467.419912636</v>
      </c>
      <c r="S10" s="11">
        <f>P10+(0.2*'Potentialer og krav'!$C9)</f>
        <v>43124718.693401739</v>
      </c>
      <c r="T10" s="15">
        <f>Q10+(0.2*'Potentialer og krav'!$C9)</f>
        <v>49825937.86973761</v>
      </c>
      <c r="U10" s="11">
        <v>30542283</v>
      </c>
      <c r="V10" s="20">
        <f t="shared" si="1"/>
        <v>31489093.772999998</v>
      </c>
      <c r="X10" s="134">
        <f t="shared" si="19"/>
        <v>8.0244017571080919E-2</v>
      </c>
      <c r="Y10" s="85">
        <f t="shared" si="20"/>
        <v>7.8919905467397425E-2</v>
      </c>
      <c r="Z10" s="85">
        <f t="shared" si="21"/>
        <v>1.5189260281966106E-2</v>
      </c>
      <c r="AA10" s="85">
        <f t="shared" si="22"/>
        <v>0</v>
      </c>
      <c r="AB10" s="85">
        <f t="shared" si="23"/>
        <v>0.62410685196644322</v>
      </c>
      <c r="AC10" s="85">
        <f t="shared" si="24"/>
        <v>0.14532777952619935</v>
      </c>
      <c r="AD10" s="85">
        <f t="shared" si="25"/>
        <v>0</v>
      </c>
      <c r="AE10" s="88">
        <f t="shared" si="26"/>
        <v>5.6212185186912941E-2</v>
      </c>
      <c r="AF10" s="32"/>
      <c r="AG10" s="70">
        <f t="shared" si="14"/>
        <v>0.15164546303995996</v>
      </c>
      <c r="AI10" s="134">
        <f t="shared" si="3"/>
        <v>0.13354355861611339</v>
      </c>
      <c r="AJ10" s="85">
        <f t="shared" si="4"/>
        <v>0.11685825960349534</v>
      </c>
      <c r="AK10" s="85">
        <f t="shared" si="5"/>
        <v>4.794431298587809E-3</v>
      </c>
      <c r="AL10" s="85">
        <f t="shared" si="6"/>
        <v>1.3307918242548115E-2</v>
      </c>
      <c r="AM10" s="85">
        <f t="shared" si="7"/>
        <v>-0.27195399194289582</v>
      </c>
      <c r="AN10" s="85">
        <f t="shared" si="8"/>
        <v>-1.0538483049707281E-2</v>
      </c>
      <c r="AO10" s="85">
        <f t="shared" si="9"/>
        <v>5.5489330739503563E-4</v>
      </c>
      <c r="AP10" s="88">
        <f t="shared" si="10"/>
        <v>1.3433413924463414E-2</v>
      </c>
      <c r="AR10" s="90">
        <f t="shared" si="15"/>
        <v>0.15164546303995996</v>
      </c>
      <c r="AS10" s="80">
        <f t="shared" si="11"/>
        <v>0.15120428629607785</v>
      </c>
      <c r="AT10" s="128">
        <f t="shared" si="12"/>
        <v>0</v>
      </c>
    </row>
    <row r="11" spans="1:46" x14ac:dyDescent="0.25">
      <c r="A11" s="55" t="s">
        <v>47</v>
      </c>
      <c r="B11" s="9">
        <f>VLOOKUP($A11,Costdrivere!$A$1:$I$69,2,FALSE)</f>
        <v>14205165</v>
      </c>
      <c r="C11" s="11">
        <f>VLOOKUP($A11,Costdrivere!$A$1:$I$69,3,FALSE)</f>
        <v>2358787</v>
      </c>
      <c r="D11" s="11">
        <f>VLOOKUP($A11,Costdrivere!$A$1:$I$69,4,FALSE)</f>
        <v>27046</v>
      </c>
      <c r="E11" s="11">
        <f>VLOOKUP($A11,Costdrivere!$A$1:$I$69,5,FALSE)</f>
        <v>228470.75999999998</v>
      </c>
      <c r="F11" s="11">
        <f>VLOOKUP($A11,Costdrivere!$A$1:$I$69,6,FALSE)</f>
        <v>0</v>
      </c>
      <c r="G11" s="11">
        <f>VLOOKUP($A11,Costdrivere!$A$1:$I$69,7,FALSE)</f>
        <v>0</v>
      </c>
      <c r="H11" s="11">
        <f>VLOOKUP($A11,Costdrivere!$A$1:$I$69,8,FALSE)</f>
        <v>0</v>
      </c>
      <c r="I11" s="15">
        <f>VLOOKUP($A11,Costdrivere!$A$1:$I$69,9,FALSE)</f>
        <v>604120.79999999993</v>
      </c>
      <c r="J11" s="98">
        <v>68.337477194780448</v>
      </c>
      <c r="K11" s="49">
        <f>VLOOKUP(A11,Costdrivere!$A$1:$J$69,10,FALSE)</f>
        <v>2.4514705882352942E-2</v>
      </c>
      <c r="L11" s="9">
        <f t="shared" si="0"/>
        <v>17423589.560000002</v>
      </c>
      <c r="M11" s="11">
        <f t="shared" si="13"/>
        <v>28233178.165443443</v>
      </c>
      <c r="N11" s="11">
        <f t="shared" si="16"/>
        <v>20885295.266088635</v>
      </c>
      <c r="O11" s="9">
        <f>L11+'Potentialer og krav'!$F10</f>
        <v>17586644.560000002</v>
      </c>
      <c r="P11" s="11">
        <f t="shared" si="17"/>
        <v>28497392.427947361</v>
      </c>
      <c r="Q11" s="11">
        <f t="shared" si="18"/>
        <v>21080745.911197383</v>
      </c>
      <c r="R11" s="9">
        <f>O11+(0.2*'Potentialer og krav'!$C10)</f>
        <v>21375362.760000002</v>
      </c>
      <c r="S11" s="11">
        <f>P11+(0.2*'Potentialer og krav'!$C10)</f>
        <v>32286110.62794736</v>
      </c>
      <c r="T11" s="15">
        <f>Q11+(0.2*'Potentialer og krav'!$C10)</f>
        <v>24869464.111197382</v>
      </c>
      <c r="U11" s="11">
        <v>16911810</v>
      </c>
      <c r="V11" s="20">
        <f t="shared" si="1"/>
        <v>17436076.109999999</v>
      </c>
      <c r="X11" s="134">
        <f t="shared" si="19"/>
        <v>0.81528349546360634</v>
      </c>
      <c r="Y11" s="85">
        <f t="shared" si="20"/>
        <v>0.1353789350855209</v>
      </c>
      <c r="Z11" s="85">
        <f t="shared" si="21"/>
        <v>1.5522633787294056E-3</v>
      </c>
      <c r="AA11" s="85">
        <f t="shared" si="22"/>
        <v>1.311272623894384E-2</v>
      </c>
      <c r="AB11" s="85">
        <f t="shared" si="23"/>
        <v>0</v>
      </c>
      <c r="AC11" s="85">
        <f t="shared" si="24"/>
        <v>0</v>
      </c>
      <c r="AD11" s="85">
        <f t="shared" si="25"/>
        <v>0</v>
      </c>
      <c r="AE11" s="88">
        <f t="shared" si="26"/>
        <v>3.4672579833199414E-2</v>
      </c>
      <c r="AF11" s="32"/>
      <c r="AG11" s="70">
        <f t="shared" si="14"/>
        <v>0.8515083386755351</v>
      </c>
      <c r="AI11" s="134">
        <f t="shared" si="3"/>
        <v>-0.60149591927641199</v>
      </c>
      <c r="AJ11" s="85">
        <f t="shared" si="4"/>
        <v>6.0399229985371866E-2</v>
      </c>
      <c r="AK11" s="85">
        <f t="shared" si="5"/>
        <v>1.8431428201824508E-2</v>
      </c>
      <c r="AL11" s="85">
        <f t="shared" si="6"/>
        <v>1.9519200360427515E-4</v>
      </c>
      <c r="AM11" s="85">
        <f t="shared" si="7"/>
        <v>0.3521528600235474</v>
      </c>
      <c r="AN11" s="85">
        <f t="shared" si="8"/>
        <v>0.13478929647649207</v>
      </c>
      <c r="AO11" s="85">
        <f t="shared" si="9"/>
        <v>5.5489330739503563E-4</v>
      </c>
      <c r="AP11" s="88">
        <f t="shared" si="10"/>
        <v>3.4973019278176941E-2</v>
      </c>
      <c r="AR11" s="90">
        <f t="shared" si="15"/>
        <v>0.8515083386755351</v>
      </c>
      <c r="AS11" s="80">
        <f t="shared" si="11"/>
        <v>-0.54865858933949729</v>
      </c>
      <c r="AT11" s="128">
        <f t="shared" si="12"/>
        <v>-9.1861638379377705E-2</v>
      </c>
    </row>
    <row r="12" spans="1:46" x14ac:dyDescent="0.25">
      <c r="A12" s="55" t="s">
        <v>48</v>
      </c>
      <c r="B12" s="9">
        <f>VLOOKUP($A12,Costdrivere!$A$1:$I$69,2,FALSE)</f>
        <v>7036598</v>
      </c>
      <c r="C12" s="11">
        <f>VLOOKUP($A12,Costdrivere!$A$1:$I$69,3,FALSE)</f>
        <v>10488632</v>
      </c>
      <c r="D12" s="11">
        <f>VLOOKUP($A12,Costdrivere!$A$1:$I$69,4,FALSE)</f>
        <v>405690</v>
      </c>
      <c r="E12" s="11">
        <f>VLOOKUP($A12,Costdrivere!$A$1:$I$69,5,FALSE)</f>
        <v>394799.99999999994</v>
      </c>
      <c r="F12" s="11">
        <f>VLOOKUP($A12,Costdrivere!$A$1:$I$69,6,FALSE)</f>
        <v>12088774.922219234</v>
      </c>
      <c r="G12" s="11">
        <f>VLOOKUP($A12,Costdrivere!$A$1:$I$69,7,FALSE)</f>
        <v>4917096</v>
      </c>
      <c r="H12" s="11">
        <f>VLOOKUP($A12,Costdrivere!$A$1:$I$69,8,FALSE)</f>
        <v>2540</v>
      </c>
      <c r="I12" s="15">
        <f>VLOOKUP($A12,Costdrivere!$A$1:$I$69,9,FALSE)</f>
        <v>1824080</v>
      </c>
      <c r="J12" s="98">
        <v>32.358888356189638</v>
      </c>
      <c r="K12" s="49">
        <f>VLOOKUP(A12,Costdrivere!$A$1:$J$69,10,FALSE)</f>
        <v>1.7743830787309046E-2</v>
      </c>
      <c r="L12" s="9">
        <f t="shared" si="0"/>
        <v>37158210.922219232</v>
      </c>
      <c r="M12" s="11">
        <f t="shared" si="13"/>
        <v>38820751.535974957</v>
      </c>
      <c r="N12" s="11">
        <f t="shared" si="16"/>
        <v>39617844.332320586</v>
      </c>
      <c r="O12" s="9">
        <f>L12+'Potentialer og krav'!$F11</f>
        <v>37208495.922219232</v>
      </c>
      <c r="P12" s="11">
        <f t="shared" si="17"/>
        <v>38873286.398190811</v>
      </c>
      <c r="Q12" s="11">
        <f t="shared" si="18"/>
        <v>39671457.874329396</v>
      </c>
      <c r="R12" s="9">
        <f>O12+(0.2*'Potentialer og krav'!$C11)</f>
        <v>44438005.122219235</v>
      </c>
      <c r="S12" s="11">
        <f>P12+(0.2*'Potentialer og krav'!$C11)</f>
        <v>46102795.598190814</v>
      </c>
      <c r="T12" s="15">
        <f>Q12+(0.2*'Potentialer og krav'!$C11)</f>
        <v>46900967.074329399</v>
      </c>
      <c r="U12" s="11">
        <v>31311895</v>
      </c>
      <c r="V12" s="20">
        <f t="shared" si="1"/>
        <v>32282563.744999997</v>
      </c>
      <c r="X12" s="134">
        <f t="shared" si="19"/>
        <v>0.18936858975070769</v>
      </c>
      <c r="Y12" s="85">
        <f t="shared" si="20"/>
        <v>0.28226956410670967</v>
      </c>
      <c r="Z12" s="85">
        <f t="shared" si="21"/>
        <v>1.091790992976501E-2</v>
      </c>
      <c r="AA12" s="85">
        <f t="shared" si="22"/>
        <v>1.0624838769186387E-2</v>
      </c>
      <c r="AB12" s="85">
        <f t="shared" si="23"/>
        <v>0.32533253410730262</v>
      </c>
      <c r="AC12" s="85">
        <f t="shared" si="24"/>
        <v>0.13232865302079866</v>
      </c>
      <c r="AD12" s="85">
        <f t="shared" si="25"/>
        <v>6.8356358849375447E-5</v>
      </c>
      <c r="AE12" s="88">
        <f t="shared" si="26"/>
        <v>4.9089553956680618E-2</v>
      </c>
      <c r="AF12" s="32"/>
      <c r="AG12" s="70">
        <f t="shared" si="14"/>
        <v>0.24937605363715332</v>
      </c>
      <c r="AI12" s="134">
        <f t="shared" si="3"/>
        <v>2.4418986436486628E-2</v>
      </c>
      <c r="AJ12" s="85">
        <f t="shared" si="4"/>
        <v>-8.6491399035816902E-2</v>
      </c>
      <c r="AK12" s="85">
        <f t="shared" si="5"/>
        <v>9.0657816507889056E-3</v>
      </c>
      <c r="AL12" s="85">
        <f t="shared" si="6"/>
        <v>2.683079473361728E-3</v>
      </c>
      <c r="AM12" s="85">
        <f t="shared" si="7"/>
        <v>2.682032591624478E-2</v>
      </c>
      <c r="AN12" s="85">
        <f t="shared" si="8"/>
        <v>2.460643455693412E-3</v>
      </c>
      <c r="AO12" s="85">
        <f t="shared" si="9"/>
        <v>4.8653694854566018E-4</v>
      </c>
      <c r="AP12" s="88">
        <f t="shared" si="10"/>
        <v>2.0556045154695737E-2</v>
      </c>
      <c r="AR12" s="90">
        <f t="shared" si="15"/>
        <v>0.24937605363715332</v>
      </c>
      <c r="AS12" s="80">
        <f t="shared" si="11"/>
        <v>5.3473695698884494E-2</v>
      </c>
      <c r="AT12" s="128">
        <f t="shared" si="12"/>
        <v>0</v>
      </c>
    </row>
    <row r="13" spans="1:46" x14ac:dyDescent="0.25">
      <c r="A13" s="55" t="s">
        <v>113</v>
      </c>
      <c r="B13" s="9">
        <f>VLOOKUP($A13,Costdrivere!$A$1:$I$69,2,FALSE)</f>
        <v>4134659.6</v>
      </c>
      <c r="C13" s="11">
        <f>VLOOKUP($A13,Costdrivere!$A$1:$I$69,3,FALSE)</f>
        <v>1677411</v>
      </c>
      <c r="D13" s="11">
        <f>VLOOKUP($A13,Costdrivere!$A$1:$I$69,4,FALSE)</f>
        <v>486828</v>
      </c>
      <c r="E13" s="11">
        <f>VLOOKUP($A13,Costdrivere!$A$1:$I$69,5,FALSE)</f>
        <v>897834.41999999993</v>
      </c>
      <c r="F13" s="11">
        <f>VLOOKUP($A13,Costdrivere!$A$1:$I$69,6,FALSE)</f>
        <v>3859899.9843856539</v>
      </c>
      <c r="G13" s="11">
        <f>VLOOKUP($A13,Costdrivere!$A$1:$I$69,7,FALSE)</f>
        <v>1661695</v>
      </c>
      <c r="H13" s="11">
        <f>VLOOKUP($A13,Costdrivere!$A$1:$I$69,8,FALSE)</f>
        <v>0</v>
      </c>
      <c r="I13" s="15">
        <f>VLOOKUP($A13,Costdrivere!$A$1:$I$69,9,FALSE)</f>
        <v>1283620.8</v>
      </c>
      <c r="J13" s="98">
        <v>43.803126937348438</v>
      </c>
      <c r="K13" s="49">
        <f>VLOOKUP(A13,Costdrivere!$A$1:$J$69,10,FALSE)</f>
        <v>2.5037700282752116E-2</v>
      </c>
      <c r="L13" s="9">
        <f t="shared" si="0"/>
        <v>14001948.804385655</v>
      </c>
      <c r="M13" s="11">
        <f t="shared" si="13"/>
        <v>17192293.273491386</v>
      </c>
      <c r="N13" s="11">
        <f t="shared" si="16"/>
        <v>16927133.474391997</v>
      </c>
      <c r="O13" s="9">
        <f>L13+'Potentialer og krav'!$F12</f>
        <v>18257685.552848898</v>
      </c>
      <c r="P13" s="11">
        <f>(0.527+0.016*J13)*O13</f>
        <v>22417699.772009499</v>
      </c>
      <c r="Q13" s="11">
        <f t="shared" si="18"/>
        <v>22071947.598447997</v>
      </c>
      <c r="R13" s="9">
        <f>O13+(0.2*'Potentialer og krav'!$C12)</f>
        <v>22978495.352848899</v>
      </c>
      <c r="S13" s="11">
        <f>P13+(0.2*'Potentialer og krav'!$C12)</f>
        <v>27138509.5720095</v>
      </c>
      <c r="T13" s="15">
        <f>Q13+(0.2*'Potentialer og krav'!$C12)</f>
        <v>26792757.398447998</v>
      </c>
      <c r="U13" s="11">
        <v>20064650</v>
      </c>
      <c r="V13" s="20">
        <f t="shared" si="1"/>
        <v>20686654.149999999</v>
      </c>
      <c r="X13" s="134">
        <f t="shared" si="19"/>
        <v>0.29529172387096236</v>
      </c>
      <c r="Y13" s="85">
        <f t="shared" si="20"/>
        <v>0.11979839545439601</v>
      </c>
      <c r="Z13" s="85">
        <f t="shared" si="21"/>
        <v>3.4768588772979725E-2</v>
      </c>
      <c r="AA13" s="85">
        <f t="shared" si="22"/>
        <v>6.4122104183010759E-2</v>
      </c>
      <c r="AB13" s="85">
        <f t="shared" si="23"/>
        <v>0.27566876856289219</v>
      </c>
      <c r="AC13" s="85">
        <f t="shared" si="24"/>
        <v>0.11867598026637036</v>
      </c>
      <c r="AD13" s="85">
        <f t="shared" si="25"/>
        <v>0</v>
      </c>
      <c r="AE13" s="88">
        <f t="shared" si="26"/>
        <v>9.1674438889388574E-2</v>
      </c>
      <c r="AF13" s="32"/>
      <c r="AG13" s="70">
        <f t="shared" si="14"/>
        <v>0.42173475153333068</v>
      </c>
      <c r="AI13" s="134">
        <f t="shared" si="3"/>
        <v>-8.1504147683768041E-2</v>
      </c>
      <c r="AJ13" s="85">
        <f t="shared" si="4"/>
        <v>7.5979769616496759E-2</v>
      </c>
      <c r="AK13" s="85">
        <f t="shared" si="5"/>
        <v>-1.478489719242581E-2</v>
      </c>
      <c r="AL13" s="85">
        <f t="shared" si="6"/>
        <v>-5.0814185940462643E-2</v>
      </c>
      <c r="AM13" s="85">
        <f t="shared" si="7"/>
        <v>7.6484091460655212E-2</v>
      </c>
      <c r="AN13" s="85">
        <f t="shared" si="8"/>
        <v>1.6113316210121714E-2</v>
      </c>
      <c r="AO13" s="85">
        <f t="shared" si="9"/>
        <v>5.5489330739503563E-4</v>
      </c>
      <c r="AP13" s="88">
        <f t="shared" si="10"/>
        <v>-2.2028839778012219E-2</v>
      </c>
      <c r="AR13" s="90">
        <f t="shared" si="15"/>
        <v>0.42173475153333068</v>
      </c>
      <c r="AS13" s="80">
        <f t="shared" si="11"/>
        <v>-0.11888500219729287</v>
      </c>
      <c r="AT13" s="128">
        <f t="shared" si="12"/>
        <v>0</v>
      </c>
    </row>
    <row r="14" spans="1:46" x14ac:dyDescent="0.25">
      <c r="A14" s="55" t="s">
        <v>49</v>
      </c>
      <c r="B14" s="9">
        <f>VLOOKUP($A14,Costdrivere!$A$1:$I$69,2,FALSE)</f>
        <v>7117577.9999999991</v>
      </c>
      <c r="C14" s="11">
        <f>VLOOKUP($A14,Costdrivere!$A$1:$I$69,3,FALSE)</f>
        <v>1919546</v>
      </c>
      <c r="D14" s="11">
        <f>VLOOKUP($A14,Costdrivere!$A$1:$I$69,4,FALSE)</f>
        <v>162276</v>
      </c>
      <c r="E14" s="11">
        <f>VLOOKUP($A14,Costdrivere!$A$1:$I$69,5,FALSE)</f>
        <v>1046219.9999999999</v>
      </c>
      <c r="F14" s="11">
        <f>VLOOKUP($A14,Costdrivere!$A$1:$I$69,6,FALSE)</f>
        <v>0</v>
      </c>
      <c r="G14" s="11">
        <f>VLOOKUP($A14,Costdrivere!$A$1:$I$69,7,FALSE)</f>
        <v>0</v>
      </c>
      <c r="H14" s="11">
        <f>VLOOKUP($A14,Costdrivere!$A$1:$I$69,8,FALSE)</f>
        <v>0</v>
      </c>
      <c r="I14" s="15">
        <f>VLOOKUP($A14,Costdrivere!$A$1:$I$69,9,FALSE)</f>
        <v>1422178.4</v>
      </c>
      <c r="J14" s="98">
        <v>54.497691147680875</v>
      </c>
      <c r="K14" s="49">
        <f>VLOOKUP(A14,Costdrivere!$A$1:$J$69,10,FALSE)</f>
        <v>4.3603703703703707E-2</v>
      </c>
      <c r="L14" s="9">
        <f t="shared" si="0"/>
        <v>11667798.4</v>
      </c>
      <c r="M14" s="11">
        <f t="shared" si="13"/>
        <v>16322818.934025683</v>
      </c>
      <c r="N14" s="11">
        <f t="shared" si="16"/>
        <v>18344038.791637536</v>
      </c>
      <c r="O14" s="9">
        <f>L14+'Potentialer og krav'!$F13</f>
        <v>13049555.752272639</v>
      </c>
      <c r="P14" s="11">
        <f t="shared" si="17"/>
        <v>18255846.425476428</v>
      </c>
      <c r="Q14" s="11">
        <f t="shared" si="18"/>
        <v>20516428.954868298</v>
      </c>
      <c r="R14" s="9">
        <f>O14+(0.2*'Potentialer og krav'!$C13)</f>
        <v>16771692.752272639</v>
      </c>
      <c r="S14" s="11">
        <f>P14+(0.2*'Potentialer og krav'!$C13)</f>
        <v>21977983.425476428</v>
      </c>
      <c r="T14" s="15">
        <f>Q14+(0.2*'Potentialer og krav'!$C13)</f>
        <v>24238565.954868298</v>
      </c>
      <c r="U14" s="11">
        <v>17113806</v>
      </c>
      <c r="V14" s="20">
        <f t="shared" si="1"/>
        <v>17644333.985999998</v>
      </c>
      <c r="X14" s="134">
        <f t="shared" si="19"/>
        <v>0.61001893896281234</v>
      </c>
      <c r="Y14" s="85">
        <f t="shared" si="20"/>
        <v>0.16451655523976141</v>
      </c>
      <c r="Z14" s="85">
        <f t="shared" si="21"/>
        <v>1.3908022270936734E-2</v>
      </c>
      <c r="AA14" s="85">
        <f t="shared" si="22"/>
        <v>8.9667301759344745E-2</v>
      </c>
      <c r="AB14" s="85">
        <f t="shared" si="23"/>
        <v>0</v>
      </c>
      <c r="AC14" s="85">
        <f t="shared" si="24"/>
        <v>0</v>
      </c>
      <c r="AD14" s="85">
        <f t="shared" si="25"/>
        <v>0</v>
      </c>
      <c r="AE14" s="88">
        <f t="shared" si="26"/>
        <v>0.12188918176714468</v>
      </c>
      <c r="AF14" s="32"/>
      <c r="AG14" s="70">
        <f t="shared" si="14"/>
        <v>0.74581614300089372</v>
      </c>
      <c r="AI14" s="134">
        <f t="shared" si="3"/>
        <v>-0.39623136277561799</v>
      </c>
      <c r="AJ14" s="85">
        <f t="shared" si="4"/>
        <v>3.1261609831131354E-2</v>
      </c>
      <c r="AK14" s="85">
        <f t="shared" si="5"/>
        <v>6.0756693096171814E-3</v>
      </c>
      <c r="AL14" s="85">
        <f t="shared" si="6"/>
        <v>-7.6359383516796636E-2</v>
      </c>
      <c r="AM14" s="85">
        <f t="shared" si="7"/>
        <v>0.3521528600235474</v>
      </c>
      <c r="AN14" s="85">
        <f t="shared" si="8"/>
        <v>0.13478929647649207</v>
      </c>
      <c r="AO14" s="85">
        <f t="shared" si="9"/>
        <v>5.5489330739503563E-4</v>
      </c>
      <c r="AP14" s="88">
        <f t="shared" si="10"/>
        <v>-5.2243582655768325E-2</v>
      </c>
      <c r="AR14" s="90">
        <f t="shared" si="15"/>
        <v>0.74581614300089372</v>
      </c>
      <c r="AS14" s="80">
        <f t="shared" si="11"/>
        <v>-0.44296639366485591</v>
      </c>
      <c r="AT14" s="128">
        <f t="shared" si="12"/>
        <v>-6.2458069542692465E-2</v>
      </c>
    </row>
    <row r="15" spans="1:46" x14ac:dyDescent="0.25">
      <c r="A15" s="55" t="s">
        <v>50</v>
      </c>
      <c r="B15" s="9">
        <f>VLOOKUP($A15,Costdrivere!$A$1:$I$69,2,FALSE)</f>
        <v>4019657.9999999995</v>
      </c>
      <c r="C15" s="11">
        <f>VLOOKUP($A15,Costdrivere!$A$1:$I$69,3,FALSE)</f>
        <v>175875</v>
      </c>
      <c r="D15" s="11">
        <f>VLOOKUP($A15,Costdrivere!$A$1:$I$69,4,FALSE)</f>
        <v>162276</v>
      </c>
      <c r="E15" s="11">
        <f>VLOOKUP($A15,Costdrivere!$A$1:$I$69,5,FALSE)</f>
        <v>266292.59999999998</v>
      </c>
      <c r="F15" s="11">
        <f>VLOOKUP($A15,Costdrivere!$A$1:$I$69,6,FALSE)</f>
        <v>0</v>
      </c>
      <c r="G15" s="11">
        <f>VLOOKUP($A15,Costdrivere!$A$1:$I$69,7,FALSE)</f>
        <v>0</v>
      </c>
      <c r="H15" s="11">
        <f>VLOOKUP($A15,Costdrivere!$A$1:$I$69,8,FALSE)</f>
        <v>0</v>
      </c>
      <c r="I15" s="15">
        <f>VLOOKUP($A15,Costdrivere!$A$1:$I$69,9,FALSE)</f>
        <v>466892</v>
      </c>
      <c r="J15" s="98">
        <v>42.953847274624479</v>
      </c>
      <c r="K15" s="49">
        <f>VLOOKUP(A15,Costdrivere!$A$1:$J$69,10,FALSE)</f>
        <v>1.894607843137255E-2</v>
      </c>
      <c r="L15" s="9">
        <f t="shared" si="0"/>
        <v>5090993.5999999996</v>
      </c>
      <c r="M15" s="11">
        <f t="shared" si="13"/>
        <v>6181797.8123278506</v>
      </c>
      <c r="N15" s="11">
        <f t="shared" si="16"/>
        <v>5547746.939555333</v>
      </c>
      <c r="O15" s="9">
        <f>L15+'Potentialer og krav'!$F14</f>
        <v>5772379.3378281174</v>
      </c>
      <c r="P15" s="11">
        <f t="shared" si="17"/>
        <v>7009178.3188476898</v>
      </c>
      <c r="Q15" s="11">
        <f t="shared" si="18"/>
        <v>6290265.1862277687</v>
      </c>
      <c r="R15" s="9">
        <f>O15+(0.2*'Potentialer og krav'!$C14)</f>
        <v>7173424.7378281178</v>
      </c>
      <c r="S15" s="11">
        <f>P15+(0.2*'Potentialer og krav'!$C14)</f>
        <v>8410223.7188476902</v>
      </c>
      <c r="T15" s="15">
        <f>Q15+(0.2*'Potentialer og krav'!$C14)</f>
        <v>7691310.586227769</v>
      </c>
      <c r="U15" s="11">
        <v>5541098</v>
      </c>
      <c r="V15" s="20">
        <f t="shared" si="1"/>
        <v>5712872.0379999997</v>
      </c>
      <c r="X15" s="134">
        <f t="shared" si="19"/>
        <v>0.78956257183273615</v>
      </c>
      <c r="Y15" s="85">
        <f t="shared" si="20"/>
        <v>3.4546301531394583E-2</v>
      </c>
      <c r="Z15" s="85">
        <f t="shared" si="21"/>
        <v>3.1875113730254936E-2</v>
      </c>
      <c r="AA15" s="85">
        <f t="shared" si="22"/>
        <v>5.2306606710328607E-2</v>
      </c>
      <c r="AB15" s="85">
        <f t="shared" si="23"/>
        <v>0</v>
      </c>
      <c r="AC15" s="85">
        <f t="shared" si="24"/>
        <v>0</v>
      </c>
      <c r="AD15" s="85">
        <f t="shared" si="25"/>
        <v>0</v>
      </c>
      <c r="AE15" s="88">
        <f t="shared" si="26"/>
        <v>9.1709406195285739E-2</v>
      </c>
      <c r="AF15" s="32"/>
      <c r="AG15" s="70">
        <f t="shared" si="14"/>
        <v>0.91314709175827691</v>
      </c>
      <c r="AI15" s="134">
        <f t="shared" si="3"/>
        <v>-0.5757749956455418</v>
      </c>
      <c r="AJ15" s="85">
        <f t="shared" si="4"/>
        <v>0.1612318635394982</v>
      </c>
      <c r="AK15" s="85">
        <f t="shared" si="5"/>
        <v>-1.1891422149701021E-2</v>
      </c>
      <c r="AL15" s="85">
        <f t="shared" si="6"/>
        <v>-3.8998688467780492E-2</v>
      </c>
      <c r="AM15" s="85">
        <f t="shared" si="7"/>
        <v>0.3521528600235474</v>
      </c>
      <c r="AN15" s="85">
        <f t="shared" si="8"/>
        <v>0.13478929647649207</v>
      </c>
      <c r="AO15" s="85">
        <f t="shared" si="9"/>
        <v>5.5489330739503563E-4</v>
      </c>
      <c r="AP15" s="88">
        <f t="shared" si="10"/>
        <v>-2.2063807083909384E-2</v>
      </c>
      <c r="AR15" s="90">
        <f t="shared" si="15"/>
        <v>0.91314709175827691</v>
      </c>
      <c r="AS15" s="80">
        <f t="shared" si="11"/>
        <v>-0.6102973424222391</v>
      </c>
      <c r="AT15" s="128">
        <f t="shared" si="12"/>
        <v>-0.10900953948699647</v>
      </c>
    </row>
    <row r="16" spans="1:46" x14ac:dyDescent="0.25">
      <c r="A16" s="55" t="s">
        <v>55</v>
      </c>
      <c r="B16" s="9">
        <f>VLOOKUP($A16,Costdrivere!$A$1:$I$69,2,FALSE)</f>
        <v>6959293.3080000002</v>
      </c>
      <c r="C16" s="11">
        <f>VLOOKUP($A16,Costdrivere!$A$1:$I$69,3,FALSE)</f>
        <v>4477390</v>
      </c>
      <c r="D16" s="11">
        <f>VLOOKUP($A16,Costdrivere!$A$1:$I$69,4,FALSE)</f>
        <v>635581</v>
      </c>
      <c r="E16" s="11">
        <f>VLOOKUP($A16,Costdrivere!$A$1:$I$69,5,FALSE)</f>
        <v>748205.22</v>
      </c>
      <c r="F16" s="11">
        <f>VLOOKUP($A16,Costdrivere!$A$1:$I$69,6,FALSE)</f>
        <v>6725518.5299016992</v>
      </c>
      <c r="G16" s="11">
        <f>VLOOKUP($A16,Costdrivere!$A$1:$I$69,7,FALSE)</f>
        <v>4306424.4000000004</v>
      </c>
      <c r="H16" s="11">
        <f>VLOOKUP($A16,Costdrivere!$A$1:$I$69,8,FALSE)</f>
        <v>0</v>
      </c>
      <c r="I16" s="15">
        <f>VLOOKUP($A16,Costdrivere!$A$1:$I$69,9,FALSE)</f>
        <v>1668127.2</v>
      </c>
      <c r="J16" s="98">
        <v>38.667017735433227</v>
      </c>
      <c r="K16" s="49">
        <f>VLOOKUP(A16,Costdrivere!$A$1:$J$69,10,FALSE)</f>
        <v>1.6892734986274423E-2</v>
      </c>
      <c r="L16" s="9">
        <f t="shared" si="0"/>
        <v>25520539.657901701</v>
      </c>
      <c r="M16" s="11">
        <f t="shared" si="13"/>
        <v>29238174.952832788</v>
      </c>
      <c r="N16" s="11">
        <f t="shared" si="16"/>
        <v>26784830.905191194</v>
      </c>
      <c r="O16" s="9">
        <f>L16+'Potentialer og krav'!$F15</f>
        <v>27388899.454252448</v>
      </c>
      <c r="P16" s="11">
        <f t="shared" si="17"/>
        <v>31378702.987616267</v>
      </c>
      <c r="Q16" s="11">
        <f t="shared" si="18"/>
        <v>28745749.517655477</v>
      </c>
      <c r="R16" s="9">
        <f>O16+(0.2*'Potentialer og krav'!$C15)</f>
        <v>33593020.454252452</v>
      </c>
      <c r="S16" s="11">
        <f>P16+(0.2*'Potentialer og krav'!$C15)</f>
        <v>37582823.987616271</v>
      </c>
      <c r="T16" s="15">
        <f>Q16+(0.2*'Potentialer og krav'!$C15)</f>
        <v>34949870.517655477</v>
      </c>
      <c r="U16" s="11">
        <v>20408434</v>
      </c>
      <c r="V16" s="20">
        <f t="shared" si="1"/>
        <v>21041095.454</v>
      </c>
      <c r="X16" s="134">
        <f t="shared" si="19"/>
        <v>0.27269381452305047</v>
      </c>
      <c r="Y16" s="85">
        <f t="shared" si="20"/>
        <v>0.17544260662268971</v>
      </c>
      <c r="Z16" s="85">
        <f t="shared" si="21"/>
        <v>2.4904684952585264E-2</v>
      </c>
      <c r="AA16" s="85">
        <f t="shared" si="22"/>
        <v>2.9317766396383383E-2</v>
      </c>
      <c r="AB16" s="85">
        <f t="shared" si="23"/>
        <v>0.26353355454297128</v>
      </c>
      <c r="AC16" s="85">
        <f t="shared" si="24"/>
        <v>0.16874346928892783</v>
      </c>
      <c r="AD16" s="85">
        <f t="shared" si="25"/>
        <v>0</v>
      </c>
      <c r="AE16" s="88">
        <f t="shared" si="26"/>
        <v>6.5364103673392043E-2</v>
      </c>
      <c r="AF16" s="32"/>
      <c r="AG16" s="70">
        <f t="shared" si="14"/>
        <v>0.36296260314902773</v>
      </c>
      <c r="AI16" s="134">
        <f t="shared" si="3"/>
        <v>-5.8906238335856148E-2</v>
      </c>
      <c r="AJ16" s="85">
        <f t="shared" si="4"/>
        <v>2.0335558448203062E-2</v>
      </c>
      <c r="AK16" s="85">
        <f t="shared" si="5"/>
        <v>-4.9209933720313487E-3</v>
      </c>
      <c r="AL16" s="85">
        <f t="shared" si="6"/>
        <v>-1.6009848153835268E-2</v>
      </c>
      <c r="AM16" s="85">
        <f t="shared" si="7"/>
        <v>8.8619305480576116E-2</v>
      </c>
      <c r="AN16" s="85">
        <f t="shared" si="8"/>
        <v>-3.3954172812435762E-2</v>
      </c>
      <c r="AO16" s="85">
        <f t="shared" si="9"/>
        <v>5.5489330739503563E-4</v>
      </c>
      <c r="AP16" s="88">
        <f t="shared" si="10"/>
        <v>4.2814954379843118E-3</v>
      </c>
      <c r="AR16" s="90">
        <f t="shared" si="15"/>
        <v>0.36296260314902773</v>
      </c>
      <c r="AS16" s="80">
        <f t="shared" si="11"/>
        <v>-6.0112853812989919E-2</v>
      </c>
      <c r="AT16" s="128">
        <f t="shared" si="12"/>
        <v>0</v>
      </c>
    </row>
    <row r="17" spans="1:46" x14ac:dyDescent="0.25">
      <c r="A17" s="55" t="s">
        <v>51</v>
      </c>
      <c r="B17" s="9">
        <f>VLOOKUP($A17,Costdrivere!$A$1:$I$69,2,FALSE)</f>
        <v>4856665</v>
      </c>
      <c r="C17" s="11">
        <f>VLOOKUP($A17,Costdrivere!$A$1:$I$69,3,FALSE)</f>
        <v>5263376</v>
      </c>
      <c r="D17" s="11">
        <f>VLOOKUP($A17,Costdrivere!$A$1:$I$69,4,FALSE)</f>
        <v>743765</v>
      </c>
      <c r="E17" s="11">
        <f>VLOOKUP($A17,Costdrivere!$A$1:$I$69,5,FALSE)</f>
        <v>488545.25999999995</v>
      </c>
      <c r="F17" s="11">
        <f>VLOOKUP($A17,Costdrivere!$A$1:$I$69,6,FALSE)</f>
        <v>19770124.94015044</v>
      </c>
      <c r="G17" s="11">
        <f>VLOOKUP($A17,Costdrivere!$A$1:$I$69,7,FALSE)</f>
        <v>4960715.4000000004</v>
      </c>
      <c r="H17" s="11">
        <f>VLOOKUP($A17,Costdrivere!$A$1:$I$69,8,FALSE)</f>
        <v>53340</v>
      </c>
      <c r="I17" s="15">
        <f>VLOOKUP($A17,Costdrivere!$A$1:$I$69,9,FALSE)</f>
        <v>2350768</v>
      </c>
      <c r="J17" s="98">
        <v>32.33068943412281</v>
      </c>
      <c r="K17" s="49">
        <f>VLOOKUP(A17,Costdrivere!$A$1:$J$69,10,FALSE)</f>
        <v>1.7145374449339206E-2</v>
      </c>
      <c r="L17" s="9">
        <f t="shared" si="0"/>
        <v>38487299.600150436</v>
      </c>
      <c r="M17" s="11">
        <f t="shared" si="13"/>
        <v>40191941.777767323</v>
      </c>
      <c r="N17" s="11">
        <f t="shared" si="16"/>
        <v>40584223.998617195</v>
      </c>
      <c r="O17" s="9">
        <f>L17+'Potentialer og krav'!$F16</f>
        <v>39210959.691206992</v>
      </c>
      <c r="P17" s="11">
        <f t="shared" si="17"/>
        <v>40947653.520311229</v>
      </c>
      <c r="Q17" s="11">
        <f t="shared" si="18"/>
        <v>41347311.65453016</v>
      </c>
      <c r="R17" s="9">
        <f>O17+(0.2*'Potentialer og krav'!$C16)</f>
        <v>46901654.291206993</v>
      </c>
      <c r="S17" s="11">
        <f>P17+(0.2*'Potentialer og krav'!$C16)</f>
        <v>48638348.12031123</v>
      </c>
      <c r="T17" s="15">
        <f>Q17+(0.2*'Potentialer og krav'!$C16)</f>
        <v>49038006.254530162</v>
      </c>
      <c r="U17" s="11">
        <v>32717651</v>
      </c>
      <c r="V17" s="20">
        <f t="shared" si="1"/>
        <v>33731898.180999994</v>
      </c>
      <c r="X17" s="134">
        <f t="shared" si="19"/>
        <v>0.12618877007367429</v>
      </c>
      <c r="Y17" s="85">
        <f t="shared" si="20"/>
        <v>0.13675617813361546</v>
      </c>
      <c r="Z17" s="85">
        <f t="shared" si="21"/>
        <v>1.9324946351837395E-2</v>
      </c>
      <c r="AA17" s="85">
        <f t="shared" si="22"/>
        <v>1.269367466867149E-2</v>
      </c>
      <c r="AB17" s="85">
        <f t="shared" si="23"/>
        <v>0.5136791914617248</v>
      </c>
      <c r="AC17" s="85">
        <f t="shared" si="24"/>
        <v>0.12889226969773193</v>
      </c>
      <c r="AD17" s="85">
        <f t="shared" si="25"/>
        <v>1.3859117307308177E-3</v>
      </c>
      <c r="AE17" s="88">
        <f t="shared" si="26"/>
        <v>6.1079057882013926E-2</v>
      </c>
      <c r="AF17" s="32"/>
      <c r="AG17" s="70">
        <f t="shared" si="14"/>
        <v>0.20659277430752562</v>
      </c>
      <c r="AI17" s="134">
        <f t="shared" si="3"/>
        <v>8.7598806113520028E-2</v>
      </c>
      <c r="AJ17" s="85">
        <f t="shared" si="4"/>
        <v>5.902198693727731E-2</v>
      </c>
      <c r="AK17" s="85">
        <f t="shared" si="5"/>
        <v>6.5874522871652019E-4</v>
      </c>
      <c r="AL17" s="85">
        <f t="shared" si="6"/>
        <v>6.1424357387662547E-4</v>
      </c>
      <c r="AM17" s="85">
        <f t="shared" si="7"/>
        <v>-0.16152633143817741</v>
      </c>
      <c r="AN17" s="85">
        <f t="shared" si="8"/>
        <v>5.8970267787601394E-3</v>
      </c>
      <c r="AO17" s="85">
        <f t="shared" si="9"/>
        <v>-8.3101842333578211E-4</v>
      </c>
      <c r="AP17" s="88">
        <f t="shared" si="10"/>
        <v>8.5665412293624288E-3</v>
      </c>
      <c r="AR17" s="90">
        <f t="shared" si="15"/>
        <v>0.20659277430752562</v>
      </c>
      <c r="AS17" s="80">
        <f t="shared" si="11"/>
        <v>9.6256975028512187E-2</v>
      </c>
      <c r="AT17" s="128">
        <f t="shared" si="12"/>
        <v>0</v>
      </c>
    </row>
    <row r="18" spans="1:46" x14ac:dyDescent="0.25">
      <c r="A18" s="55" t="s">
        <v>59</v>
      </c>
      <c r="B18" s="9">
        <f>VLOOKUP($A18,Costdrivere!$A$1:$I$69,2,FALSE)</f>
        <v>4265205.4000000004</v>
      </c>
      <c r="C18" s="11">
        <f>VLOOKUP($A18,Costdrivere!$A$1:$I$69,3,FALSE)</f>
        <v>8715608</v>
      </c>
      <c r="D18" s="11">
        <f>VLOOKUP($A18,Costdrivere!$A$1:$I$69,4,FALSE)</f>
        <v>1027748</v>
      </c>
      <c r="E18" s="11">
        <f>VLOOKUP($A18,Costdrivere!$A$1:$I$69,5,FALSE)</f>
        <v>197123.63999999998</v>
      </c>
      <c r="F18" s="11">
        <f>VLOOKUP($A18,Costdrivere!$A$1:$I$69,6,FALSE)</f>
        <v>13016211.686745906</v>
      </c>
      <c r="G18" s="11">
        <f>VLOOKUP($A18,Costdrivere!$A$1:$I$69,7,FALSE)</f>
        <v>5400874.7999999998</v>
      </c>
      <c r="H18" s="11">
        <f>VLOOKUP($A18,Costdrivere!$A$1:$I$69,8,FALSE)</f>
        <v>17780</v>
      </c>
      <c r="I18" s="15">
        <f>VLOOKUP($A18,Costdrivere!$A$1:$I$69,9,FALSE)</f>
        <v>1891969.5999999999</v>
      </c>
      <c r="J18" s="98">
        <v>26.616287051620446</v>
      </c>
      <c r="K18" s="49">
        <f>VLOOKUP(A18,Costdrivere!$A$1:$J$69,10,FALSE)</f>
        <v>1.5866680174247798E-2</v>
      </c>
      <c r="L18" s="9">
        <f t="shared" si="0"/>
        <v>34532521.126745909</v>
      </c>
      <c r="M18" s="11">
        <f t="shared" si="13"/>
        <v>32904678.552604962</v>
      </c>
      <c r="N18" s="11">
        <f t="shared" si="16"/>
        <v>35549964.225914709</v>
      </c>
      <c r="O18" s="9">
        <f>L18+'Potentialer og krav'!$F17</f>
        <v>34718341.126745909</v>
      </c>
      <c r="P18" s="11">
        <f t="shared" si="17"/>
        <v>33081739.107963875</v>
      </c>
      <c r="Q18" s="11">
        <f t="shared" si="18"/>
        <v>35741259.102075458</v>
      </c>
      <c r="R18" s="9">
        <f>O18+(0.2*'Potentialer og krav'!$C17)</f>
        <v>40489550.726745911</v>
      </c>
      <c r="S18" s="11">
        <f>P18+(0.2*'Potentialer og krav'!$C17)</f>
        <v>38852948.707963876</v>
      </c>
      <c r="T18" s="15">
        <f>Q18+(0.2*'Potentialer og krav'!$C17)</f>
        <v>41512468.702075459</v>
      </c>
      <c r="U18" s="11">
        <v>28167194</v>
      </c>
      <c r="V18" s="20">
        <f t="shared" si="1"/>
        <v>29040377.013999999</v>
      </c>
      <c r="X18" s="134">
        <f t="shared" si="19"/>
        <v>0.12351271383706011</v>
      </c>
      <c r="Y18" s="85">
        <f t="shared" si="20"/>
        <v>0.25238840709054522</v>
      </c>
      <c r="Z18" s="85">
        <f t="shared" si="21"/>
        <v>2.9761742452218326E-2</v>
      </c>
      <c r="AA18" s="85">
        <f t="shared" si="22"/>
        <v>5.7083477709747935E-3</v>
      </c>
      <c r="AB18" s="85">
        <f t="shared" si="23"/>
        <v>0.3769261919502504</v>
      </c>
      <c r="AC18" s="85">
        <f t="shared" si="24"/>
        <v>0.15639966685829226</v>
      </c>
      <c r="AD18" s="85">
        <f t="shared" si="25"/>
        <v>5.1487697451169144E-4</v>
      </c>
      <c r="AE18" s="88">
        <f t="shared" si="26"/>
        <v>5.4788053066147077E-2</v>
      </c>
      <c r="AF18" s="32"/>
      <c r="AG18" s="70">
        <f t="shared" si="14"/>
        <v>0.20806250935542553</v>
      </c>
      <c r="AI18" s="134">
        <f t="shared" si="3"/>
        <v>9.0274862350134211E-2</v>
      </c>
      <c r="AJ18" s="85">
        <f t="shared" si="4"/>
        <v>-5.6610242019652451E-2</v>
      </c>
      <c r="AK18" s="85">
        <f t="shared" si="5"/>
        <v>-9.7780508716644107E-3</v>
      </c>
      <c r="AL18" s="85">
        <f t="shared" si="6"/>
        <v>7.599570471573322E-3</v>
      </c>
      <c r="AM18" s="85">
        <f t="shared" si="7"/>
        <v>-2.4773331926703002E-2</v>
      </c>
      <c r="AN18" s="85">
        <f t="shared" si="8"/>
        <v>-2.1610370381800192E-2</v>
      </c>
      <c r="AO18" s="85">
        <f t="shared" si="9"/>
        <v>4.0016332883344185E-5</v>
      </c>
      <c r="AP18" s="88">
        <f t="shared" si="10"/>
        <v>1.4857546045229278E-2</v>
      </c>
      <c r="AR18" s="90">
        <f t="shared" si="15"/>
        <v>0.20806250935542553</v>
      </c>
      <c r="AS18" s="80">
        <f t="shared" si="11"/>
        <v>9.4787239980612281E-2</v>
      </c>
      <c r="AT18" s="128">
        <f t="shared" si="12"/>
        <v>0</v>
      </c>
    </row>
    <row r="19" spans="1:46" x14ac:dyDescent="0.25">
      <c r="A19" s="55" t="s">
        <v>53</v>
      </c>
      <c r="B19" s="9">
        <f>VLOOKUP($A19,Costdrivere!$A$1:$I$69,2,FALSE)</f>
        <v>12552812</v>
      </c>
      <c r="C19" s="11">
        <f>VLOOKUP($A19,Costdrivere!$A$1:$I$69,3,FALSE)</f>
        <v>4910580</v>
      </c>
      <c r="D19" s="11">
        <f>VLOOKUP($A19,Costdrivere!$A$1:$I$69,4,FALSE)</f>
        <v>757288</v>
      </c>
      <c r="E19" s="11">
        <f>VLOOKUP($A19,Costdrivere!$A$1:$I$69,5,FALSE)</f>
        <v>209362.43999999997</v>
      </c>
      <c r="F19" s="11">
        <f>VLOOKUP($A19,Costdrivere!$A$1:$I$69,6,FALSE)</f>
        <v>13803646.7196052</v>
      </c>
      <c r="G19" s="11">
        <f>VLOOKUP($A19,Costdrivere!$A$1:$I$69,7,FALSE)</f>
        <v>4713141.8</v>
      </c>
      <c r="H19" s="11">
        <f>VLOOKUP($A19,Costdrivere!$A$1:$I$69,8,FALSE)</f>
        <v>5080</v>
      </c>
      <c r="I19" s="15">
        <f>VLOOKUP($A19,Costdrivere!$A$1:$I$69,9,FALSE)</f>
        <v>2114000</v>
      </c>
      <c r="J19" s="98">
        <v>40.267934588623582</v>
      </c>
      <c r="K19" s="49">
        <f>VLOOKUP(A19,Costdrivere!$A$1:$J$69,10,FALSE)</f>
        <v>2.6923076923076925E-2</v>
      </c>
      <c r="L19" s="9">
        <f t="shared" ref="L19:L31" si="27">SUM(B19:I19)</f>
        <v>39065910.959605202</v>
      </c>
      <c r="M19" s="11">
        <f t="shared" ref="M19:M31" si="28">(0.527+0.016*J19)*L19</f>
        <v>45757391.830373943</v>
      </c>
      <c r="N19" s="11">
        <f t="shared" ref="N19:N30" si="29">(0.719+19.567*K19)*L19</f>
        <v>48668462.12697985</v>
      </c>
      <c r="O19" s="9">
        <f>L19+'Potentialer og krav'!$F18</f>
        <v>45870458.022670962</v>
      </c>
      <c r="P19" s="11">
        <f t="shared" si="17"/>
        <v>53727469.029261485</v>
      </c>
      <c r="Q19" s="11">
        <f t="shared" si="18"/>
        <v>57145593.029482029</v>
      </c>
      <c r="R19" s="9">
        <f>O19+(0.2*'Potentialer og krav'!$C18)</f>
        <v>55571443.022670962</v>
      </c>
      <c r="S19" s="11">
        <f>P19+(0.2*'Potentialer og krav'!$C18)</f>
        <v>63428454.029261485</v>
      </c>
      <c r="T19" s="15">
        <f>Q19+(0.2*'Potentialer og krav'!$C18)</f>
        <v>66846578.029482029</v>
      </c>
      <c r="U19" s="11">
        <v>47499662</v>
      </c>
      <c r="V19" s="20">
        <f t="shared" ref="V19:V32" si="30">1.031*U19</f>
        <v>48972151.521999992</v>
      </c>
      <c r="X19" s="134">
        <f t="shared" si="19"/>
        <v>0.32132392901268358</v>
      </c>
      <c r="Y19" s="85">
        <f t="shared" si="20"/>
        <v>0.12569987181606032</v>
      </c>
      <c r="Z19" s="85">
        <f t="shared" si="21"/>
        <v>1.9384880101299785E-2</v>
      </c>
      <c r="AA19" s="85">
        <f t="shared" si="22"/>
        <v>5.3592104947068611E-3</v>
      </c>
      <c r="AB19" s="85">
        <f t="shared" si="23"/>
        <v>0.35334250195466832</v>
      </c>
      <c r="AC19" s="85">
        <f t="shared" si="24"/>
        <v>0.12064589521215738</v>
      </c>
      <c r="AD19" s="85">
        <f t="shared" si="25"/>
        <v>1.3003664512656069E-4</v>
      </c>
      <c r="AE19" s="88">
        <f t="shared" si="26"/>
        <v>5.4113674763297107E-2</v>
      </c>
      <c r="AF19" s="32"/>
      <c r="AG19" s="70">
        <f t="shared" si="14"/>
        <v>0.39482248387728047</v>
      </c>
      <c r="AI19" s="134">
        <f t="shared" si="3"/>
        <v>-0.10753635282548926</v>
      </c>
      <c r="AJ19" s="85">
        <f t="shared" si="4"/>
        <v>7.0078293254832447E-2</v>
      </c>
      <c r="AK19" s="85">
        <f t="shared" si="5"/>
        <v>5.9881147925413061E-4</v>
      </c>
      <c r="AL19" s="85">
        <f t="shared" si="6"/>
        <v>7.9487077478412535E-3</v>
      </c>
      <c r="AM19" s="85">
        <f t="shared" si="7"/>
        <v>-1.1896419311209216E-3</v>
      </c>
      <c r="AN19" s="85">
        <f t="shared" si="8"/>
        <v>1.4143401264334693E-2</v>
      </c>
      <c r="AO19" s="85">
        <f t="shared" si="9"/>
        <v>4.2485666226847491E-4</v>
      </c>
      <c r="AP19" s="88">
        <f t="shared" si="10"/>
        <v>1.5531924348079248E-2</v>
      </c>
      <c r="AR19" s="90">
        <f t="shared" si="15"/>
        <v>0.39482248387728047</v>
      </c>
      <c r="AS19" s="80">
        <f t="shared" si="11"/>
        <v>-9.1972734541242662E-2</v>
      </c>
      <c r="AT19" s="128">
        <f t="shared" si="12"/>
        <v>0</v>
      </c>
    </row>
    <row r="20" spans="1:46" x14ac:dyDescent="0.25">
      <c r="A20" s="55" t="s">
        <v>54</v>
      </c>
      <c r="B20" s="9">
        <f>VLOOKUP($A20,Costdrivere!$A$1:$I$69,2,FALSE)</f>
        <v>12032396</v>
      </c>
      <c r="C20" s="11">
        <f>VLOOKUP($A20,Costdrivere!$A$1:$I$69,3,FALSE)</f>
        <v>3893617</v>
      </c>
      <c r="D20" s="11">
        <f>VLOOKUP($A20,Costdrivere!$A$1:$I$69,4,FALSE)</f>
        <v>1933789</v>
      </c>
      <c r="E20" s="11">
        <f>VLOOKUP($A20,Costdrivere!$A$1:$I$69,5,FALSE)</f>
        <v>1224412.98</v>
      </c>
      <c r="F20" s="11">
        <f>VLOOKUP($A20,Costdrivere!$A$1:$I$69,6,FALSE)</f>
        <v>23680041.068199936</v>
      </c>
      <c r="G20" s="11">
        <f>VLOOKUP($A20,Costdrivere!$A$1:$I$69,7,FALSE)</f>
        <v>11654701.399999999</v>
      </c>
      <c r="H20" s="11">
        <f>VLOOKUP($A20,Costdrivere!$A$1:$I$69,8,FALSE)</f>
        <v>0</v>
      </c>
      <c r="I20" s="15">
        <f>VLOOKUP($A20,Costdrivere!$A$1:$I$69,9,FALSE)</f>
        <v>3501267.1999999997</v>
      </c>
      <c r="J20" s="98">
        <v>31.937014522908697</v>
      </c>
      <c r="K20" s="49">
        <f>VLOOKUP(A20,Costdrivere!$A$1:$J$69,10,FALSE)</f>
        <v>1.9374331550802138E-2</v>
      </c>
      <c r="L20" s="9">
        <f t="shared" si="27"/>
        <v>57920224.648199938</v>
      </c>
      <c r="M20" s="11">
        <f t="shared" si="28"/>
        <v>60120743.281756498</v>
      </c>
      <c r="N20" s="11">
        <f t="shared" si="29"/>
        <v>63602056.518364213</v>
      </c>
      <c r="O20" s="9">
        <f>L20+'Potentialer og krav'!$F19</f>
        <v>60145388.571306132</v>
      </c>
      <c r="P20" s="11">
        <f t="shared" si="17"/>
        <v>62430446.149682984</v>
      </c>
      <c r="Q20" s="11">
        <f t="shared" si="18"/>
        <v>66045503.560561128</v>
      </c>
      <c r="R20" s="9">
        <f>O20+(0.2*'Potentialer og krav'!$C19)</f>
        <v>69669023.571306139</v>
      </c>
      <c r="S20" s="11">
        <f>P20+(0.2*'Potentialer og krav'!$C19)</f>
        <v>71954081.149682984</v>
      </c>
      <c r="T20" s="15">
        <f>Q20+(0.2*'Potentialer og krav'!$C19)</f>
        <v>75569138.560561121</v>
      </c>
      <c r="U20" s="11">
        <v>45277899</v>
      </c>
      <c r="V20" s="20">
        <f t="shared" si="30"/>
        <v>46681513.868999995</v>
      </c>
      <c r="X20" s="134">
        <f t="shared" si="19"/>
        <v>0.20774083790391421</v>
      </c>
      <c r="Y20" s="85">
        <f t="shared" si="20"/>
        <v>6.7223789680536175E-2</v>
      </c>
      <c r="Z20" s="85">
        <f t="shared" si="21"/>
        <v>3.3387111527028564E-2</v>
      </c>
      <c r="AA20" s="85">
        <f t="shared" si="22"/>
        <v>2.1139644872528177E-2</v>
      </c>
      <c r="AB20" s="85">
        <f t="shared" si="23"/>
        <v>0.40883890233557429</v>
      </c>
      <c r="AC20" s="85">
        <f t="shared" si="24"/>
        <v>0.20121989289214898</v>
      </c>
      <c r="AD20" s="85">
        <f t="shared" si="25"/>
        <v>0</v>
      </c>
      <c r="AE20" s="88">
        <f t="shared" si="26"/>
        <v>6.0449820788269562E-2</v>
      </c>
      <c r="AF20" s="32"/>
      <c r="AG20" s="70">
        <f t="shared" si="14"/>
        <v>0.30157777021921234</v>
      </c>
      <c r="AI20" s="134">
        <f t="shared" si="3"/>
        <v>6.0467382832801175E-3</v>
      </c>
      <c r="AJ20" s="85">
        <f t="shared" si="4"/>
        <v>0.12855437539035658</v>
      </c>
      <c r="AK20" s="85">
        <f t="shared" si="5"/>
        <v>-1.3403419946474648E-2</v>
      </c>
      <c r="AL20" s="85">
        <f t="shared" si="6"/>
        <v>-7.8317266299800618E-3</v>
      </c>
      <c r="AM20" s="85">
        <f t="shared" si="7"/>
        <v>-5.6686042312026896E-2</v>
      </c>
      <c r="AN20" s="85">
        <f t="shared" si="8"/>
        <v>-6.6430596415656906E-2</v>
      </c>
      <c r="AO20" s="85">
        <f t="shared" si="9"/>
        <v>5.5489330739503563E-4</v>
      </c>
      <c r="AP20" s="88">
        <f t="shared" si="10"/>
        <v>9.195778323106793E-3</v>
      </c>
      <c r="AR20" s="90">
        <f t="shared" si="15"/>
        <v>0.30157777021921234</v>
      </c>
      <c r="AS20" s="80">
        <f t="shared" si="11"/>
        <v>1.2719791168254724E-3</v>
      </c>
      <c r="AT20" s="128">
        <f t="shared" si="12"/>
        <v>0</v>
      </c>
    </row>
    <row r="21" spans="1:46" x14ac:dyDescent="0.25">
      <c r="A21" s="55" t="s">
        <v>61</v>
      </c>
      <c r="B21" s="9">
        <f>VLOOKUP($A21,Costdrivere!$A$1:$I$69,2,FALSE)</f>
        <v>7023554</v>
      </c>
      <c r="C21" s="11">
        <f>VLOOKUP($A21,Costdrivere!$A$1:$I$69,3,FALSE)</f>
        <v>5774455</v>
      </c>
      <c r="D21" s="11">
        <f>VLOOKUP($A21,Costdrivere!$A$1:$I$69,4,FALSE)</f>
        <v>500351</v>
      </c>
      <c r="E21" s="11">
        <f>VLOOKUP($A21,Costdrivere!$A$1:$I$69,5,FALSE)</f>
        <v>693150.36</v>
      </c>
      <c r="F21" s="11">
        <f>VLOOKUP($A21,Costdrivere!$A$1:$I$69,6,FALSE)</f>
        <v>27772523.728707805</v>
      </c>
      <c r="G21" s="11">
        <f>VLOOKUP($A21,Costdrivere!$A$1:$I$69,7,FALSE)</f>
        <v>8366994</v>
      </c>
      <c r="H21" s="11">
        <f>VLOOKUP($A21,Costdrivere!$A$1:$I$69,8,FALSE)</f>
        <v>2540</v>
      </c>
      <c r="I21" s="15">
        <f>VLOOKUP($A21,Costdrivere!$A$1:$I$69,9,FALSE)</f>
        <v>2362002.4</v>
      </c>
      <c r="J21" s="98">
        <v>33.297839367594385</v>
      </c>
      <c r="K21" s="49">
        <f>VLOOKUP(A21,Costdrivere!$A$1:$J$69,10,FALSE)</f>
        <v>1.5832388663967613E-2</v>
      </c>
      <c r="L21" s="9">
        <f t="shared" si="27"/>
        <v>52495570.488707803</v>
      </c>
      <c r="M21" s="11">
        <f t="shared" si="28"/>
        <v>55632990.825840548</v>
      </c>
      <c r="N21" s="11">
        <f t="shared" si="29"/>
        <v>54007041.274535187</v>
      </c>
      <c r="O21" s="9">
        <f>L21+'Potentialer og krav'!$F20</f>
        <v>53053574.67017179</v>
      </c>
      <c r="P21" s="11">
        <f t="shared" si="17"/>
        <v>56224344.367085412</v>
      </c>
      <c r="Q21" s="11">
        <f t="shared" si="18"/>
        <v>54581111.707128562</v>
      </c>
      <c r="R21" s="9">
        <f>O21+(0.2*'Potentialer og krav'!$C20)</f>
        <v>62432734.270171791</v>
      </c>
      <c r="S21" s="11">
        <f>P21+(0.2*'Potentialer og krav'!$C20)</f>
        <v>65603503.967085414</v>
      </c>
      <c r="T21" s="15">
        <f>Q21+(0.2*'Potentialer og krav'!$C20)</f>
        <v>63960271.307128564</v>
      </c>
      <c r="U21" s="11">
        <v>44709121</v>
      </c>
      <c r="V21" s="20">
        <f t="shared" si="30"/>
        <v>46095103.750999995</v>
      </c>
      <c r="X21" s="134">
        <f t="shared" si="19"/>
        <v>0.13379326931042343</v>
      </c>
      <c r="Y21" s="85">
        <f t="shared" si="20"/>
        <v>0.10999889983559907</v>
      </c>
      <c r="Z21" s="85">
        <f t="shared" si="21"/>
        <v>9.5312994094926412E-3</v>
      </c>
      <c r="AA21" s="85">
        <f t="shared" si="22"/>
        <v>1.3203978041330208E-2</v>
      </c>
      <c r="AB21" s="85">
        <f t="shared" si="23"/>
        <v>0.52904508837906405</v>
      </c>
      <c r="AC21" s="85">
        <f t="shared" si="24"/>
        <v>0.15938476184004524</v>
      </c>
      <c r="AD21" s="85">
        <f t="shared" si="25"/>
        <v>4.8385034705859102E-5</v>
      </c>
      <c r="AE21" s="88">
        <f t="shared" si="26"/>
        <v>4.4994318149339567E-2</v>
      </c>
      <c r="AF21" s="32"/>
      <c r="AG21" s="70">
        <f t="shared" si="14"/>
        <v>0.18831888686925563</v>
      </c>
      <c r="AI21" s="134">
        <f t="shared" si="3"/>
        <v>7.9994306876770893E-2</v>
      </c>
      <c r="AJ21" s="85">
        <f t="shared" si="4"/>
        <v>8.5779265235293695E-2</v>
      </c>
      <c r="AK21" s="85">
        <f t="shared" si="5"/>
        <v>1.0452392171061274E-2</v>
      </c>
      <c r="AL21" s="85">
        <f t="shared" si="6"/>
        <v>1.039402012179072E-4</v>
      </c>
      <c r="AM21" s="85">
        <f t="shared" si="7"/>
        <v>-0.17689222835551666</v>
      </c>
      <c r="AN21" s="85">
        <f t="shared" si="8"/>
        <v>-2.4595465363553171E-2</v>
      </c>
      <c r="AO21" s="85">
        <f t="shared" si="9"/>
        <v>5.0650827268917649E-4</v>
      </c>
      <c r="AP21" s="88">
        <f t="shared" si="10"/>
        <v>2.4651280962036788E-2</v>
      </c>
      <c r="AR21" s="90">
        <f t="shared" si="15"/>
        <v>0.18831888686925563</v>
      </c>
      <c r="AS21" s="80">
        <f t="shared" si="11"/>
        <v>0.11453086246678218</v>
      </c>
      <c r="AT21" s="128">
        <f t="shared" si="12"/>
        <v>0</v>
      </c>
    </row>
    <row r="22" spans="1:46" x14ac:dyDescent="0.25">
      <c r="A22" s="55" t="s">
        <v>121</v>
      </c>
      <c r="B22" s="9">
        <f>VLOOKUP($A22,Costdrivere!$A$1:$I$69,2,FALSE)</f>
        <v>1661107.8</v>
      </c>
      <c r="C22" s="11">
        <f>VLOOKUP($A22,Costdrivere!$A$1:$I$69,3,FALSE)</f>
        <v>1057523</v>
      </c>
      <c r="D22" s="11">
        <f>VLOOKUP($A22,Costdrivere!$A$1:$I$69,4,FALSE)</f>
        <v>351598</v>
      </c>
      <c r="E22" s="11">
        <f>VLOOKUP($A22,Costdrivere!$A$1:$I$69,5,FALSE)</f>
        <v>0</v>
      </c>
      <c r="F22" s="11">
        <f>VLOOKUP($A22,Costdrivere!$A$1:$I$69,6,FALSE)</f>
        <v>0</v>
      </c>
      <c r="G22" s="11">
        <f>VLOOKUP($A22,Costdrivere!$A$1:$I$69,7,FALSE)</f>
        <v>0</v>
      </c>
      <c r="H22" s="11">
        <f>VLOOKUP($A22,Costdrivere!$A$1:$I$69,8,FALSE)</f>
        <v>0</v>
      </c>
      <c r="I22" s="15">
        <f>VLOOKUP($A22,Costdrivere!$A$1:$I$69,9,FALSE)</f>
        <v>970144.79999999993</v>
      </c>
      <c r="J22" s="98">
        <v>39.818840508750441</v>
      </c>
      <c r="K22" s="49">
        <f>VLOOKUP(A22,Costdrivere!$A$1:$J$69,10,FALSE)</f>
        <v>2.0687789799072643E-2</v>
      </c>
      <c r="L22" s="9">
        <f t="shared" si="27"/>
        <v>4040373.5999999996</v>
      </c>
      <c r="M22" s="11">
        <f t="shared" si="28"/>
        <v>4703404.7587866522</v>
      </c>
      <c r="N22" s="11">
        <f t="shared" si="29"/>
        <v>4540563.7022402035</v>
      </c>
      <c r="O22" s="9">
        <f>L22+'Potentialer og krav'!$F21</f>
        <v>6476693.5734016448</v>
      </c>
      <c r="P22" s="11">
        <f t="shared" si="17"/>
        <v>7539528.3679559315</v>
      </c>
      <c r="Q22" s="11">
        <f t="shared" si="18"/>
        <v>7278495.1742878202</v>
      </c>
      <c r="R22" s="9">
        <f>O22+(0.2*'Potentialer og krav'!$C21)</f>
        <v>8496707.9734016452</v>
      </c>
      <c r="S22" s="11">
        <f>P22+(0.2*'Potentialer og krav'!$C21)</f>
        <v>9559542.7679559309</v>
      </c>
      <c r="T22" s="15">
        <f>Q22+(0.2*'Potentialer og krav'!$C21)</f>
        <v>9298509.5742878206</v>
      </c>
      <c r="U22" s="11">
        <v>10511849</v>
      </c>
      <c r="V22" s="20">
        <f t="shared" si="30"/>
        <v>10837716.318999998</v>
      </c>
      <c r="X22" s="134">
        <f t="shared" si="19"/>
        <v>0.41112727793291198</v>
      </c>
      <c r="Y22" s="85">
        <f t="shared" si="20"/>
        <v>0.26173891444098141</v>
      </c>
      <c r="Z22" s="85">
        <f t="shared" si="21"/>
        <v>8.7021160617424098E-2</v>
      </c>
      <c r="AA22" s="85">
        <f t="shared" si="22"/>
        <v>0</v>
      </c>
      <c r="AB22" s="85">
        <f t="shared" si="23"/>
        <v>0</v>
      </c>
      <c r="AC22" s="85">
        <f t="shared" si="24"/>
        <v>0</v>
      </c>
      <c r="AD22" s="85">
        <f t="shared" si="25"/>
        <v>0</v>
      </c>
      <c r="AE22" s="88">
        <f t="shared" si="26"/>
        <v>0.24011264700868257</v>
      </c>
      <c r="AF22" s="32"/>
      <c r="AG22" s="70">
        <f t="shared" si="14"/>
        <v>0.73826108555901859</v>
      </c>
      <c r="AI22" s="134">
        <f t="shared" si="3"/>
        <v>-0.19733970174571766</v>
      </c>
      <c r="AJ22" s="85">
        <f t="shared" si="4"/>
        <v>-6.5960749370088639E-2</v>
      </c>
      <c r="AK22" s="85">
        <f t="shared" si="5"/>
        <v>-6.703746903687019E-2</v>
      </c>
      <c r="AL22" s="85">
        <f t="shared" si="6"/>
        <v>1.3307918242548115E-2</v>
      </c>
      <c r="AM22" s="85">
        <f t="shared" si="7"/>
        <v>0.3521528600235474</v>
      </c>
      <c r="AN22" s="85">
        <f t="shared" si="8"/>
        <v>0.13478929647649207</v>
      </c>
      <c r="AO22" s="85">
        <f t="shared" si="9"/>
        <v>5.5489330739503563E-4</v>
      </c>
      <c r="AP22" s="88">
        <f t="shared" si="10"/>
        <v>-0.17046704789730621</v>
      </c>
      <c r="AR22" s="90">
        <f t="shared" si="15"/>
        <v>0.73826108555901859</v>
      </c>
      <c r="AS22" s="80">
        <f t="shared" si="11"/>
        <v>-0.43541133622298078</v>
      </c>
      <c r="AT22" s="128">
        <f t="shared" si="12"/>
        <v>-6.0356252562362801E-2</v>
      </c>
    </row>
    <row r="23" spans="1:46" x14ac:dyDescent="0.25">
      <c r="A23" s="55" t="s">
        <v>122</v>
      </c>
      <c r="B23" s="9">
        <f>VLOOKUP($A23,Costdrivere!$A$1:$I$69,2,FALSE)</f>
        <v>3215701.9</v>
      </c>
      <c r="C23" s="11">
        <f>VLOOKUP($A23,Costdrivere!$A$1:$I$69,3,FALSE)</f>
        <v>430277</v>
      </c>
      <c r="D23" s="11">
        <f>VLOOKUP($A23,Costdrivere!$A$1:$I$69,4,FALSE)</f>
        <v>67615</v>
      </c>
      <c r="E23" s="11">
        <f>VLOOKUP($A23,Costdrivere!$A$1:$I$69,5,FALSE)</f>
        <v>138180</v>
      </c>
      <c r="F23" s="11">
        <f>VLOOKUP($A23,Costdrivere!$A$1:$I$69,6,FALSE)</f>
        <v>0</v>
      </c>
      <c r="G23" s="11">
        <f>VLOOKUP($A23,Costdrivere!$A$1:$I$69,7,FALSE)</f>
        <v>0</v>
      </c>
      <c r="H23" s="11">
        <f>VLOOKUP($A23,Costdrivere!$A$1:$I$69,8,FALSE)</f>
        <v>0</v>
      </c>
      <c r="I23" s="15">
        <f>VLOOKUP($A23,Costdrivere!$A$1:$I$69,9,FALSE)</f>
        <v>823493.6</v>
      </c>
      <c r="J23" s="98">
        <v>56.963154095223821</v>
      </c>
      <c r="K23" s="49">
        <f>VLOOKUP(A23,Costdrivere!$A$1:$J$69,10,FALSE)</f>
        <v>4.0337278106508882E-2</v>
      </c>
      <c r="L23" s="9">
        <f t="shared" si="27"/>
        <v>4675267.5</v>
      </c>
      <c r="M23" s="11">
        <f t="shared" si="28"/>
        <v>6724953.70112227</v>
      </c>
      <c r="N23" s="11">
        <f t="shared" si="29"/>
        <v>7051610.2240913175</v>
      </c>
      <c r="O23" s="9">
        <f>L23+'Potentialer og krav'!$F22</f>
        <v>6237055.795346655</v>
      </c>
      <c r="P23" s="11">
        <f t="shared" si="17"/>
        <v>8971446.3300811313</v>
      </c>
      <c r="Q23" s="11">
        <f t="shared" si="18"/>
        <v>9407223.5256473515</v>
      </c>
      <c r="R23" s="9">
        <f>O23+(0.2*'Potentialer og krav'!$C22)</f>
        <v>7833076.5953466548</v>
      </c>
      <c r="S23" s="11">
        <f>P23+(0.2*'Potentialer og krav'!$C22)</f>
        <v>10567467.130081132</v>
      </c>
      <c r="T23" s="15">
        <f>Q23+(0.2*'Potentialer og krav'!$C22)</f>
        <v>11003244.325647352</v>
      </c>
      <c r="U23" s="11">
        <v>8734711</v>
      </c>
      <c r="V23" s="20">
        <f t="shared" si="30"/>
        <v>9005487.0409999993</v>
      </c>
      <c r="X23" s="134">
        <f t="shared" si="19"/>
        <v>0.68781131774812887</v>
      </c>
      <c r="Y23" s="85">
        <f t="shared" si="20"/>
        <v>9.203259492638656E-2</v>
      </c>
      <c r="Z23" s="85">
        <f t="shared" si="21"/>
        <v>1.4462274083782372E-2</v>
      </c>
      <c r="AA23" s="85">
        <f t="shared" si="22"/>
        <v>2.9555528106145798E-2</v>
      </c>
      <c r="AB23" s="85">
        <f t="shared" si="23"/>
        <v>0</v>
      </c>
      <c r="AC23" s="85">
        <f t="shared" si="24"/>
        <v>0</v>
      </c>
      <c r="AD23" s="85">
        <f t="shared" si="25"/>
        <v>0</v>
      </c>
      <c r="AE23" s="88">
        <f t="shared" si="26"/>
        <v>0.1761382851355564</v>
      </c>
      <c r="AF23" s="32"/>
      <c r="AG23" s="70">
        <f t="shared" si="14"/>
        <v>0.8784118769674677</v>
      </c>
      <c r="AI23" s="134">
        <f t="shared" si="3"/>
        <v>-0.47402374156093452</v>
      </c>
      <c r="AJ23" s="85">
        <f t="shared" si="4"/>
        <v>0.10374557014450621</v>
      </c>
      <c r="AK23" s="85">
        <f t="shared" si="5"/>
        <v>5.521417496771543E-3</v>
      </c>
      <c r="AL23" s="85">
        <f t="shared" si="6"/>
        <v>-1.6247609863597683E-2</v>
      </c>
      <c r="AM23" s="85">
        <f t="shared" si="7"/>
        <v>0.3521528600235474</v>
      </c>
      <c r="AN23" s="85">
        <f t="shared" si="8"/>
        <v>0.13478929647649207</v>
      </c>
      <c r="AO23" s="85">
        <f t="shared" si="9"/>
        <v>5.5489330739503563E-4</v>
      </c>
      <c r="AP23" s="88">
        <f t="shared" si="10"/>
        <v>-0.10649268602418005</v>
      </c>
      <c r="AR23" s="90">
        <f t="shared" si="15"/>
        <v>0.8784118769674677</v>
      </c>
      <c r="AS23" s="80">
        <f t="shared" si="11"/>
        <v>-0.57556212763142989</v>
      </c>
      <c r="AT23" s="128">
        <f t="shared" si="12"/>
        <v>-9.9346202732193356E-2</v>
      </c>
    </row>
    <row r="24" spans="1:46" x14ac:dyDescent="0.25">
      <c r="A24" s="55" t="s">
        <v>56</v>
      </c>
      <c r="B24" s="9">
        <f>VLOOKUP($A24,Costdrivere!$A$1:$I$69,2,FALSE)</f>
        <v>6458454.3999999994</v>
      </c>
      <c r="C24" s="11">
        <f>VLOOKUP($A24,Costdrivere!$A$1:$I$69,3,FALSE)</f>
        <v>11120055</v>
      </c>
      <c r="D24" s="11">
        <f>VLOOKUP($A24,Costdrivere!$A$1:$I$69,4,FALSE)</f>
        <v>1352300</v>
      </c>
      <c r="E24" s="11">
        <f>VLOOKUP($A24,Costdrivere!$A$1:$I$69,5,FALSE)</f>
        <v>260567.99999999997</v>
      </c>
      <c r="F24" s="11">
        <f>VLOOKUP($A24,Costdrivere!$A$1:$I$69,6,FALSE)</f>
        <v>16405094.700152671</v>
      </c>
      <c r="G24" s="11">
        <f>VLOOKUP($A24,Costdrivere!$A$1:$I$69,7,FALSE)</f>
        <v>2916948.24</v>
      </c>
      <c r="H24" s="11">
        <f>VLOOKUP($A24,Costdrivere!$A$1:$I$69,8,FALSE)</f>
        <v>0</v>
      </c>
      <c r="I24" s="15">
        <f>VLOOKUP($A24,Costdrivere!$A$1:$I$69,9,FALSE)</f>
        <v>2367076</v>
      </c>
      <c r="J24" s="98">
        <v>31.431406543125007</v>
      </c>
      <c r="K24" s="49">
        <f>VLOOKUP(A24,Costdrivere!$A$1:$J$69,10,FALSE)</f>
        <v>2.1054045342215541E-2</v>
      </c>
      <c r="L24" s="9">
        <f t="shared" si="27"/>
        <v>40880496.340152673</v>
      </c>
      <c r="M24" s="11">
        <f t="shared" si="28"/>
        <v>42102925.573693618</v>
      </c>
      <c r="N24" s="11">
        <f t="shared" si="29"/>
        <v>46234390.316126242</v>
      </c>
      <c r="O24" s="9">
        <f>L24+'Potentialer og krav'!$F23</f>
        <v>45323403.403320231</v>
      </c>
      <c r="P24" s="11">
        <f t="shared" si="17"/>
        <v>46678686.686154783</v>
      </c>
      <c r="Q24" s="11">
        <f t="shared" si="18"/>
        <v>51259160.504520573</v>
      </c>
      <c r="R24" s="9">
        <f>O24+(0.2*'Potentialer og krav'!$C23)</f>
        <v>52602937.003320232</v>
      </c>
      <c r="S24" s="11">
        <f>P24+(0.2*'Potentialer og krav'!$C23)</f>
        <v>53958220.286154784</v>
      </c>
      <c r="T24" s="15">
        <f>Q24+(0.2*'Potentialer og krav'!$C23)</f>
        <v>58538694.104520574</v>
      </c>
      <c r="U24" s="11">
        <v>37373354</v>
      </c>
      <c r="V24" s="20">
        <f t="shared" si="30"/>
        <v>38531927.973999999</v>
      </c>
      <c r="X24" s="134">
        <f t="shared" si="19"/>
        <v>0.15798375700386322</v>
      </c>
      <c r="Y24" s="85">
        <f t="shared" si="20"/>
        <v>0.27201369835321504</v>
      </c>
      <c r="Z24" s="85">
        <f t="shared" si="21"/>
        <v>3.307934396754806E-2</v>
      </c>
      <c r="AA24" s="85">
        <f t="shared" si="22"/>
        <v>6.3738952147719165E-3</v>
      </c>
      <c r="AB24" s="85">
        <f t="shared" si="23"/>
        <v>0.40129392176776602</v>
      </c>
      <c r="AC24" s="85">
        <f t="shared" si="24"/>
        <v>7.1353053439690853E-2</v>
      </c>
      <c r="AD24" s="85">
        <f t="shared" si="25"/>
        <v>0</v>
      </c>
      <c r="AE24" s="88">
        <f t="shared" si="26"/>
        <v>5.7902330253144861E-2</v>
      </c>
      <c r="AF24" s="32"/>
      <c r="AG24" s="70">
        <f t="shared" si="14"/>
        <v>0.24896543122455614</v>
      </c>
      <c r="AI24" s="134">
        <f t="shared" si="3"/>
        <v>5.5803819183331105E-2</v>
      </c>
      <c r="AJ24" s="85">
        <f t="shared" si="4"/>
        <v>-7.6235533282322271E-2</v>
      </c>
      <c r="AK24" s="85">
        <f t="shared" si="5"/>
        <v>-1.3095652386994144E-2</v>
      </c>
      <c r="AL24" s="85">
        <f t="shared" si="6"/>
        <v>6.934023027776199E-3</v>
      </c>
      <c r="AM24" s="85">
        <f t="shared" si="7"/>
        <v>-4.9141061744218617E-2</v>
      </c>
      <c r="AN24" s="85">
        <f t="shared" si="8"/>
        <v>6.3436243036801218E-2</v>
      </c>
      <c r="AO24" s="85">
        <f t="shared" si="9"/>
        <v>5.5489330739503563E-4</v>
      </c>
      <c r="AP24" s="88">
        <f t="shared" si="10"/>
        <v>1.1743268858231494E-2</v>
      </c>
      <c r="AR24" s="90">
        <f t="shared" si="15"/>
        <v>0.24896543122455614</v>
      </c>
      <c r="AS24" s="80">
        <f t="shared" si="11"/>
        <v>5.3884318111481672E-2</v>
      </c>
      <c r="AT24" s="128">
        <f t="shared" si="12"/>
        <v>0</v>
      </c>
    </row>
    <row r="25" spans="1:46" x14ac:dyDescent="0.25">
      <c r="A25" s="55" t="s">
        <v>57</v>
      </c>
      <c r="B25" s="9">
        <f>VLOOKUP($A25,Costdrivere!$A$1:$I$69,2,FALSE)</f>
        <v>18529274</v>
      </c>
      <c r="C25" s="11">
        <f>VLOOKUP($A25,Costdrivere!$A$1:$I$69,3,FALSE)</f>
        <v>6205825</v>
      </c>
      <c r="D25" s="11">
        <f>VLOOKUP($A25,Costdrivere!$A$1:$I$69,4,FALSE)</f>
        <v>1460484</v>
      </c>
      <c r="E25" s="11">
        <f>VLOOKUP($A25,Costdrivere!$A$1:$I$69,5,FALSE)</f>
        <v>2169899.7599999998</v>
      </c>
      <c r="F25" s="11">
        <f>VLOOKUP($A25,Costdrivere!$A$1:$I$69,6,FALSE)</f>
        <v>26937309.716275383</v>
      </c>
      <c r="G25" s="11">
        <f>VLOOKUP($A25,Costdrivere!$A$1:$I$69,7,FALSE)</f>
        <v>18988468</v>
      </c>
      <c r="H25" s="11">
        <f>VLOOKUP($A25,Costdrivere!$A$1:$I$69,8,FALSE)</f>
        <v>22860</v>
      </c>
      <c r="I25" s="15">
        <f>VLOOKUP($A25,Costdrivere!$A$1:$I$69,9,FALSE)</f>
        <v>3005383.1999999997</v>
      </c>
      <c r="J25" s="98">
        <v>32.549117093962629</v>
      </c>
      <c r="K25" s="49">
        <f>VLOOKUP(A25,Costdrivere!$A$1:$J$69,10,FALSE)</f>
        <v>1.4817748659916617E-2</v>
      </c>
      <c r="L25" s="9">
        <f t="shared" si="27"/>
        <v>77319503.676275387</v>
      </c>
      <c r="M25" s="11">
        <f t="shared" si="28"/>
        <v>81014283.698295727</v>
      </c>
      <c r="N25" s="11">
        <f t="shared" si="29"/>
        <v>78010654.062063634</v>
      </c>
      <c r="O25" s="9">
        <f>L25+'Potentialer og krav'!$F24</f>
        <v>77319503.676275387</v>
      </c>
      <c r="P25" s="11">
        <f t="shared" si="17"/>
        <v>81014283.698295727</v>
      </c>
      <c r="Q25" s="11">
        <f t="shared" si="18"/>
        <v>78010654.062063634</v>
      </c>
      <c r="R25" s="9">
        <f>O25+(0.2*'Potentialer og krav'!$C24)</f>
        <v>90147374.87627539</v>
      </c>
      <c r="S25" s="11">
        <f>P25+(0.2*'Potentialer og krav'!$C24)</f>
        <v>93842154.89829573</v>
      </c>
      <c r="T25" s="15">
        <f>Q25+(0.2*'Potentialer og krav'!$C24)</f>
        <v>90838525.262063637</v>
      </c>
      <c r="U25" s="11">
        <v>59346646</v>
      </c>
      <c r="V25" s="20">
        <f t="shared" si="30"/>
        <v>61186392.025999993</v>
      </c>
      <c r="X25" s="134">
        <f t="shared" si="19"/>
        <v>0.23964553727063689</v>
      </c>
      <c r="Y25" s="85">
        <f t="shared" si="20"/>
        <v>8.0262090480854795E-2</v>
      </c>
      <c r="Z25" s="85">
        <f t="shared" si="21"/>
        <v>1.8888946909369944E-2</v>
      </c>
      <c r="AA25" s="85">
        <f t="shared" si="22"/>
        <v>2.8064067367594973E-2</v>
      </c>
      <c r="AB25" s="85">
        <f t="shared" si="23"/>
        <v>0.34838958394065311</v>
      </c>
      <c r="AC25" s="85">
        <f t="shared" si="24"/>
        <v>0.24558445278569987</v>
      </c>
      <c r="AD25" s="85">
        <f t="shared" si="25"/>
        <v>2.9565632101974203E-4</v>
      </c>
      <c r="AE25" s="88">
        <f t="shared" si="26"/>
        <v>3.8869664924170579E-2</v>
      </c>
      <c r="AF25" s="32"/>
      <c r="AG25" s="70">
        <f t="shared" si="14"/>
        <v>0.29740414910417745</v>
      </c>
      <c r="AI25" s="134">
        <f t="shared" si="3"/>
        <v>-2.5857961083442571E-2</v>
      </c>
      <c r="AJ25" s="85">
        <f t="shared" si="4"/>
        <v>0.11551607459003797</v>
      </c>
      <c r="AK25" s="85">
        <f t="shared" si="5"/>
        <v>1.0947446711839712E-3</v>
      </c>
      <c r="AL25" s="85">
        <f t="shared" si="6"/>
        <v>-1.4756149125046858E-2</v>
      </c>
      <c r="AM25" s="85">
        <f t="shared" si="7"/>
        <v>3.7632760828942846E-3</v>
      </c>
      <c r="AN25" s="85">
        <f t="shared" si="8"/>
        <v>-0.1107951563092078</v>
      </c>
      <c r="AO25" s="85">
        <f t="shared" si="9"/>
        <v>2.592369863752936E-4</v>
      </c>
      <c r="AP25" s="88">
        <f t="shared" si="10"/>
        <v>3.0775934187205777E-2</v>
      </c>
      <c r="AR25" s="90">
        <f t="shared" si="15"/>
        <v>0.29740414910417745</v>
      </c>
      <c r="AS25" s="80">
        <f t="shared" si="11"/>
        <v>5.4456002318603591E-3</v>
      </c>
      <c r="AT25" s="128">
        <f t="shared" si="12"/>
        <v>0</v>
      </c>
    </row>
    <row r="26" spans="1:46" x14ac:dyDescent="0.25">
      <c r="A26" s="55" t="s">
        <v>58</v>
      </c>
      <c r="B26" s="9">
        <f>VLOOKUP($A26,Costdrivere!$A$1:$I$69,2,FALSE)</f>
        <v>2192073</v>
      </c>
      <c r="C26" s="11">
        <f>VLOOKUP($A26,Costdrivere!$A$1:$I$69,3,FALSE)</f>
        <v>5610542</v>
      </c>
      <c r="D26" s="11">
        <f>VLOOKUP($A26,Costdrivere!$A$1:$I$69,4,FALSE)</f>
        <v>67615</v>
      </c>
      <c r="E26" s="11">
        <f>VLOOKUP($A26,Costdrivere!$A$1:$I$69,5,FALSE)</f>
        <v>373125.48</v>
      </c>
      <c r="F26" s="11">
        <f>VLOOKUP($A26,Costdrivere!$A$1:$I$69,6,FALSE)</f>
        <v>5446150.3167922636</v>
      </c>
      <c r="G26" s="11">
        <f>VLOOKUP($A26,Costdrivere!$A$1:$I$69,7,FALSE)</f>
        <v>2874915</v>
      </c>
      <c r="H26" s="11">
        <f>VLOOKUP($A26,Costdrivere!$A$1:$I$69,8,FALSE)</f>
        <v>0</v>
      </c>
      <c r="I26" s="15">
        <f>VLOOKUP($A26,Costdrivere!$A$1:$I$69,9,FALSE)</f>
        <v>854056</v>
      </c>
      <c r="J26" s="98">
        <v>47.249829268474009</v>
      </c>
      <c r="K26" s="49">
        <f>VLOOKUP(A26,Costdrivere!$A$1:$J$69,10,FALSE)</f>
        <v>3.1846846846846848E-2</v>
      </c>
      <c r="L26" s="9">
        <f t="shared" si="27"/>
        <v>17418476.796792265</v>
      </c>
      <c r="M26" s="11">
        <f t="shared" si="28"/>
        <v>22347858.148154493</v>
      </c>
      <c r="N26" s="11">
        <f t="shared" si="29"/>
        <v>23378160.771234348</v>
      </c>
      <c r="O26" s="9">
        <f>L26+'Potentialer og krav'!$F25</f>
        <v>18723108.653493553</v>
      </c>
      <c r="P26" s="11">
        <f t="shared" si="17"/>
        <v>24021697.256433643</v>
      </c>
      <c r="Q26" s="11">
        <f t="shared" si="18"/>
        <v>25129168.832906738</v>
      </c>
      <c r="R26" s="9">
        <f>O26+(0.2*'Potentialer og krav'!$C25)</f>
        <v>22456525.253493555</v>
      </c>
      <c r="S26" s="11">
        <f>P26+(0.2*'Potentialer og krav'!$C25)</f>
        <v>27755113.856433645</v>
      </c>
      <c r="T26" s="15">
        <f>Q26+(0.2*'Potentialer og krav'!$C25)</f>
        <v>28862585.432906739</v>
      </c>
      <c r="U26" s="11">
        <v>12715628</v>
      </c>
      <c r="V26" s="20">
        <f t="shared" si="30"/>
        <v>13109812.467999998</v>
      </c>
      <c r="X26" s="134">
        <f t="shared" si="19"/>
        <v>0.12584757126430743</v>
      </c>
      <c r="Y26" s="85">
        <f t="shared" si="20"/>
        <v>0.32210290632492161</v>
      </c>
      <c r="Z26" s="85">
        <f t="shared" si="21"/>
        <v>3.8817975181648363E-3</v>
      </c>
      <c r="AA26" s="85">
        <f t="shared" si="22"/>
        <v>2.1421246206138625E-2</v>
      </c>
      <c r="AB26" s="85">
        <f t="shared" si="23"/>
        <v>0.31266513027104703</v>
      </c>
      <c r="AC26" s="85">
        <f t="shared" si="24"/>
        <v>0.16504973618183627</v>
      </c>
      <c r="AD26" s="85">
        <f t="shared" si="25"/>
        <v>0</v>
      </c>
      <c r="AE26" s="88">
        <f t="shared" si="26"/>
        <v>4.9031612233584078E-2</v>
      </c>
      <c r="AF26" s="32"/>
      <c r="AG26" s="70">
        <f t="shared" si="14"/>
        <v>0.17876098101605634</v>
      </c>
      <c r="AI26" s="134">
        <f t="shared" si="3"/>
        <v>8.7940004922886894E-2</v>
      </c>
      <c r="AJ26" s="85">
        <f t="shared" si="4"/>
        <v>-0.12632474125402884</v>
      </c>
      <c r="AK26" s="85">
        <f t="shared" si="5"/>
        <v>1.6101894062389079E-2</v>
      </c>
      <c r="AL26" s="85">
        <f t="shared" si="6"/>
        <v>-8.1133279635905095E-3</v>
      </c>
      <c r="AM26" s="85">
        <f t="shared" si="7"/>
        <v>3.9487729752500367E-2</v>
      </c>
      <c r="AN26" s="85">
        <f t="shared" si="8"/>
        <v>-3.02604397053442E-2</v>
      </c>
      <c r="AO26" s="85">
        <f t="shared" si="9"/>
        <v>5.5489330739503563E-4</v>
      </c>
      <c r="AP26" s="88">
        <f t="shared" si="10"/>
        <v>2.0613986877792277E-2</v>
      </c>
      <c r="AR26" s="90">
        <f t="shared" si="15"/>
        <v>0.17876098101605634</v>
      </c>
      <c r="AS26" s="80">
        <f t="shared" si="11"/>
        <v>0.12408876831998147</v>
      </c>
      <c r="AT26" s="128">
        <f t="shared" si="12"/>
        <v>0</v>
      </c>
    </row>
    <row r="27" spans="1:46" x14ac:dyDescent="0.25">
      <c r="A27" s="55" t="s">
        <v>60</v>
      </c>
      <c r="B27" s="9">
        <f>VLOOKUP($A27,Costdrivere!$A$1:$I$69,2,FALSE)</f>
        <v>47069</v>
      </c>
      <c r="C27" s="11">
        <f>VLOOKUP($A27,Costdrivere!$A$1:$I$69,3,FALSE)</f>
        <v>1858461</v>
      </c>
      <c r="D27" s="11">
        <f>VLOOKUP($A27,Costdrivere!$A$1:$I$69,4,FALSE)</f>
        <v>0</v>
      </c>
      <c r="E27" s="11">
        <f>VLOOKUP($A27,Costdrivere!$A$1:$I$69,5,FALSE)</f>
        <v>0</v>
      </c>
      <c r="F27" s="11">
        <f>VLOOKUP($A27,Costdrivere!$A$1:$I$69,6,FALSE)</f>
        <v>15735166.136542302</v>
      </c>
      <c r="G27" s="11">
        <f>VLOOKUP($A27,Costdrivere!$A$1:$I$69,7,FALSE)</f>
        <v>6027408</v>
      </c>
      <c r="H27" s="11">
        <f>VLOOKUP($A27,Costdrivere!$A$1:$I$69,8,FALSE)</f>
        <v>0</v>
      </c>
      <c r="I27" s="15">
        <f>VLOOKUP($A27,Costdrivere!$A$1:$I$69,9,FALSE)</f>
        <v>604</v>
      </c>
      <c r="J27" s="98">
        <v>31.579328238346545</v>
      </c>
      <c r="K27" s="49">
        <f>VLOOKUP(A27,Costdrivere!$A$1:$J$69,10,FALSE)</f>
        <v>4.5454545454545455E-4</v>
      </c>
      <c r="L27" s="9">
        <f t="shared" si="27"/>
        <v>23668708.136542302</v>
      </c>
      <c r="M27" s="11">
        <f t="shared" si="28"/>
        <v>24432479.63950168</v>
      </c>
      <c r="N27" s="11">
        <f>L27</f>
        <v>23668708.136542302</v>
      </c>
      <c r="O27" s="9">
        <f>L27+'Potentialer og krav'!$F26</f>
        <v>27327384.136542302</v>
      </c>
      <c r="P27" s="11">
        <f t="shared" si="17"/>
        <v>28209218.376649853</v>
      </c>
      <c r="Q27" s="11">
        <f>O27</f>
        <v>27327384.136542302</v>
      </c>
      <c r="R27" s="9">
        <f>O27+(0.2*'Potentialer og krav'!$C26)</f>
        <v>32665951.336542301</v>
      </c>
      <c r="S27" s="11">
        <f>P27+(0.2*'Potentialer og krav'!$C26)</f>
        <v>33547785.576649852</v>
      </c>
      <c r="T27" s="15">
        <f>Q27+(0.2*'Potentialer og krav'!$C26)</f>
        <v>32665951.336542301</v>
      </c>
      <c r="U27" s="11">
        <v>27009181</v>
      </c>
      <c r="V27" s="20">
        <f t="shared" si="30"/>
        <v>27846465.610999998</v>
      </c>
      <c r="X27" s="134">
        <f t="shared" si="19"/>
        <v>1.9886594455626331E-3</v>
      </c>
      <c r="Y27" s="85">
        <f t="shared" si="20"/>
        <v>7.8519748069000334E-2</v>
      </c>
      <c r="Z27" s="85">
        <f t="shared" si="21"/>
        <v>0</v>
      </c>
      <c r="AA27" s="85">
        <f t="shared" si="22"/>
        <v>0</v>
      </c>
      <c r="AB27" s="85">
        <f t="shared" si="23"/>
        <v>0.66480882884557002</v>
      </c>
      <c r="AC27" s="85">
        <f t="shared" si="24"/>
        <v>0.25465724471435086</v>
      </c>
      <c r="AD27" s="85">
        <f t="shared" si="25"/>
        <v>0</v>
      </c>
      <c r="AE27" s="88">
        <f t="shared" si="26"/>
        <v>2.5518925516153529E-5</v>
      </c>
      <c r="AF27" s="32"/>
      <c r="AG27" s="70">
        <f t="shared" si="14"/>
        <v>2.0141783710787868E-3</v>
      </c>
      <c r="AI27" s="134">
        <f t="shared" si="3"/>
        <v>0.21179891674163168</v>
      </c>
      <c r="AJ27" s="85">
        <f t="shared" si="4"/>
        <v>0.11725841700189243</v>
      </c>
      <c r="AK27" s="85">
        <f t="shared" si="5"/>
        <v>1.9983691580553915E-2</v>
      </c>
      <c r="AL27" s="85">
        <f t="shared" si="6"/>
        <v>1.3307918242548115E-2</v>
      </c>
      <c r="AM27" s="85">
        <f t="shared" si="7"/>
        <v>-0.31265596882202262</v>
      </c>
      <c r="AN27" s="85">
        <f t="shared" si="8"/>
        <v>-0.11986794823785879</v>
      </c>
      <c r="AO27" s="85">
        <f t="shared" si="9"/>
        <v>5.5489330739503563E-4</v>
      </c>
      <c r="AP27" s="88">
        <f t="shared" si="10"/>
        <v>6.9620080185860203E-2</v>
      </c>
      <c r="AR27" s="90">
        <f t="shared" si="15"/>
        <v>2.0141783710787868E-3</v>
      </c>
      <c r="AS27" s="80">
        <f t="shared" si="11"/>
        <v>0.300835570964959</v>
      </c>
      <c r="AT27" s="128">
        <f t="shared" si="12"/>
        <v>0</v>
      </c>
    </row>
    <row r="28" spans="1:46" x14ac:dyDescent="0.25">
      <c r="A28" s="55" t="s">
        <v>62</v>
      </c>
      <c r="B28" s="9">
        <f>VLOOKUP($A28,Costdrivere!$A$1:$I$69,2,FALSE)</f>
        <v>1942666</v>
      </c>
      <c r="C28" s="11">
        <f>VLOOKUP($A28,Costdrivere!$A$1:$I$69,3,FALSE)</f>
        <v>6940375</v>
      </c>
      <c r="D28" s="11">
        <f>VLOOKUP($A28,Costdrivere!$A$1:$I$69,4,FALSE)</f>
        <v>256937</v>
      </c>
      <c r="E28" s="11">
        <f>VLOOKUP($A28,Costdrivere!$A$1:$I$69,5,FALSE)</f>
        <v>96489.12</v>
      </c>
      <c r="F28" s="11">
        <f>VLOOKUP($A28,Costdrivere!$A$1:$I$69,6,FALSE)</f>
        <v>5834493.4595384076</v>
      </c>
      <c r="G28" s="11">
        <f>VLOOKUP($A28,Costdrivere!$A$1:$I$69,7,FALSE)</f>
        <v>1352201.4000000001</v>
      </c>
      <c r="H28" s="11">
        <f>VLOOKUP($A28,Costdrivere!$A$1:$I$69,8,FALSE)</f>
        <v>22860</v>
      </c>
      <c r="I28" s="15">
        <f>VLOOKUP($A28,Costdrivere!$A$1:$I$69,9,FALSE)</f>
        <v>1051080.8</v>
      </c>
      <c r="J28" s="98">
        <v>32.3561906356598</v>
      </c>
      <c r="K28" s="49">
        <f>VLOOKUP(A28,Costdrivere!$A$1:$J$69,10,FALSE)</f>
        <v>1.9165198237885463E-2</v>
      </c>
      <c r="L28" s="9">
        <f t="shared" si="27"/>
        <v>17497102.779538408</v>
      </c>
      <c r="M28" s="11">
        <f t="shared" si="28"/>
        <v>18279206.654520385</v>
      </c>
      <c r="N28" s="11">
        <f t="shared" si="29"/>
        <v>19141925.518684085</v>
      </c>
      <c r="O28" s="9">
        <f>L28+'Potentialer og krav'!$F27</f>
        <v>17572001.576759972</v>
      </c>
      <c r="P28" s="11">
        <f t="shared" si="17"/>
        <v>18357453.356836669</v>
      </c>
      <c r="Q28" s="11">
        <f t="shared" si="18"/>
        <v>19223865.209838603</v>
      </c>
      <c r="R28" s="9">
        <f>O28+(0.2*'Potentialer og krav'!$C27)</f>
        <v>20027801.176759973</v>
      </c>
      <c r="S28" s="11">
        <f>P28+(0.2*'Potentialer og krav'!$C27)</f>
        <v>20813252.956836671</v>
      </c>
      <c r="T28" s="15">
        <f>Q28+(0.2*'Potentialer og krav'!$C27)</f>
        <v>21679664.809838604</v>
      </c>
      <c r="U28" s="11">
        <v>12509924</v>
      </c>
      <c r="V28" s="20">
        <f t="shared" si="30"/>
        <v>12897731.643999999</v>
      </c>
      <c r="X28" s="134">
        <f t="shared" si="19"/>
        <v>0.11102786698331606</v>
      </c>
      <c r="Y28" s="85">
        <f t="shared" si="20"/>
        <v>0.39665852612560892</v>
      </c>
      <c r="Z28" s="85">
        <f t="shared" si="21"/>
        <v>1.4684545392307416E-2</v>
      </c>
      <c r="AA28" s="85">
        <f t="shared" si="22"/>
        <v>5.5145769682988328E-3</v>
      </c>
      <c r="AB28" s="85">
        <f t="shared" si="23"/>
        <v>0.33345483152567545</v>
      </c>
      <c r="AC28" s="85">
        <f t="shared" si="24"/>
        <v>7.728144579348882E-2</v>
      </c>
      <c r="AD28" s="85">
        <f t="shared" si="25"/>
        <v>1.3065020128208375E-3</v>
      </c>
      <c r="AE28" s="88">
        <f t="shared" si="26"/>
        <v>6.0071705198483649E-2</v>
      </c>
      <c r="AF28" s="32"/>
      <c r="AG28" s="70">
        <f t="shared" si="14"/>
        <v>0.18578411757410712</v>
      </c>
      <c r="AI28" s="134">
        <f t="shared" si="3"/>
        <v>0.10275970920387827</v>
      </c>
      <c r="AJ28" s="85">
        <f t="shared" si="4"/>
        <v>-0.20088036105471616</v>
      </c>
      <c r="AK28" s="85">
        <f t="shared" si="5"/>
        <v>5.2991461882464994E-3</v>
      </c>
      <c r="AL28" s="85">
        <f t="shared" si="6"/>
        <v>7.7933412742492826E-3</v>
      </c>
      <c r="AM28" s="85">
        <f t="shared" si="7"/>
        <v>1.8698028497871944E-2</v>
      </c>
      <c r="AN28" s="85">
        <f t="shared" si="8"/>
        <v>5.750785068300325E-2</v>
      </c>
      <c r="AO28" s="85">
        <f t="shared" si="9"/>
        <v>-7.5160870542580183E-4</v>
      </c>
      <c r="AP28" s="88">
        <f t="shared" si="10"/>
        <v>9.5738939128927059E-3</v>
      </c>
      <c r="AR28" s="90">
        <f t="shared" si="15"/>
        <v>0.18578411757410712</v>
      </c>
      <c r="AS28" s="80">
        <f t="shared" si="11"/>
        <v>0.11706563176193069</v>
      </c>
      <c r="AT28" s="128">
        <f t="shared" si="12"/>
        <v>0</v>
      </c>
    </row>
    <row r="29" spans="1:46" x14ac:dyDescent="0.25">
      <c r="A29" s="55" t="s">
        <v>114</v>
      </c>
      <c r="B29" s="9">
        <f>VLOOKUP($A29,Costdrivere!$A$1:$I$69,2,FALSE)</f>
        <v>2156616</v>
      </c>
      <c r="C29" s="11">
        <f>VLOOKUP($A29,Costdrivere!$A$1:$I$69,3,FALSE)</f>
        <v>2888990</v>
      </c>
      <c r="D29" s="11">
        <f>VLOOKUP($A29,Costdrivere!$A$1:$I$69,4,FALSE)</f>
        <v>473305</v>
      </c>
      <c r="E29" s="11">
        <f>VLOOKUP($A29,Costdrivere!$A$1:$I$69,5,FALSE)</f>
        <v>303028.74</v>
      </c>
      <c r="F29" s="11">
        <f>VLOOKUP($A29,Costdrivere!$A$1:$I$69,6,FALSE)</f>
        <v>8147170.6189618437</v>
      </c>
      <c r="G29" s="11">
        <f>VLOOKUP($A29,Costdrivere!$A$1:$I$69,7,FALSE)</f>
        <v>1779909.4440000001</v>
      </c>
      <c r="H29" s="11">
        <f>VLOOKUP($A29,Costdrivere!$A$1:$I$69,8,FALSE)</f>
        <v>0</v>
      </c>
      <c r="I29" s="15">
        <f>VLOOKUP($A29,Costdrivere!$A$1:$I$69,9,FALSE)</f>
        <v>1261152</v>
      </c>
      <c r="J29" s="98">
        <v>32.032211677378157</v>
      </c>
      <c r="K29" s="49">
        <f>VLOOKUP(A29,Costdrivere!$A$1:$J$69,10,FALSE)</f>
        <v>2.0714285714285713E-2</v>
      </c>
      <c r="L29" s="9">
        <f t="shared" si="27"/>
        <v>17010171.802961841</v>
      </c>
      <c r="M29" s="11">
        <f t="shared" si="28"/>
        <v>17682335.32193758</v>
      </c>
      <c r="N29" s="11">
        <f t="shared" si="29"/>
        <v>19124815.610892475</v>
      </c>
      <c r="O29" s="9">
        <f>L29+'Potentialer og krav'!$F28</f>
        <v>17010171.802961841</v>
      </c>
      <c r="P29" s="11">
        <f t="shared" si="17"/>
        <v>17682335.32193758</v>
      </c>
      <c r="Q29" s="11">
        <f t="shared" si="18"/>
        <v>19124815.610892475</v>
      </c>
      <c r="R29" s="9">
        <f>O29+(0.2*'Potentialer og krav'!$C28)</f>
        <v>20969208.602961842</v>
      </c>
      <c r="S29" s="11">
        <f>P29+(0.2*'Potentialer og krav'!$C28)</f>
        <v>21641372.12193758</v>
      </c>
      <c r="T29" s="15">
        <f>Q29+(0.2*'Potentialer og krav'!$C28)</f>
        <v>23083852.410892475</v>
      </c>
      <c r="U29" s="11">
        <v>17442449</v>
      </c>
      <c r="V29" s="20">
        <f t="shared" si="30"/>
        <v>17983164.919</v>
      </c>
      <c r="X29" s="134">
        <f t="shared" si="19"/>
        <v>0.12678390465312561</v>
      </c>
      <c r="Y29" s="85">
        <f t="shared" si="20"/>
        <v>0.1698389665586425</v>
      </c>
      <c r="Z29" s="85">
        <f t="shared" si="21"/>
        <v>2.7824821846748619E-2</v>
      </c>
      <c r="AA29" s="85">
        <f t="shared" si="22"/>
        <v>1.7814560811621909E-2</v>
      </c>
      <c r="AB29" s="85">
        <f t="shared" si="23"/>
        <v>0.47895874970194269</v>
      </c>
      <c r="AC29" s="85">
        <f t="shared" si="24"/>
        <v>0.10463794631927699</v>
      </c>
      <c r="AD29" s="85">
        <f t="shared" si="25"/>
        <v>0</v>
      </c>
      <c r="AE29" s="88">
        <f t="shared" si="26"/>
        <v>7.4141050108641818E-2</v>
      </c>
      <c r="AF29" s="32"/>
      <c r="AG29" s="70">
        <f t="shared" si="14"/>
        <v>0.22874977660851603</v>
      </c>
      <c r="AI29" s="134">
        <f t="shared" si="3"/>
        <v>8.7003671534068711E-2</v>
      </c>
      <c r="AJ29" s="85">
        <f t="shared" si="4"/>
        <v>2.5939198512250267E-2</v>
      </c>
      <c r="AK29" s="85">
        <f t="shared" si="5"/>
        <v>-7.8411302661947034E-3</v>
      </c>
      <c r="AL29" s="85">
        <f t="shared" si="6"/>
        <v>-4.5066425690737932E-3</v>
      </c>
      <c r="AM29" s="85">
        <f t="shared" si="7"/>
        <v>-0.12680588967839529</v>
      </c>
      <c r="AN29" s="85">
        <f t="shared" si="8"/>
        <v>3.0151350157215082E-2</v>
      </c>
      <c r="AO29" s="85">
        <f t="shared" si="9"/>
        <v>5.5489330739503563E-4</v>
      </c>
      <c r="AP29" s="88">
        <f t="shared" si="10"/>
        <v>-4.4954509972654627E-3</v>
      </c>
      <c r="AR29" s="90">
        <f t="shared" si="15"/>
        <v>0.22874977660851603</v>
      </c>
      <c r="AS29" s="80">
        <f t="shared" si="11"/>
        <v>7.4099972727521779E-2</v>
      </c>
      <c r="AT29" s="128">
        <f t="shared" si="12"/>
        <v>0</v>
      </c>
    </row>
    <row r="30" spans="1:46" x14ac:dyDescent="0.25">
      <c r="A30" s="55" t="s">
        <v>74</v>
      </c>
      <c r="B30" s="9">
        <f>VLOOKUP($A30,Costdrivere!$A$1:$I$69,2,FALSE)</f>
        <v>2045789.9</v>
      </c>
      <c r="C30" s="11">
        <f>VLOOKUP($A30,Costdrivere!$A$1:$I$69,3,FALSE)</f>
        <v>4831681</v>
      </c>
      <c r="D30" s="11">
        <f>VLOOKUP($A30,Costdrivere!$A$1:$I$69,4,FALSE)</f>
        <v>459782</v>
      </c>
      <c r="E30" s="11">
        <f>VLOOKUP($A30,Costdrivere!$A$1:$I$69,5,FALSE)</f>
        <v>2368.7999999999997</v>
      </c>
      <c r="F30" s="11">
        <f>VLOOKUP($A30,Costdrivere!$A$1:$I$69,6,FALSE)</f>
        <v>12633295.015374677</v>
      </c>
      <c r="G30" s="11">
        <f>VLOOKUP($A30,Costdrivere!$A$1:$I$69,7,FALSE)</f>
        <v>2994499.1</v>
      </c>
      <c r="H30" s="11">
        <f>VLOOKUP($A30,Costdrivere!$A$1:$I$69,8,FALSE)</f>
        <v>45720</v>
      </c>
      <c r="I30" s="15">
        <f>VLOOKUP($A30,Costdrivere!$A$1:$I$69,9,FALSE)</f>
        <v>1091186.3999999999</v>
      </c>
      <c r="J30" s="98">
        <v>25.698050071759607</v>
      </c>
      <c r="K30" s="49">
        <f>VLOOKUP(A30,Costdrivere!$A$1:$J$69,10,FALSE)</f>
        <v>1.8893536916962977E-2</v>
      </c>
      <c r="L30" s="9">
        <f t="shared" si="27"/>
        <v>24104322.215374678</v>
      </c>
      <c r="M30" s="11">
        <f t="shared" si="28"/>
        <v>22613923.075286869</v>
      </c>
      <c r="N30" s="11">
        <f t="shared" si="29"/>
        <v>26242130.62013768</v>
      </c>
      <c r="O30" s="9">
        <f>L30+'Potentialer og krav'!$F29</f>
        <v>25253310.5872529</v>
      </c>
      <c r="P30" s="11">
        <f t="shared" si="17"/>
        <v>23691868.118665032</v>
      </c>
      <c r="Q30" s="11">
        <f t="shared" si="18"/>
        <v>27493022.58326517</v>
      </c>
      <c r="R30" s="9">
        <f>O30+(0.2*'Potentialer og krav'!$C29)</f>
        <v>30036426.187252901</v>
      </c>
      <c r="S30" s="11">
        <f>P30+(0.2*'Potentialer og krav'!$C29)</f>
        <v>28474983.718665034</v>
      </c>
      <c r="T30" s="15">
        <f>Q30+(0.2*'Potentialer og krav'!$C29)</f>
        <v>32276138.183265172</v>
      </c>
      <c r="U30" s="11">
        <v>15598407</v>
      </c>
      <c r="V30" s="20">
        <f t="shared" si="30"/>
        <v>16081957.616999999</v>
      </c>
      <c r="X30" s="134">
        <f t="shared" si="19"/>
        <v>8.4872326287403974E-2</v>
      </c>
      <c r="Y30" s="85">
        <f t="shared" si="20"/>
        <v>0.20044873931025387</v>
      </c>
      <c r="Z30" s="85">
        <f t="shared" si="21"/>
        <v>1.9074670338862839E-2</v>
      </c>
      <c r="AA30" s="85">
        <f t="shared" si="22"/>
        <v>9.827283168696967E-5</v>
      </c>
      <c r="AB30" s="85">
        <f t="shared" si="23"/>
        <v>0.52410911630266321</v>
      </c>
      <c r="AC30" s="85">
        <f t="shared" si="24"/>
        <v>0.12423079451244605</v>
      </c>
      <c r="AD30" s="85">
        <f t="shared" si="25"/>
        <v>1.8967552620433358E-3</v>
      </c>
      <c r="AE30" s="88">
        <f t="shared" si="26"/>
        <v>4.5269325154639634E-2</v>
      </c>
      <c r="AF30" s="32"/>
      <c r="AG30" s="70">
        <f t="shared" si="14"/>
        <v>0.14921632178090644</v>
      </c>
      <c r="AI30" s="134">
        <f t="shared" si="3"/>
        <v>0.12891524989979036</v>
      </c>
      <c r="AJ30" s="85">
        <f t="shared" si="4"/>
        <v>-4.6705742393610972E-3</v>
      </c>
      <c r="AK30" s="85">
        <f t="shared" si="5"/>
        <v>9.0902124169107631E-4</v>
      </c>
      <c r="AL30" s="85">
        <f t="shared" si="6"/>
        <v>1.3209645410861146E-2</v>
      </c>
      <c r="AM30" s="85">
        <f t="shared" si="7"/>
        <v>-0.17195625627911582</v>
      </c>
      <c r="AN30" s="85">
        <f t="shared" si="8"/>
        <v>1.0558501964046021E-2</v>
      </c>
      <c r="AO30" s="85">
        <f t="shared" si="9"/>
        <v>-1.3418619546483003E-3</v>
      </c>
      <c r="AP30" s="88">
        <f t="shared" si="10"/>
        <v>2.4376273956736721E-2</v>
      </c>
      <c r="AR30" s="90">
        <f t="shared" si="15"/>
        <v>0.14921632178090644</v>
      </c>
      <c r="AS30" s="80">
        <f t="shared" si="11"/>
        <v>0.15363342755513137</v>
      </c>
      <c r="AT30" s="128">
        <f t="shared" si="12"/>
        <v>0</v>
      </c>
    </row>
    <row r="31" spans="1:46" x14ac:dyDescent="0.25">
      <c r="A31" s="55" t="s">
        <v>77</v>
      </c>
      <c r="B31" s="9">
        <f>VLOOKUP($A31,Costdrivere!$A$1:$I$69,2,FALSE)</f>
        <v>0</v>
      </c>
      <c r="C31" s="11">
        <f>VLOOKUP($A31,Costdrivere!$A$1:$I$69,3,FALSE)</f>
        <v>0</v>
      </c>
      <c r="D31" s="11">
        <f>VLOOKUP($A31,Costdrivere!$A$1:$I$69,4,FALSE)</f>
        <v>0</v>
      </c>
      <c r="E31" s="11">
        <f>VLOOKUP($A31,Costdrivere!$A$1:$I$69,5,FALSE)</f>
        <v>0</v>
      </c>
      <c r="F31" s="11">
        <f>VLOOKUP($A31,Costdrivere!$A$1:$I$69,6,FALSE)</f>
        <v>64461748.115588136</v>
      </c>
      <c r="G31" s="11">
        <f>VLOOKUP($A31,Costdrivere!$A$1:$I$69,7,FALSE)</f>
        <v>77207097.399999991</v>
      </c>
      <c r="H31" s="11">
        <f>VLOOKUP($A31,Costdrivere!$A$1:$I$69,8,FALSE)</f>
        <v>0</v>
      </c>
      <c r="I31" s="15">
        <f>VLOOKUP($A31,Costdrivere!$A$1:$I$69,9,FALSE)</f>
        <v>0</v>
      </c>
      <c r="J31" s="98">
        <v>0</v>
      </c>
      <c r="K31" s="49">
        <f>VLOOKUP(A31,Costdrivere!$A$1:$J$69,10,FALSE)</f>
        <v>0</v>
      </c>
      <c r="L31" s="9">
        <f t="shared" si="27"/>
        <v>141668845.51558813</v>
      </c>
      <c r="M31" s="11">
        <f t="shared" si="28"/>
        <v>74659481.586714953</v>
      </c>
      <c r="N31" s="11">
        <v>0</v>
      </c>
      <c r="O31" s="9">
        <f>L31+'Potentialer og krav'!$F30</f>
        <v>141668845.51558813</v>
      </c>
      <c r="P31" s="11">
        <f t="shared" si="17"/>
        <v>74659481.586714953</v>
      </c>
      <c r="Q31" s="11">
        <f t="shared" si="18"/>
        <v>101859899.92570786</v>
      </c>
      <c r="R31" s="9">
        <f>O31+(0.2*'Potentialer og krav'!$C30)</f>
        <v>174480139.71558815</v>
      </c>
      <c r="S31" s="11">
        <f>P31+(0.2*'Potentialer og krav'!$C30)</f>
        <v>107470775.78671496</v>
      </c>
      <c r="T31" s="15">
        <f>Q31+(0.2*'Potentialer og krav'!$C30)</f>
        <v>134671194.12570786</v>
      </c>
      <c r="U31" s="11">
        <v>164020011</v>
      </c>
      <c r="V31" s="20">
        <f t="shared" si="30"/>
        <v>169104631.34099999</v>
      </c>
      <c r="X31" s="134">
        <f t="shared" si="19"/>
        <v>0</v>
      </c>
      <c r="Y31" s="85">
        <f t="shared" si="20"/>
        <v>0</v>
      </c>
      <c r="Z31" s="85">
        <f t="shared" si="21"/>
        <v>0</v>
      </c>
      <c r="AA31" s="85">
        <f t="shared" si="22"/>
        <v>0</v>
      </c>
      <c r="AB31" s="85">
        <f t="shared" si="23"/>
        <v>0.45501710613216839</v>
      </c>
      <c r="AC31" s="85">
        <f t="shared" si="24"/>
        <v>0.5449828938678315</v>
      </c>
      <c r="AD31" s="85">
        <f t="shared" si="25"/>
        <v>0</v>
      </c>
      <c r="AE31" s="88">
        <f t="shared" si="26"/>
        <v>0</v>
      </c>
      <c r="AF31" s="32"/>
      <c r="AG31" s="70">
        <f t="shared" si="14"/>
        <v>0</v>
      </c>
      <c r="AI31" s="134">
        <f t="shared" si="3"/>
        <v>0.21378757618719432</v>
      </c>
      <c r="AJ31" s="85">
        <f t="shared" si="4"/>
        <v>0.19577816507089277</v>
      </c>
      <c r="AK31" s="85">
        <f t="shared" si="5"/>
        <v>1.9983691580553915E-2</v>
      </c>
      <c r="AL31" s="85">
        <f t="shared" si="6"/>
        <v>1.3307918242548115E-2</v>
      </c>
      <c r="AM31" s="85">
        <f t="shared" si="7"/>
        <v>-0.10286424610862099</v>
      </c>
      <c r="AN31" s="85">
        <f t="shared" si="8"/>
        <v>-0.41019359739133943</v>
      </c>
      <c r="AO31" s="85">
        <f t="shared" si="9"/>
        <v>5.5489330739503563E-4</v>
      </c>
      <c r="AP31" s="88">
        <f t="shared" si="10"/>
        <v>6.9645599111376355E-2</v>
      </c>
      <c r="AR31" s="90">
        <f t="shared" si="15"/>
        <v>0</v>
      </c>
      <c r="AS31" s="80">
        <f t="shared" si="11"/>
        <v>0.30284974933603781</v>
      </c>
      <c r="AT31" s="128">
        <f t="shared" si="12"/>
        <v>0</v>
      </c>
    </row>
    <row r="32" spans="1:46" s="33" customFormat="1" x14ac:dyDescent="0.25">
      <c r="A32" s="55" t="s">
        <v>115</v>
      </c>
      <c r="B32" s="9">
        <f>VLOOKUP($A32,Costdrivere!$A$1:$I$69,2,FALSE)</f>
        <v>163029.9</v>
      </c>
      <c r="C32" s="11">
        <f>VLOOKUP($A32,Costdrivere!$A$1:$I$69,3,FALSE)</f>
        <v>555751</v>
      </c>
      <c r="D32" s="11">
        <f>VLOOKUP($A32,Costdrivere!$A$1:$I$69,4,FALSE)</f>
        <v>0</v>
      </c>
      <c r="E32" s="11">
        <f>VLOOKUP($A32,Costdrivere!$A$1:$I$69,5,FALSE)</f>
        <v>2368.7999999999997</v>
      </c>
      <c r="F32" s="11">
        <f>VLOOKUP($A32,Costdrivere!$A$1:$I$69,6,FALSE)</f>
        <v>806127.06628227385</v>
      </c>
      <c r="G32" s="11">
        <f>VLOOKUP($A32,Costdrivere!$A$1:$I$69,7,FALSE)</f>
        <v>0</v>
      </c>
      <c r="H32" s="11">
        <f>VLOOKUP($A32,Costdrivere!$A$1:$I$69,8,FALSE)</f>
        <v>0</v>
      </c>
      <c r="I32" s="15">
        <f>VLOOKUP($A32,Costdrivere!$A$1:$I$69,9,FALSE)</f>
        <v>301275.2</v>
      </c>
      <c r="J32" s="98">
        <v>39.997319121036028</v>
      </c>
      <c r="K32" s="49">
        <f>VLOOKUP(A32,Costdrivere!$A$1:$J$69,10,FALSE)</f>
        <v>6.5459317585301838E-2</v>
      </c>
      <c r="L32" s="9">
        <f t="shared" ref="L32" si="31">SUM(B32:I32)</f>
        <v>1828551.9662822739</v>
      </c>
      <c r="M32" s="11">
        <f t="shared" ref="M32" si="32">(0.527+0.016*J32)*L32</f>
        <v>2133841.7106273985</v>
      </c>
      <c r="N32" s="11">
        <f t="shared" ref="N32" si="33">(0.719+19.567*K32)*L32</f>
        <v>3656815.875637996</v>
      </c>
      <c r="O32" s="9">
        <f>L32+'Potentialer og krav'!$F31</f>
        <v>1828551.9662822739</v>
      </c>
      <c r="P32" s="11">
        <f t="shared" si="17"/>
        <v>2133841.7106273985</v>
      </c>
      <c r="Q32" s="11">
        <f t="shared" si="18"/>
        <v>3656815.875637996</v>
      </c>
      <c r="R32" s="9">
        <f>O32+(0.2*'Potentialer og krav'!$C31)</f>
        <v>2180776.7662822739</v>
      </c>
      <c r="S32" s="11">
        <f>P32+(0.2*'Potentialer og krav'!$C31)</f>
        <v>2486066.5106273983</v>
      </c>
      <c r="T32" s="15">
        <f>Q32+(0.2*'Potentialer og krav'!$C31)</f>
        <v>4009040.6756379958</v>
      </c>
      <c r="U32" s="11">
        <v>1412570</v>
      </c>
      <c r="V32" s="20">
        <f t="shared" si="30"/>
        <v>1456359.67</v>
      </c>
      <c r="X32" s="134">
        <f t="shared" si="19"/>
        <v>8.915792550947553E-2</v>
      </c>
      <c r="Y32" s="85">
        <f t="shared" si="20"/>
        <v>0.30392956298087981</v>
      </c>
      <c r="Z32" s="85">
        <f t="shared" si="21"/>
        <v>0</v>
      </c>
      <c r="AA32" s="85">
        <f t="shared" si="22"/>
        <v>1.295451288057256E-3</v>
      </c>
      <c r="AB32" s="85">
        <f t="shared" si="23"/>
        <v>0.44085543159118062</v>
      </c>
      <c r="AC32" s="85">
        <f t="shared" si="24"/>
        <v>0</v>
      </c>
      <c r="AD32" s="85">
        <f t="shared" si="25"/>
        <v>0</v>
      </c>
      <c r="AE32" s="88">
        <f t="shared" si="26"/>
        <v>0.16476162863040672</v>
      </c>
      <c r="AF32" s="66"/>
      <c r="AG32" s="70">
        <f t="shared" si="14"/>
        <v>0.25391955413988226</v>
      </c>
      <c r="AI32" s="134"/>
      <c r="AJ32" s="85"/>
      <c r="AK32" s="85"/>
      <c r="AL32" s="85"/>
      <c r="AM32" s="85"/>
      <c r="AN32" s="85"/>
      <c r="AO32" s="85"/>
      <c r="AP32" s="88"/>
      <c r="AR32" s="90"/>
      <c r="AS32" s="80"/>
      <c r="AT32" s="128"/>
    </row>
    <row r="33" spans="1:46" x14ac:dyDescent="0.25">
      <c r="A33" s="55" t="s">
        <v>63</v>
      </c>
      <c r="B33" s="9">
        <f>VLOOKUP($A33,Costdrivere!$A$1:$I$69,2,FALSE)</f>
        <v>3919564</v>
      </c>
      <c r="C33" s="11">
        <f>VLOOKUP($A33,Costdrivere!$A$1:$I$69,3,FALSE)</f>
        <v>5065385</v>
      </c>
      <c r="D33" s="11">
        <f>VLOOKUP($A33,Costdrivere!$A$1:$I$69,4,FALSE)</f>
        <v>500351</v>
      </c>
      <c r="E33" s="11">
        <f>VLOOKUP($A33,Costdrivere!$A$1:$I$69,5,FALSE)</f>
        <v>64648.499999999993</v>
      </c>
      <c r="F33" s="11">
        <f>VLOOKUP($A33,Costdrivere!$A$1:$I$69,6,FALSE)</f>
        <v>13851742.79027093</v>
      </c>
      <c r="G33" s="11">
        <f>VLOOKUP($A33,Costdrivere!$A$1:$I$69,7,FALSE)</f>
        <v>7702646.9000000004</v>
      </c>
      <c r="H33" s="11">
        <f>VLOOKUP($A33,Costdrivere!$A$1:$I$69,8,FALSE)</f>
        <v>0</v>
      </c>
      <c r="I33" s="15">
        <f>VLOOKUP($A33,Costdrivere!$A$1:$I$69,9,FALSE)</f>
        <v>1740728</v>
      </c>
      <c r="J33" s="98">
        <v>31.353509054497806</v>
      </c>
      <c r="K33" s="49">
        <f>VLOOKUP(A33,Costdrivere!$A$1:$J$69,10,FALSE)</f>
        <v>1.5731441048034936E-2</v>
      </c>
      <c r="L33" s="9">
        <f t="shared" ref="L33:L61" si="34">SUM(B33:I33)</f>
        <v>32845066.190270931</v>
      </c>
      <c r="M33" s="11">
        <f t="shared" ref="M33:M61" si="35">(0.527+0.016*J33)*L33</f>
        <v>33786279.165348612</v>
      </c>
      <c r="N33" s="11">
        <f t="shared" ref="N33:N61" si="36">(0.719+19.567*K33)*L33</f>
        <v>33725875.844287224</v>
      </c>
      <c r="O33" s="9">
        <f>L33+'Potentialer og krav'!$F32</f>
        <v>34182413.898895077</v>
      </c>
      <c r="P33" s="11">
        <f t="shared" si="17"/>
        <v>35161950.103655279</v>
      </c>
      <c r="Q33" s="11">
        <f t="shared" si="18"/>
        <v>35099087.34949223</v>
      </c>
      <c r="R33" s="9">
        <f>O33+(0.2*'Potentialer og krav'!$C32)</f>
        <v>40613248.498895079</v>
      </c>
      <c r="S33" s="11">
        <f>P33+(0.2*'Potentialer og krav'!$C32)</f>
        <v>41592784.70365528</v>
      </c>
      <c r="T33" s="15">
        <f>Q33+(0.2*'Potentialer og krav'!$C32)</f>
        <v>41529921.949492231</v>
      </c>
      <c r="U33" s="11">
        <v>32707590</v>
      </c>
      <c r="V33" s="20">
        <f t="shared" ref="V33:V61" si="37">1.031*U33</f>
        <v>33721525.289999999</v>
      </c>
      <c r="X33" s="134">
        <f t="shared" si="19"/>
        <v>0.11933493990525182</v>
      </c>
      <c r="Y33" s="85">
        <f t="shared" si="20"/>
        <v>0.15422057518947618</v>
      </c>
      <c r="Z33" s="85">
        <f t="shared" si="21"/>
        <v>1.5233673060711002E-2</v>
      </c>
      <c r="AA33" s="85">
        <f t="shared" si="22"/>
        <v>1.9682864886157417E-3</v>
      </c>
      <c r="AB33" s="85">
        <f t="shared" si="23"/>
        <v>0.42172978766515529</v>
      </c>
      <c r="AC33" s="85">
        <f t="shared" si="24"/>
        <v>0.23451457991829558</v>
      </c>
      <c r="AD33" s="85">
        <f t="shared" si="25"/>
        <v>0</v>
      </c>
      <c r="AE33" s="88">
        <f t="shared" si="26"/>
        <v>5.2998157772494392E-2</v>
      </c>
      <c r="AF33" s="32"/>
      <c r="AG33" s="70">
        <f t="shared" si="14"/>
        <v>0.18756677073845721</v>
      </c>
      <c r="AI33" s="134">
        <f t="shared" ref="AI33:AI61" si="38">X$63-X33</f>
        <v>9.4452636281942504E-2</v>
      </c>
      <c r="AJ33" s="85">
        <f t="shared" ref="AJ33:AJ61" si="39">Y$63-Y33</f>
        <v>4.1557589881416584E-2</v>
      </c>
      <c r="AK33" s="85">
        <f t="shared" ref="AK33:AK61" si="40">Z$63-Z33</f>
        <v>4.7500185198429135E-3</v>
      </c>
      <c r="AL33" s="85">
        <f t="shared" ref="AL33:AL61" si="41">AA$63-AA33</f>
        <v>1.1339631753932374E-2</v>
      </c>
      <c r="AM33" s="85">
        <f t="shared" ref="AM33:AM61" si="42">AB$63-AB33</f>
        <v>-6.9576927641607889E-2</v>
      </c>
      <c r="AN33" s="85">
        <f t="shared" ref="AN33:AN61" si="43">AC$63-AC33</f>
        <v>-9.9725283441803508E-2</v>
      </c>
      <c r="AO33" s="85">
        <f t="shared" ref="AO33:AO61" si="44">AD$63-AD33</f>
        <v>5.5489330739503563E-4</v>
      </c>
      <c r="AP33" s="88">
        <f t="shared" ref="AP33:AP61" si="45">AE$63-AE33</f>
        <v>1.6647441338881963E-2</v>
      </c>
      <c r="AR33" s="90">
        <f t="shared" si="15"/>
        <v>0.18756677073845721</v>
      </c>
      <c r="AS33" s="80">
        <f t="shared" ref="AS33:AS61" si="46">$AG$63-AR33</f>
        <v>0.1152829785975806</v>
      </c>
      <c r="AT33" s="128">
        <f t="shared" ref="AT33:AT61" si="47">IF(AS33&lt;$AG$66,(AS33-$AG$66)*0.2782,0)</f>
        <v>0</v>
      </c>
    </row>
    <row r="34" spans="1:46" x14ac:dyDescent="0.25">
      <c r="A34" s="55" t="s">
        <v>64</v>
      </c>
      <c r="B34" s="9">
        <f>VLOOKUP($A34,Costdrivere!$A$1:$I$69,2,FALSE)</f>
        <v>5801758</v>
      </c>
      <c r="C34" s="11">
        <f>VLOOKUP($A34,Costdrivere!$A$1:$I$69,3,FALSE)</f>
        <v>6336534</v>
      </c>
      <c r="D34" s="11">
        <f>VLOOKUP($A34,Costdrivere!$A$1:$I$69,4,FALSE)</f>
        <v>662627</v>
      </c>
      <c r="E34" s="11">
        <f>VLOOKUP($A34,Costdrivere!$A$1:$I$69,5,FALSE)</f>
        <v>155551.19999999998</v>
      </c>
      <c r="F34" s="11">
        <f>VLOOKUP($A34,Costdrivere!$A$1:$I$69,6,FALSE)</f>
        <v>10718700.67701917</v>
      </c>
      <c r="G34" s="11">
        <f>VLOOKUP($A34,Costdrivere!$A$1:$I$69,7,FALSE)</f>
        <v>2824767.7</v>
      </c>
      <c r="H34" s="11">
        <f>VLOOKUP($A34,Costdrivere!$A$1:$I$69,8,FALSE)</f>
        <v>132080</v>
      </c>
      <c r="I34" s="15">
        <f>VLOOKUP($A34,Costdrivere!$A$1:$I$69,9,FALSE)</f>
        <v>1791464</v>
      </c>
      <c r="J34" s="98">
        <v>31.15964244570403</v>
      </c>
      <c r="K34" s="49">
        <f>VLOOKUP(A34,Costdrivere!$A$1:$J$69,10,FALSE)</f>
        <v>1.821867321867322E-2</v>
      </c>
      <c r="L34" s="9">
        <f t="shared" si="34"/>
        <v>28423482.577019166</v>
      </c>
      <c r="M34" s="11">
        <f t="shared" si="35"/>
        <v>29149824.184674945</v>
      </c>
      <c r="N34" s="11">
        <f t="shared" si="36"/>
        <v>30569022.874054469</v>
      </c>
      <c r="O34" s="9">
        <f>L34+'Potentialer og krav'!$F33</f>
        <v>28872993.991405465</v>
      </c>
      <c r="P34" s="11">
        <f t="shared" si="17"/>
        <v>29610822.539217159</v>
      </c>
      <c r="Q34" s="11">
        <f t="shared" si="18"/>
        <v>31052465.558155157</v>
      </c>
      <c r="R34" s="9">
        <f>O34+(0.2*'Potentialer og krav'!$C33)</f>
        <v>33727827.991405465</v>
      </c>
      <c r="S34" s="11">
        <f>P34+(0.2*'Potentialer og krav'!$C33)</f>
        <v>34465656.539217159</v>
      </c>
      <c r="T34" s="15">
        <f>Q34+(0.2*'Potentialer og krav'!$C33)</f>
        <v>35907299.558155157</v>
      </c>
      <c r="U34" s="11">
        <v>26177591</v>
      </c>
      <c r="V34" s="20">
        <f t="shared" si="37"/>
        <v>26989096.320999999</v>
      </c>
      <c r="X34" s="134">
        <f t="shared" si="19"/>
        <v>0.20411847789161533</v>
      </c>
      <c r="Y34" s="85">
        <f t="shared" si="20"/>
        <v>0.22293306187339576</v>
      </c>
      <c r="Z34" s="85">
        <f t="shared" si="21"/>
        <v>2.3312660515982808E-2</v>
      </c>
      <c r="AA34" s="85">
        <f t="shared" si="22"/>
        <v>5.4726298784289569E-3</v>
      </c>
      <c r="AB34" s="85">
        <f t="shared" si="23"/>
        <v>0.37710722632157007</v>
      </c>
      <c r="AC34" s="85">
        <f t="shared" si="24"/>
        <v>9.9381477704068161E-2</v>
      </c>
      <c r="AD34" s="85">
        <f t="shared" si="25"/>
        <v>4.6468619614821148E-3</v>
      </c>
      <c r="AE34" s="88">
        <f t="shared" si="26"/>
        <v>6.3027603853456959E-2</v>
      </c>
      <c r="AF34" s="32"/>
      <c r="AG34" s="70">
        <f t="shared" si="14"/>
        <v>0.29045874226105506</v>
      </c>
      <c r="AI34" s="134">
        <f t="shared" si="38"/>
        <v>9.6690982955789928E-3</v>
      </c>
      <c r="AJ34" s="85">
        <f t="shared" si="39"/>
        <v>-2.7154896802502992E-2</v>
      </c>
      <c r="AK34" s="85">
        <f t="shared" si="40"/>
        <v>-3.3289689354288922E-3</v>
      </c>
      <c r="AL34" s="85">
        <f t="shared" si="41"/>
        <v>7.8352883641191577E-3</v>
      </c>
      <c r="AM34" s="85">
        <f t="shared" si="42"/>
        <v>-2.4954366298022668E-2</v>
      </c>
      <c r="AN34" s="85">
        <f t="shared" si="43"/>
        <v>3.540781877242391E-2</v>
      </c>
      <c r="AO34" s="85">
        <f t="shared" si="44"/>
        <v>-4.0919686540870793E-3</v>
      </c>
      <c r="AP34" s="88">
        <f t="shared" si="45"/>
        <v>6.6179952579193957E-3</v>
      </c>
      <c r="AR34" s="90">
        <f t="shared" si="15"/>
        <v>0.29045874226105506</v>
      </c>
      <c r="AS34" s="80">
        <f t="shared" si="46"/>
        <v>1.2391007074982752E-2</v>
      </c>
      <c r="AT34" s="128">
        <f t="shared" si="47"/>
        <v>0</v>
      </c>
    </row>
    <row r="35" spans="1:46" x14ac:dyDescent="0.25">
      <c r="A35" s="55" t="s">
        <v>65</v>
      </c>
      <c r="B35" s="9">
        <f>VLOOKUP($A35,Costdrivere!$A$1:$I$69,2,FALSE)</f>
        <v>1201814.3999999997</v>
      </c>
      <c r="C35" s="11">
        <f>VLOOKUP($A35,Costdrivere!$A$1:$I$69,3,FALSE)</f>
        <v>0</v>
      </c>
      <c r="D35" s="11">
        <f>VLOOKUP($A35,Costdrivere!$A$1:$I$69,4,FALSE)</f>
        <v>0</v>
      </c>
      <c r="E35" s="11">
        <f>VLOOKUP($A35,Costdrivere!$A$1:$I$69,5,FALSE)</f>
        <v>0</v>
      </c>
      <c r="F35" s="11">
        <f>VLOOKUP($A35,Costdrivere!$A$1:$I$69,6,FALSE)</f>
        <v>10933325.186828353</v>
      </c>
      <c r="G35" s="11">
        <f>VLOOKUP($A35,Costdrivere!$A$1:$I$69,7,FALSE)</f>
        <v>9163061</v>
      </c>
      <c r="H35" s="11">
        <f>VLOOKUP($A35,Costdrivere!$A$1:$I$69,8,FALSE)</f>
        <v>0</v>
      </c>
      <c r="I35" s="15">
        <f>VLOOKUP($A35,Costdrivere!$A$1:$I$69,9,FALSE)</f>
        <v>0</v>
      </c>
      <c r="J35" s="98">
        <v>46</v>
      </c>
      <c r="K35" s="49">
        <f>VLOOKUP(A35,Costdrivere!$A$1:$J$69,10,FALSE)</f>
        <v>0</v>
      </c>
      <c r="L35" s="9">
        <f t="shared" si="34"/>
        <v>21298200.586828351</v>
      </c>
      <c r="M35" s="11">
        <f t="shared" si="35"/>
        <v>26899627.341164205</v>
      </c>
      <c r="N35" s="11">
        <f t="shared" si="36"/>
        <v>15313406.221929584</v>
      </c>
      <c r="O35" s="9">
        <f>L35+'Potentialer og krav'!$F34</f>
        <v>21298200.586828351</v>
      </c>
      <c r="P35" s="11">
        <f t="shared" ref="P35:P61" si="48">(0.527+0.016*J35)*O35</f>
        <v>26899627.341164205</v>
      </c>
      <c r="Q35" s="11">
        <f t="shared" ref="Q35:Q61" si="49">(0.719+19.567*K35)*O35</f>
        <v>15313406.221929584</v>
      </c>
      <c r="R35" s="9">
        <f>O35+(0.2*'Potentialer og krav'!$C34)</f>
        <v>27479256.586828351</v>
      </c>
      <c r="S35" s="11">
        <f>P35+(0.2*'Potentialer og krav'!$C34)</f>
        <v>33080683.341164205</v>
      </c>
      <c r="T35" s="15">
        <f>Q35+(0.2*'Potentialer og krav'!$C34)</f>
        <v>21494462.221929584</v>
      </c>
      <c r="U35" s="11">
        <v>29128125</v>
      </c>
      <c r="V35" s="20">
        <f t="shared" si="37"/>
        <v>30031096.874999996</v>
      </c>
      <c r="X35" s="134">
        <f t="shared" si="19"/>
        <v>5.6427978274523775E-2</v>
      </c>
      <c r="Y35" s="85">
        <f t="shared" si="20"/>
        <v>0</v>
      </c>
      <c r="Z35" s="85">
        <f t="shared" si="21"/>
        <v>0</v>
      </c>
      <c r="AA35" s="85">
        <f t="shared" si="22"/>
        <v>0</v>
      </c>
      <c r="AB35" s="85">
        <f t="shared" si="23"/>
        <v>0.51334501909001429</v>
      </c>
      <c r="AC35" s="85">
        <f t="shared" si="24"/>
        <v>0.43022700263546204</v>
      </c>
      <c r="AD35" s="85">
        <f t="shared" si="25"/>
        <v>0</v>
      </c>
      <c r="AE35" s="88">
        <f t="shared" si="26"/>
        <v>0</v>
      </c>
      <c r="AF35" s="32"/>
      <c r="AG35" s="70">
        <f t="shared" ref="AG35:AG61" si="50">X35+Z35+AE35</f>
        <v>5.6427978274523775E-2</v>
      </c>
      <c r="AI35" s="134">
        <f t="shared" si="38"/>
        <v>0.15735959791267054</v>
      </c>
      <c r="AJ35" s="85">
        <f t="shared" si="39"/>
        <v>0.19577816507089277</v>
      </c>
      <c r="AK35" s="85">
        <f t="shared" si="40"/>
        <v>1.9983691580553915E-2</v>
      </c>
      <c r="AL35" s="85">
        <f t="shared" si="41"/>
        <v>1.3307918242548115E-2</v>
      </c>
      <c r="AM35" s="85">
        <f t="shared" si="42"/>
        <v>-0.16119215906646689</v>
      </c>
      <c r="AN35" s="85">
        <f t="shared" si="43"/>
        <v>-0.29543770615896997</v>
      </c>
      <c r="AO35" s="85">
        <f t="shared" si="44"/>
        <v>5.5489330739503563E-4</v>
      </c>
      <c r="AP35" s="88">
        <f t="shared" si="45"/>
        <v>6.9645599111376355E-2</v>
      </c>
      <c r="AR35" s="90">
        <f t="shared" si="15"/>
        <v>5.6427978274523775E-2</v>
      </c>
      <c r="AS35" s="80">
        <f t="shared" si="46"/>
        <v>0.24642177106151403</v>
      </c>
      <c r="AT35" s="128">
        <f t="shared" si="47"/>
        <v>0</v>
      </c>
    </row>
    <row r="36" spans="1:46" x14ac:dyDescent="0.25">
      <c r="A36" s="55" t="s">
        <v>66</v>
      </c>
      <c r="B36" s="9">
        <f>VLOOKUP($A36,Costdrivere!$A$1:$I$69,2,FALSE)</f>
        <v>0</v>
      </c>
      <c r="C36" s="11">
        <f>VLOOKUP($A36,Costdrivere!$A$1:$I$69,3,FALSE)</f>
        <v>0</v>
      </c>
      <c r="D36" s="11">
        <f>VLOOKUP($A36,Costdrivere!$A$1:$I$69,4,FALSE)</f>
        <v>0</v>
      </c>
      <c r="E36" s="11">
        <f>VLOOKUP($A36,Costdrivere!$A$1:$I$69,5,FALSE)</f>
        <v>19029.359999999997</v>
      </c>
      <c r="F36" s="11">
        <f>VLOOKUP($A36,Costdrivere!$A$1:$I$69,6,FALSE)</f>
        <v>6354692.9117957158</v>
      </c>
      <c r="G36" s="11">
        <f>VLOOKUP($A36,Costdrivere!$A$1:$I$69,7,FALSE)</f>
        <v>3442082.5</v>
      </c>
      <c r="H36" s="11">
        <f>VLOOKUP($A36,Costdrivere!$A$1:$I$69,8,FALSE)</f>
        <v>0</v>
      </c>
      <c r="I36" s="15">
        <f>VLOOKUP($A36,Costdrivere!$A$1:$I$69,9,FALSE)</f>
        <v>724.8</v>
      </c>
      <c r="J36" s="98">
        <v>0</v>
      </c>
      <c r="K36" s="49">
        <f>VLOOKUP(A36,Costdrivere!$A$1:$J$69,10,FALSE)</f>
        <v>0</v>
      </c>
      <c r="L36" s="9">
        <f t="shared" si="34"/>
        <v>9816529.5717957169</v>
      </c>
      <c r="M36" s="11">
        <f t="shared" si="35"/>
        <v>5173311.0843363432</v>
      </c>
      <c r="N36" s="11">
        <v>0</v>
      </c>
      <c r="O36" s="9">
        <f>L36+'Potentialer og krav'!$F35</f>
        <v>9816529.5717957169</v>
      </c>
      <c r="P36" s="11">
        <f t="shared" si="48"/>
        <v>5173311.0843363432</v>
      </c>
      <c r="Q36" s="11">
        <f t="shared" si="49"/>
        <v>7058084.7621211205</v>
      </c>
      <c r="R36" s="9">
        <f>O36+(0.2*'Potentialer og krav'!$C35)</f>
        <v>12603165.171795717</v>
      </c>
      <c r="S36" s="11">
        <f>P36+(0.2*'Potentialer og krav'!$C35)</f>
        <v>7959946.6843363438</v>
      </c>
      <c r="T36" s="15">
        <f>Q36+(0.2*'Potentialer og krav'!$C35)</f>
        <v>9844720.3621211201</v>
      </c>
      <c r="U36" s="11">
        <v>12387324</v>
      </c>
      <c r="V36" s="20">
        <f t="shared" si="37"/>
        <v>12771331.044</v>
      </c>
      <c r="X36" s="134">
        <f t="shared" si="19"/>
        <v>0</v>
      </c>
      <c r="Y36" s="85">
        <f t="shared" si="20"/>
        <v>0</v>
      </c>
      <c r="Z36" s="85">
        <f t="shared" si="21"/>
        <v>0</v>
      </c>
      <c r="AA36" s="85">
        <f t="shared" si="22"/>
        <v>1.9385017750747728E-3</v>
      </c>
      <c r="AB36" s="85">
        <f t="shared" si="23"/>
        <v>0.64734617924991034</v>
      </c>
      <c r="AC36" s="85">
        <f t="shared" si="24"/>
        <v>0.35064148432757658</v>
      </c>
      <c r="AD36" s="85">
        <f t="shared" si="25"/>
        <v>0</v>
      </c>
      <c r="AE36" s="88">
        <f t="shared" si="26"/>
        <v>7.3834647438179496E-5</v>
      </c>
      <c r="AF36" s="32"/>
      <c r="AG36" s="70">
        <f t="shared" si="50"/>
        <v>7.3834647438179496E-5</v>
      </c>
      <c r="AI36" s="134">
        <f t="shared" si="38"/>
        <v>0.21378757618719432</v>
      </c>
      <c r="AJ36" s="85">
        <f t="shared" si="39"/>
        <v>0.19577816507089277</v>
      </c>
      <c r="AK36" s="85">
        <f t="shared" si="40"/>
        <v>1.9983691580553915E-2</v>
      </c>
      <c r="AL36" s="85">
        <f t="shared" si="41"/>
        <v>1.1369416467473343E-2</v>
      </c>
      <c r="AM36" s="85">
        <f t="shared" si="42"/>
        <v>-0.29519331922636294</v>
      </c>
      <c r="AN36" s="85">
        <f t="shared" si="43"/>
        <v>-0.21585218785108451</v>
      </c>
      <c r="AO36" s="85">
        <f t="shared" si="44"/>
        <v>5.5489330739503563E-4</v>
      </c>
      <c r="AP36" s="88">
        <f t="shared" si="45"/>
        <v>6.9571764463938174E-2</v>
      </c>
      <c r="AR36" s="90">
        <f t="shared" ref="AR36:AR61" si="51">X36+Z36+AE36</f>
        <v>7.3834647438179496E-5</v>
      </c>
      <c r="AS36" s="80">
        <f t="shared" si="46"/>
        <v>0.30277591468859966</v>
      </c>
      <c r="AT36" s="128">
        <f t="shared" si="47"/>
        <v>0</v>
      </c>
    </row>
    <row r="37" spans="1:46" x14ac:dyDescent="0.25">
      <c r="A37" s="55" t="s">
        <v>67</v>
      </c>
      <c r="B37" s="9">
        <f>VLOOKUP($A37,Costdrivere!$A$1:$I$69,2,FALSE)</f>
        <v>2999578.9999999995</v>
      </c>
      <c r="C37" s="11">
        <f>VLOOKUP($A37,Costdrivere!$A$1:$I$69,3,FALSE)</f>
        <v>2504294</v>
      </c>
      <c r="D37" s="11">
        <f>VLOOKUP($A37,Costdrivere!$A$1:$I$69,4,FALSE)</f>
        <v>459782</v>
      </c>
      <c r="E37" s="11">
        <f>VLOOKUP($A37,Costdrivere!$A$1:$I$69,5,FALSE)</f>
        <v>0</v>
      </c>
      <c r="F37" s="11">
        <f>VLOOKUP($A37,Costdrivere!$A$1:$I$69,6,FALSE)</f>
        <v>9790664.0312543996</v>
      </c>
      <c r="G37" s="11">
        <f>VLOOKUP($A37,Costdrivere!$A$1:$I$69,7,FALSE)</f>
        <v>2379240</v>
      </c>
      <c r="H37" s="11">
        <f>VLOOKUP($A37,Costdrivere!$A$1:$I$69,8,FALSE)</f>
        <v>0</v>
      </c>
      <c r="I37" s="15">
        <f>VLOOKUP($A37,Costdrivere!$A$1:$I$69,9,FALSE)</f>
        <v>1458901.5999999999</v>
      </c>
      <c r="J37" s="98">
        <v>30.322771252090316</v>
      </c>
      <c r="K37" s="49">
        <f>VLOOKUP(A37,Costdrivere!$A$1:$J$69,10,FALSE)</f>
        <v>1.7228245363766048E-2</v>
      </c>
      <c r="L37" s="9">
        <f t="shared" si="34"/>
        <v>19592460.631254401</v>
      </c>
      <c r="M37" s="11">
        <f t="shared" si="35"/>
        <v>19830789.984464865</v>
      </c>
      <c r="N37" s="11">
        <f t="shared" si="36"/>
        <v>20691697.144233231</v>
      </c>
      <c r="O37" s="9">
        <f>L37+'Potentialer og krav'!$F36</f>
        <v>19592460.631254401</v>
      </c>
      <c r="P37" s="11">
        <f t="shared" si="48"/>
        <v>19830789.984464865</v>
      </c>
      <c r="Q37" s="11">
        <f t="shared" si="49"/>
        <v>20691697.144233231</v>
      </c>
      <c r="R37" s="9">
        <f>O37+(0.2*'Potentialer og krav'!$C36)</f>
        <v>23746297.8312544</v>
      </c>
      <c r="S37" s="11">
        <f>P37+(0.2*'Potentialer og krav'!$C36)</f>
        <v>23984627.184464864</v>
      </c>
      <c r="T37" s="15">
        <f>Q37+(0.2*'Potentialer og krav'!$C36)</f>
        <v>24845534.34423323</v>
      </c>
      <c r="U37" s="11">
        <v>19568040</v>
      </c>
      <c r="V37" s="20">
        <f t="shared" si="37"/>
        <v>20174649.239999998</v>
      </c>
      <c r="X37" s="134">
        <f t="shared" si="19"/>
        <v>0.15309863607509275</v>
      </c>
      <c r="Y37" s="85">
        <f t="shared" si="20"/>
        <v>0.12781926921445921</v>
      </c>
      <c r="Z37" s="85">
        <f t="shared" si="21"/>
        <v>2.3467292273975218E-2</v>
      </c>
      <c r="AA37" s="85">
        <f t="shared" si="22"/>
        <v>0</v>
      </c>
      <c r="AB37" s="85">
        <f t="shared" si="23"/>
        <v>0.4997158966156644</v>
      </c>
      <c r="AC37" s="85">
        <f t="shared" si="24"/>
        <v>0.12143650788837491</v>
      </c>
      <c r="AD37" s="85">
        <f t="shared" si="25"/>
        <v>0</v>
      </c>
      <c r="AE37" s="88">
        <f t="shared" si="26"/>
        <v>7.4462397932433366E-2</v>
      </c>
      <c r="AF37" s="32"/>
      <c r="AG37" s="70">
        <f t="shared" si="50"/>
        <v>0.25102832628150135</v>
      </c>
      <c r="AI37" s="134">
        <f t="shared" si="38"/>
        <v>6.0688940112101575E-2</v>
      </c>
      <c r="AJ37" s="85">
        <f t="shared" si="39"/>
        <v>6.7958895856433554E-2</v>
      </c>
      <c r="AK37" s="85">
        <f t="shared" si="40"/>
        <v>-3.4836006934213029E-3</v>
      </c>
      <c r="AL37" s="85">
        <f t="shared" si="41"/>
        <v>1.3307918242548115E-2</v>
      </c>
      <c r="AM37" s="85">
        <f t="shared" si="42"/>
        <v>-0.147563036592117</v>
      </c>
      <c r="AN37" s="85">
        <f t="shared" si="43"/>
        <v>1.3352788588117157E-2</v>
      </c>
      <c r="AO37" s="85">
        <f t="shared" si="44"/>
        <v>5.5489330739503563E-4</v>
      </c>
      <c r="AP37" s="88">
        <f t="shared" si="45"/>
        <v>-4.8167988210570112E-3</v>
      </c>
      <c r="AR37" s="90">
        <f t="shared" si="51"/>
        <v>0.25102832628150135</v>
      </c>
      <c r="AS37" s="80">
        <f t="shared" si="46"/>
        <v>5.1821423054536464E-2</v>
      </c>
      <c r="AT37" s="128">
        <f t="shared" si="47"/>
        <v>0</v>
      </c>
    </row>
    <row r="38" spans="1:46" x14ac:dyDescent="0.25">
      <c r="A38" s="55" t="s">
        <v>68</v>
      </c>
      <c r="B38" s="9">
        <f>VLOOKUP($A38,Costdrivere!$A$1:$I$69,2,FALSE)</f>
        <v>10666170</v>
      </c>
      <c r="C38" s="11">
        <f>VLOOKUP($A38,Costdrivere!$A$1:$I$69,3,FALSE)</f>
        <v>12583469</v>
      </c>
      <c r="D38" s="11">
        <f>VLOOKUP($A38,Costdrivere!$A$1:$I$69,4,FALSE)</f>
        <v>1108886</v>
      </c>
      <c r="E38" s="11">
        <f>VLOOKUP($A38,Costdrivere!$A$1:$I$69,5,FALSE)</f>
        <v>392332.49999999994</v>
      </c>
      <c r="F38" s="11">
        <f>VLOOKUP($A38,Costdrivere!$A$1:$I$69,6,FALSE)</f>
        <v>15764614.093213849</v>
      </c>
      <c r="G38" s="11">
        <f>VLOOKUP($A38,Costdrivere!$A$1:$I$69,7,FALSE)</f>
        <v>7742038.9000000004</v>
      </c>
      <c r="H38" s="11">
        <f>VLOOKUP($A38,Costdrivere!$A$1:$I$69,8,FALSE)</f>
        <v>0</v>
      </c>
      <c r="I38" s="15">
        <f>VLOOKUP($A38,Costdrivere!$A$1:$I$69,9,FALSE)</f>
        <v>2944983.1999999997</v>
      </c>
      <c r="J38" s="98">
        <v>35.405782542069993</v>
      </c>
      <c r="K38" s="49">
        <f>VLOOKUP(A38,Costdrivere!$A$1:$J$69,10,FALSE)</f>
        <v>1.6618268575323791E-2</v>
      </c>
      <c r="L38" s="9">
        <f t="shared" si="34"/>
        <v>51202493.69321385</v>
      </c>
      <c r="M38" s="11">
        <f t="shared" si="35"/>
        <v>55989543.893341944</v>
      </c>
      <c r="N38" s="11">
        <f t="shared" si="36"/>
        <v>53464090.492922343</v>
      </c>
      <c r="O38" s="9">
        <f>L38+'Potentialer og krav'!$F37</f>
        <v>58199572.722575396</v>
      </c>
      <c r="P38" s="11">
        <f t="shared" si="48"/>
        <v>63640797.478507534</v>
      </c>
      <c r="Q38" s="11">
        <f t="shared" si="49"/>
        <v>60770228.132493898</v>
      </c>
      <c r="R38" s="9">
        <f>O38+(0.2*'Potentialer og krav'!$C37)</f>
        <v>68480639.922575399</v>
      </c>
      <c r="S38" s="11">
        <f>P38+(0.2*'Potentialer og krav'!$C37)</f>
        <v>73921864.678507537</v>
      </c>
      <c r="T38" s="15">
        <f>Q38+(0.2*'Potentialer og krav'!$C37)</f>
        <v>71051295.332493901</v>
      </c>
      <c r="U38" s="11">
        <v>51617951</v>
      </c>
      <c r="V38" s="20">
        <f t="shared" si="37"/>
        <v>53218107.480999999</v>
      </c>
      <c r="X38" s="134">
        <f t="shared" si="19"/>
        <v>0.20831348691545556</v>
      </c>
      <c r="Y38" s="85">
        <f t="shared" si="20"/>
        <v>0.24575890923194932</v>
      </c>
      <c r="Z38" s="85">
        <f t="shared" si="21"/>
        <v>2.1656874890586954E-2</v>
      </c>
      <c r="AA38" s="85">
        <f t="shared" si="22"/>
        <v>7.6623709452650728E-3</v>
      </c>
      <c r="AB38" s="85">
        <f t="shared" si="23"/>
        <v>0.30788762335814163</v>
      </c>
      <c r="AC38" s="85">
        <f t="shared" si="24"/>
        <v>0.15120433286682081</v>
      </c>
      <c r="AD38" s="85">
        <f t="shared" si="25"/>
        <v>0</v>
      </c>
      <c r="AE38" s="88">
        <f t="shared" si="26"/>
        <v>5.7516401791780594E-2</v>
      </c>
      <c r="AF38" s="32"/>
      <c r="AG38" s="70">
        <f t="shared" si="50"/>
        <v>0.2874867635978231</v>
      </c>
      <c r="AI38" s="134">
        <f t="shared" si="38"/>
        <v>5.4740892717387579E-3</v>
      </c>
      <c r="AJ38" s="85">
        <f t="shared" si="39"/>
        <v>-4.9980744161056551E-2</v>
      </c>
      <c r="AK38" s="85">
        <f t="shared" si="40"/>
        <v>-1.6731833100330391E-3</v>
      </c>
      <c r="AL38" s="85">
        <f t="shared" si="41"/>
        <v>5.6455472972830427E-3</v>
      </c>
      <c r="AM38" s="85">
        <f t="shared" si="42"/>
        <v>4.4265236665405772E-2</v>
      </c>
      <c r="AN38" s="85">
        <f t="shared" si="43"/>
        <v>-1.6415036390328736E-2</v>
      </c>
      <c r="AO38" s="85">
        <f t="shared" si="44"/>
        <v>5.5489330739503563E-4</v>
      </c>
      <c r="AP38" s="88">
        <f t="shared" si="45"/>
        <v>1.2129197319595761E-2</v>
      </c>
      <c r="AR38" s="90">
        <f t="shared" si="51"/>
        <v>0.2874867635978231</v>
      </c>
      <c r="AS38" s="80">
        <f t="shared" si="46"/>
        <v>1.5362985738214707E-2</v>
      </c>
      <c r="AT38" s="128">
        <f t="shared" si="47"/>
        <v>0</v>
      </c>
    </row>
    <row r="39" spans="1:46" x14ac:dyDescent="0.25">
      <c r="A39" s="55" t="s">
        <v>69</v>
      </c>
      <c r="B39" s="9">
        <f>VLOOKUP($A39,Costdrivere!$A$1:$I$69,2,FALSE)</f>
        <v>2909720</v>
      </c>
      <c r="C39" s="11">
        <f>VLOOKUP($A39,Costdrivere!$A$1:$I$69,3,FALSE)</f>
        <v>3489857</v>
      </c>
      <c r="D39" s="11">
        <f>VLOOKUP($A39,Costdrivere!$A$1:$I$69,4,FALSE)</f>
        <v>540920</v>
      </c>
      <c r="E39" s="11">
        <f>VLOOKUP($A39,Costdrivere!$A$1:$I$69,5,FALSE)</f>
        <v>0</v>
      </c>
      <c r="F39" s="11">
        <f>VLOOKUP($A39,Costdrivere!$A$1:$I$69,6,FALSE)</f>
        <v>3603357.2239353405</v>
      </c>
      <c r="G39" s="11">
        <f>VLOOKUP($A39,Costdrivere!$A$1:$I$69,7,FALSE)</f>
        <v>1210663.5</v>
      </c>
      <c r="H39" s="11">
        <f>VLOOKUP($A39,Costdrivere!$A$1:$I$69,8,FALSE)</f>
        <v>0</v>
      </c>
      <c r="I39" s="15">
        <f>VLOOKUP($A39,Costdrivere!$A$1:$I$69,9,FALSE)</f>
        <v>1146754.3999999999</v>
      </c>
      <c r="J39" s="98">
        <v>30.010476741369253</v>
      </c>
      <c r="K39" s="49">
        <f>VLOOKUP(A39,Costdrivere!$A$1:$J$69,10,FALSE)</f>
        <v>1.3960294117647059E-2</v>
      </c>
      <c r="L39" s="9">
        <f t="shared" si="34"/>
        <v>12901272.12393534</v>
      </c>
      <c r="M39" s="11">
        <f t="shared" si="35"/>
        <v>12993743.641464919</v>
      </c>
      <c r="N39" s="11">
        <f t="shared" si="36"/>
        <v>12800140.01935122</v>
      </c>
      <c r="O39" s="9">
        <f>L39+'Potentialer og krav'!$F38</f>
        <v>13038797.12393534</v>
      </c>
      <c r="P39" s="11">
        <f t="shared" si="48"/>
        <v>13132254.369486626</v>
      </c>
      <c r="Q39" s="11">
        <f t="shared" si="49"/>
        <v>12936586.971190594</v>
      </c>
      <c r="R39" s="9">
        <f>O39+(0.2*'Potentialer og krav'!$C38)</f>
        <v>15593944.52393534</v>
      </c>
      <c r="S39" s="11">
        <f>P39+(0.2*'Potentialer og krav'!$C38)</f>
        <v>15687401.769486627</v>
      </c>
      <c r="T39" s="15">
        <f>Q39+(0.2*'Potentialer og krav'!$C38)</f>
        <v>15491734.371190595</v>
      </c>
      <c r="U39" s="11">
        <v>12955297</v>
      </c>
      <c r="V39" s="20">
        <f t="shared" si="37"/>
        <v>13356911.206999999</v>
      </c>
      <c r="X39" s="134">
        <f t="shared" si="19"/>
        <v>0.22553744871419962</v>
      </c>
      <c r="Y39" s="85">
        <f t="shared" si="20"/>
        <v>0.27050487474993834</v>
      </c>
      <c r="Z39" s="85">
        <f t="shared" si="21"/>
        <v>4.1927648281788236E-2</v>
      </c>
      <c r="AA39" s="85">
        <f t="shared" si="22"/>
        <v>0</v>
      </c>
      <c r="AB39" s="85">
        <f t="shared" si="23"/>
        <v>0.27930247415292797</v>
      </c>
      <c r="AC39" s="85">
        <f t="shared" si="24"/>
        <v>9.3840629696810493E-2</v>
      </c>
      <c r="AD39" s="85">
        <f t="shared" si="25"/>
        <v>0</v>
      </c>
      <c r="AE39" s="88">
        <f t="shared" si="26"/>
        <v>8.8886924404335377E-2</v>
      </c>
      <c r="AF39" s="32"/>
      <c r="AG39" s="70">
        <f t="shared" si="50"/>
        <v>0.35635202140032324</v>
      </c>
      <c r="AI39" s="134">
        <f t="shared" si="38"/>
        <v>-1.1749872527005295E-2</v>
      </c>
      <c r="AJ39" s="85">
        <f t="shared" si="39"/>
        <v>-7.4726709679045572E-2</v>
      </c>
      <c r="AK39" s="85">
        <f t="shared" si="40"/>
        <v>-2.1943956701234321E-2</v>
      </c>
      <c r="AL39" s="85">
        <f t="shared" si="41"/>
        <v>1.3307918242548115E-2</v>
      </c>
      <c r="AM39" s="85">
        <f t="shared" si="42"/>
        <v>7.2850385870619427E-2</v>
      </c>
      <c r="AN39" s="85">
        <f t="shared" si="43"/>
        <v>4.0948666779681578E-2</v>
      </c>
      <c r="AO39" s="85">
        <f t="shared" si="44"/>
        <v>5.5489330739503563E-4</v>
      </c>
      <c r="AP39" s="88">
        <f t="shared" si="45"/>
        <v>-1.9241325292959022E-2</v>
      </c>
      <c r="AR39" s="90">
        <f t="shared" si="51"/>
        <v>0.35635202140032324</v>
      </c>
      <c r="AS39" s="80">
        <f t="shared" si="46"/>
        <v>-5.3502272064285428E-2</v>
      </c>
      <c r="AT39" s="128">
        <f t="shared" si="47"/>
        <v>0</v>
      </c>
    </row>
    <row r="40" spans="1:46" s="279" customFormat="1" x14ac:dyDescent="0.25">
      <c r="A40" s="331" t="s">
        <v>161</v>
      </c>
      <c r="B40" s="332">
        <f>VLOOKUP($A40,Costdrivere!$A$1:$I$69,2,FALSE)</f>
        <v>0</v>
      </c>
      <c r="C40" s="333">
        <f>VLOOKUP($A40,Costdrivere!$A$1:$I$69,3,FALSE)</f>
        <v>0</v>
      </c>
      <c r="D40" s="333">
        <f>VLOOKUP($A40,Costdrivere!$A$1:$I$69,4,FALSE)</f>
        <v>0</v>
      </c>
      <c r="E40" s="333">
        <f>VLOOKUP($A40,Costdrivere!$A$1:$I$69,5,FALSE)</f>
        <v>0</v>
      </c>
      <c r="F40" s="333">
        <f>VLOOKUP($A40,Costdrivere!$A$1:$I$69,6,FALSE)</f>
        <v>23389431.966303773</v>
      </c>
      <c r="G40" s="333">
        <f>VLOOKUP($A40,Costdrivere!$A$1:$I$69,7,FALSE)</f>
        <v>5739912.4000000004</v>
      </c>
      <c r="H40" s="333">
        <f>VLOOKUP($A40,Costdrivere!$A$1:$I$69,8,FALSE)</f>
        <v>0</v>
      </c>
      <c r="I40" s="334">
        <f>VLOOKUP($A40,Costdrivere!$A$1:$I$69,9,FALSE)</f>
        <v>241.6</v>
      </c>
      <c r="J40" s="335">
        <v>0</v>
      </c>
      <c r="K40" s="336">
        <f>VLOOKUP(A40,Costdrivere!$A$1:$J$69,10,FALSE)</f>
        <v>0</v>
      </c>
      <c r="L40" s="332">
        <f t="shared" ref="L40" si="52">SUM(B40:I40)</f>
        <v>29129585.966303773</v>
      </c>
      <c r="M40" s="333">
        <f t="shared" ref="M40" si="53">(0.527+0.016*J40)*L40</f>
        <v>15351291.804242089</v>
      </c>
      <c r="N40" s="333">
        <f t="shared" ref="N40" si="54">(0.719+19.567*K40)*L40</f>
        <v>20944172.309772413</v>
      </c>
      <c r="O40" s="332">
        <f>L40+'Potentialer og krav'!$F40</f>
        <v>29814603.966303773</v>
      </c>
      <c r="P40" s="333">
        <f t="shared" ref="P40" si="55">(0.527+0.016*J40)*O40</f>
        <v>15712296.290242089</v>
      </c>
      <c r="Q40" s="333">
        <f t="shared" ref="Q40" si="56">(0.719+19.567*K40)*O40</f>
        <v>21436700.251772411</v>
      </c>
      <c r="R40" s="332">
        <f>O40+(0.2*'Potentialer og krav'!$C40)</f>
        <v>32602154.642916795</v>
      </c>
      <c r="S40" s="333">
        <f>P40+(0.2*'Potentialer og krav'!$C40)</f>
        <v>18499846.966855109</v>
      </c>
      <c r="T40" s="334">
        <f>Q40+(0.2*'Potentialer og krav'!$C40)</f>
        <v>24224250.928385433</v>
      </c>
      <c r="U40" s="337" t="s">
        <v>162</v>
      </c>
      <c r="V40" s="338" t="s">
        <v>162</v>
      </c>
      <c r="W40" s="339"/>
      <c r="X40" s="340">
        <f t="shared" ref="X40" si="57">B40/(SUM($B40:$I40))</f>
        <v>0</v>
      </c>
      <c r="Y40" s="341">
        <f t="shared" ref="Y40" si="58">C40/(SUM($B40:$I40))</f>
        <v>0</v>
      </c>
      <c r="Z40" s="341">
        <f t="shared" ref="Z40" si="59">D40/(SUM($B40:$I40))</f>
        <v>0</v>
      </c>
      <c r="AA40" s="341">
        <f t="shared" ref="AA40" si="60">E40/(SUM($B40:$I40))</f>
        <v>0</v>
      </c>
      <c r="AB40" s="341">
        <f t="shared" ref="AB40" si="61">F40/(SUM($B40:$I40))</f>
        <v>0.80294419540874917</v>
      </c>
      <c r="AC40" s="341">
        <f t="shared" ref="AC40" si="62">G40/(SUM($B40:$I40))</f>
        <v>0.19704751061823392</v>
      </c>
      <c r="AD40" s="341">
        <f t="shared" ref="AD40" si="63">H40/(SUM($B40:$I40))</f>
        <v>0</v>
      </c>
      <c r="AE40" s="342">
        <f t="shared" ref="AE40" si="64">I40/(SUM($B40:$I40))</f>
        <v>8.2939730169689194E-6</v>
      </c>
      <c r="AF40" s="343"/>
      <c r="AG40" s="344">
        <f t="shared" si="50"/>
        <v>8.2939730169689194E-6</v>
      </c>
      <c r="AH40" s="339"/>
      <c r="AI40" s="340">
        <f t="shared" ref="AI40" si="65">X$63-X40</f>
        <v>0.21378757618719432</v>
      </c>
      <c r="AJ40" s="341">
        <f t="shared" ref="AJ40" si="66">Y$63-Y40</f>
        <v>0.19577816507089277</v>
      </c>
      <c r="AK40" s="341">
        <f t="shared" ref="AK40" si="67">Z$63-Z40</f>
        <v>1.9983691580553915E-2</v>
      </c>
      <c r="AL40" s="341">
        <f t="shared" ref="AL40" si="68">AA$63-AA40</f>
        <v>1.3307918242548115E-2</v>
      </c>
      <c r="AM40" s="341">
        <f t="shared" ref="AM40" si="69">AB$63-AB40</f>
        <v>-0.45079133538520177</v>
      </c>
      <c r="AN40" s="341">
        <f t="shared" ref="AN40" si="70">AC$63-AC40</f>
        <v>-6.2258214141741847E-2</v>
      </c>
      <c r="AO40" s="341">
        <f t="shared" ref="AO40" si="71">AD$63-AD40</f>
        <v>5.5489330739503563E-4</v>
      </c>
      <c r="AP40" s="342">
        <f t="shared" ref="AP40" si="72">AE$63-AE40</f>
        <v>6.963730513835939E-2</v>
      </c>
      <c r="AR40" s="280">
        <f t="shared" ref="AR40" si="73">X40+Z40+AE40</f>
        <v>8.2939730169689194E-6</v>
      </c>
      <c r="AS40" s="281">
        <f t="shared" ref="AS40" si="74">$AG$63-AR40</f>
        <v>0.30284145536302082</v>
      </c>
      <c r="AT40" s="282">
        <f t="shared" ref="AT40" si="75">IF(AS40&lt;$AG$66,(AS40-$AG$66)*0.2782,0)</f>
        <v>0</v>
      </c>
    </row>
    <row r="41" spans="1:46" s="279" customFormat="1" x14ac:dyDescent="0.25">
      <c r="A41" s="331" t="s">
        <v>70</v>
      </c>
      <c r="B41" s="332">
        <f>VLOOKUP($A41,Costdrivere!$A$1:$I$69,2,FALSE)</f>
        <v>5789487</v>
      </c>
      <c r="C41" s="333">
        <f>VLOOKUP($A41,Costdrivere!$A$1:$I$69,3,FALSE)</f>
        <v>6443484</v>
      </c>
      <c r="D41" s="333">
        <f>VLOOKUP($A41,Costdrivere!$A$1:$I$69,4,FALSE)</f>
        <v>649104</v>
      </c>
      <c r="E41" s="333">
        <f>VLOOKUP($A41,Costdrivere!$A$1:$I$69,5,FALSE)</f>
        <v>762872.03999999992</v>
      </c>
      <c r="F41" s="333">
        <f>VLOOKUP($A41,Costdrivere!$A$1:$I$69,6,FALSE)</f>
        <v>0</v>
      </c>
      <c r="G41" s="333">
        <f>VLOOKUP($A41,Costdrivere!$A$1:$I$69,7,FALSE)</f>
        <v>0</v>
      </c>
      <c r="H41" s="333">
        <f>VLOOKUP($A41,Costdrivere!$A$1:$I$69,8,FALSE)</f>
        <v>0</v>
      </c>
      <c r="I41" s="334">
        <f>VLOOKUP($A41,Costdrivere!$A$1:$I$69,9,FALSE)</f>
        <v>2688524.8</v>
      </c>
      <c r="J41" s="335">
        <v>29.611582682168923</v>
      </c>
      <c r="K41" s="336">
        <f>VLOOKUP(A41,Costdrivere!$A$1:$J$69,10,FALSE)</f>
        <v>1.6449371766444936E-2</v>
      </c>
      <c r="L41" s="332">
        <f t="shared" si="34"/>
        <v>16333471.84</v>
      </c>
      <c r="M41" s="333">
        <f t="shared" si="35"/>
        <v>16346298.889712604</v>
      </c>
      <c r="N41" s="333">
        <f t="shared" si="36"/>
        <v>17000936.836837634</v>
      </c>
      <c r="O41" s="332">
        <f>L41+'Potentialer og krav'!$F40</f>
        <v>17018489.84</v>
      </c>
      <c r="P41" s="333">
        <f t="shared" si="48"/>
        <v>17031854.850044988</v>
      </c>
      <c r="Q41" s="333">
        <f t="shared" si="49"/>
        <v>17713947.999692574</v>
      </c>
      <c r="R41" s="332">
        <f>O41+(0.2*'Potentialer og krav'!$C40)</f>
        <v>19806040.516613021</v>
      </c>
      <c r="S41" s="333">
        <f>P41+(0.2*'Potentialer og krav'!$C40)</f>
        <v>19819405.52665801</v>
      </c>
      <c r="T41" s="334">
        <f>Q41+(0.2*'Potentialer og krav'!$C40)</f>
        <v>20501498.676305596</v>
      </c>
      <c r="U41" s="333">
        <v>34945586</v>
      </c>
      <c r="V41" s="345">
        <f t="shared" si="37"/>
        <v>36028899.165999994</v>
      </c>
      <c r="W41" s="339"/>
      <c r="X41" s="340">
        <f t="shared" si="19"/>
        <v>0.35445538197346294</v>
      </c>
      <c r="Y41" s="341">
        <f t="shared" si="20"/>
        <v>0.39449567508483857</v>
      </c>
      <c r="Z41" s="341">
        <f t="shared" si="21"/>
        <v>3.9740724223148387E-2</v>
      </c>
      <c r="AA41" s="341">
        <f t="shared" si="22"/>
        <v>4.6706055361221958E-2</v>
      </c>
      <c r="AB41" s="341">
        <f t="shared" si="23"/>
        <v>0</v>
      </c>
      <c r="AC41" s="341">
        <f t="shared" si="24"/>
        <v>0</v>
      </c>
      <c r="AD41" s="341">
        <f t="shared" si="25"/>
        <v>0</v>
      </c>
      <c r="AE41" s="342">
        <f t="shared" si="26"/>
        <v>0.16460216335732819</v>
      </c>
      <c r="AF41" s="343"/>
      <c r="AG41" s="344">
        <f t="shared" si="50"/>
        <v>0.55879826955393952</v>
      </c>
      <c r="AH41" s="339"/>
      <c r="AI41" s="340">
        <f t="shared" si="38"/>
        <v>-0.14066780578626861</v>
      </c>
      <c r="AJ41" s="341">
        <f t="shared" si="39"/>
        <v>-0.1987175100139458</v>
      </c>
      <c r="AK41" s="341">
        <f t="shared" si="40"/>
        <v>-1.9757032642594471E-2</v>
      </c>
      <c r="AL41" s="341">
        <f t="shared" si="41"/>
        <v>-3.3398137118673843E-2</v>
      </c>
      <c r="AM41" s="341">
        <f t="shared" si="42"/>
        <v>0.3521528600235474</v>
      </c>
      <c r="AN41" s="341">
        <f t="shared" si="43"/>
        <v>0.13478929647649207</v>
      </c>
      <c r="AO41" s="341">
        <f t="shared" si="44"/>
        <v>5.5489330739503563E-4</v>
      </c>
      <c r="AP41" s="342">
        <f t="shared" si="45"/>
        <v>-9.4956564245951836E-2</v>
      </c>
      <c r="AR41" s="280">
        <f t="shared" si="51"/>
        <v>0.55879826955393952</v>
      </c>
      <c r="AS41" s="281">
        <f t="shared" si="46"/>
        <v>-0.25594852021790171</v>
      </c>
      <c r="AT41" s="282">
        <f t="shared" si="47"/>
        <v>-1.0429697149749804E-2</v>
      </c>
    </row>
    <row r="42" spans="1:46" x14ac:dyDescent="0.25">
      <c r="A42" s="55" t="s">
        <v>71</v>
      </c>
      <c r="B42" s="9">
        <f>VLOOKUP($A42,Costdrivere!$A$1:$I$69,2,FALSE)</f>
        <v>4279</v>
      </c>
      <c r="C42" s="11">
        <f>VLOOKUP($A42,Costdrivere!$A$1:$I$69,3,FALSE)</f>
        <v>0</v>
      </c>
      <c r="D42" s="11">
        <f>VLOOKUP($A42,Costdrivere!$A$1:$I$69,4,FALSE)</f>
        <v>0</v>
      </c>
      <c r="E42" s="11">
        <f>VLOOKUP($A42,Costdrivere!$A$1:$I$69,5,FALSE)</f>
        <v>63167.999999999993</v>
      </c>
      <c r="F42" s="11">
        <f>VLOOKUP($A42,Costdrivere!$A$1:$I$69,6,FALSE)</f>
        <v>10653749.459629983</v>
      </c>
      <c r="G42" s="11">
        <f>VLOOKUP($A42,Costdrivere!$A$1:$I$69,7,FALSE)</f>
        <v>5472252</v>
      </c>
      <c r="H42" s="11">
        <f>VLOOKUP($A42,Costdrivere!$A$1:$I$69,8,FALSE)</f>
        <v>0</v>
      </c>
      <c r="I42" s="15">
        <f>VLOOKUP($A42,Costdrivere!$A$1:$I$69,9,FALSE)</f>
        <v>120.8</v>
      </c>
      <c r="J42" s="98">
        <v>36</v>
      </c>
      <c r="K42" s="49">
        <f>VLOOKUP(A42,Costdrivere!$A$1:$J$69,10,FALSE)</f>
        <v>1E-3</v>
      </c>
      <c r="L42" s="9">
        <f t="shared" si="34"/>
        <v>16193569.259629983</v>
      </c>
      <c r="M42" s="11">
        <f t="shared" si="35"/>
        <v>17861506.893371876</v>
      </c>
      <c r="N42" s="11">
        <f>L42</f>
        <v>16193569.259629983</v>
      </c>
      <c r="O42" s="9">
        <f>L42+'Potentialer og krav'!$F41</f>
        <v>17635195.259629983</v>
      </c>
      <c r="P42" s="11">
        <f t="shared" si="48"/>
        <v>19451620.371371876</v>
      </c>
      <c r="Q42" s="11">
        <f>O42</f>
        <v>17635195.259629983</v>
      </c>
      <c r="R42" s="9">
        <f>O42+(0.2*'Potentialer og krav'!$C41)</f>
        <v>20062704.059629984</v>
      </c>
      <c r="S42" s="11">
        <f>P42+(0.2*'Potentialer og krav'!$C41)</f>
        <v>21879129.171371877</v>
      </c>
      <c r="T42" s="15">
        <f>Q42+(0.2*'Potentialer og krav'!$C41)</f>
        <v>20062704.059629984</v>
      </c>
      <c r="U42" s="11">
        <v>10907957</v>
      </c>
      <c r="V42" s="20">
        <f t="shared" si="37"/>
        <v>11246103.666999999</v>
      </c>
      <c r="X42" s="134">
        <f t="shared" si="19"/>
        <v>2.642406952658301E-4</v>
      </c>
      <c r="Y42" s="85">
        <f t="shared" si="20"/>
        <v>0</v>
      </c>
      <c r="Z42" s="85">
        <f t="shared" si="21"/>
        <v>0</v>
      </c>
      <c r="AA42" s="85">
        <f t="shared" si="22"/>
        <v>3.9008077210918326E-3</v>
      </c>
      <c r="AB42" s="85">
        <f t="shared" si="23"/>
        <v>0.65790001505038287</v>
      </c>
      <c r="AC42" s="85">
        <f t="shared" si="24"/>
        <v>0.33792747678191848</v>
      </c>
      <c r="AD42" s="85">
        <f t="shared" si="25"/>
        <v>0</v>
      </c>
      <c r="AE42" s="88">
        <f t="shared" si="26"/>
        <v>7.4597513409937537E-6</v>
      </c>
      <c r="AF42" s="32"/>
      <c r="AG42" s="70">
        <f t="shared" si="50"/>
        <v>2.7170044660682383E-4</v>
      </c>
      <c r="AI42" s="134">
        <f t="shared" si="38"/>
        <v>0.21352333549192848</v>
      </c>
      <c r="AJ42" s="85">
        <f t="shared" si="39"/>
        <v>0.19577816507089277</v>
      </c>
      <c r="AK42" s="85">
        <f t="shared" si="40"/>
        <v>1.9983691580553915E-2</v>
      </c>
      <c r="AL42" s="85">
        <f t="shared" si="41"/>
        <v>9.4071105214562824E-3</v>
      </c>
      <c r="AM42" s="85">
        <f t="shared" si="42"/>
        <v>-0.30574715502683547</v>
      </c>
      <c r="AN42" s="85">
        <f t="shared" si="43"/>
        <v>-0.20313818030542641</v>
      </c>
      <c r="AO42" s="85">
        <f t="shared" si="44"/>
        <v>5.5489330739503563E-4</v>
      </c>
      <c r="AP42" s="88">
        <f t="shared" si="45"/>
        <v>6.9638139360035364E-2</v>
      </c>
      <c r="AR42" s="90">
        <f t="shared" si="51"/>
        <v>2.7170044660682383E-4</v>
      </c>
      <c r="AS42" s="80">
        <f t="shared" si="46"/>
        <v>0.30257804888943096</v>
      </c>
      <c r="AT42" s="128">
        <f t="shared" si="47"/>
        <v>0</v>
      </c>
    </row>
    <row r="43" spans="1:46" x14ac:dyDescent="0.25">
      <c r="A43" s="55" t="s">
        <v>87</v>
      </c>
      <c r="B43" s="9">
        <f>VLOOKUP($A43,Costdrivere!$A$1:$I$69,2,FALSE)</f>
        <v>2387682</v>
      </c>
      <c r="C43" s="11">
        <f>VLOOKUP($A43,Costdrivere!$A$1:$I$69,3,FALSE)</f>
        <v>4898894</v>
      </c>
      <c r="D43" s="11">
        <f>VLOOKUP($A43,Costdrivere!$A$1:$I$69,4,FALSE)</f>
        <v>567966</v>
      </c>
      <c r="E43" s="11">
        <f>VLOOKUP($A43,Costdrivere!$A$1:$I$69,5,FALSE)</f>
        <v>461461.98</v>
      </c>
      <c r="F43" s="11">
        <f>VLOOKUP($A43,Costdrivere!$A$1:$I$69,6,FALSE)</f>
        <v>887320.57461545838</v>
      </c>
      <c r="G43" s="11">
        <f>VLOOKUP($A43,Costdrivere!$A$1:$I$69,7,FALSE)</f>
        <v>0</v>
      </c>
      <c r="H43" s="11">
        <f>VLOOKUP($A43,Costdrivere!$A$1:$I$69,8,FALSE)</f>
        <v>0</v>
      </c>
      <c r="I43" s="15">
        <f>VLOOKUP($A43,Costdrivere!$A$1:$I$69,9,FALSE)</f>
        <v>1045161.6</v>
      </c>
      <c r="J43" s="98">
        <v>32.914626695829099</v>
      </c>
      <c r="K43" s="49">
        <f>VLOOKUP(A43,Costdrivere!$A$1:$J$69,10,FALSE)</f>
        <v>1.5505376344086021E-2</v>
      </c>
      <c r="L43" s="9">
        <f t="shared" si="34"/>
        <v>10248486.154615458</v>
      </c>
      <c r="M43" s="11">
        <f t="shared" si="35"/>
        <v>10798153.739107</v>
      </c>
      <c r="N43" s="11">
        <f t="shared" si="36"/>
        <v>10477987.667996192</v>
      </c>
      <c r="O43" s="9">
        <f>L43+'Potentialer og krav'!$F42</f>
        <v>10248486.154615458</v>
      </c>
      <c r="P43" s="11">
        <f t="shared" si="48"/>
        <v>10798153.739107</v>
      </c>
      <c r="Q43" s="11">
        <f t="shared" si="49"/>
        <v>10477987.667996192</v>
      </c>
      <c r="R43" s="9">
        <f>O43+(0.2*'Potentialer og krav'!$C42)</f>
        <v>12533834.554615458</v>
      </c>
      <c r="S43" s="11">
        <f>P43+(0.2*'Potentialer og krav'!$C42)</f>
        <v>13083502.139107</v>
      </c>
      <c r="T43" s="15">
        <f>Q43+(0.2*'Potentialer og krav'!$C42)</f>
        <v>12763336.067996193</v>
      </c>
      <c r="U43" s="11">
        <v>10795095</v>
      </c>
      <c r="V43" s="20">
        <f t="shared" si="37"/>
        <v>11129742.944999998</v>
      </c>
      <c r="X43" s="134">
        <f t="shared" si="19"/>
        <v>0.23297899455371709</v>
      </c>
      <c r="Y43" s="85">
        <f t="shared" si="20"/>
        <v>0.47801147663099081</v>
      </c>
      <c r="Z43" s="85">
        <f t="shared" si="21"/>
        <v>5.5419502103168046E-2</v>
      </c>
      <c r="AA43" s="85">
        <f t="shared" si="22"/>
        <v>4.5027331162678909E-2</v>
      </c>
      <c r="AB43" s="85">
        <f t="shared" si="23"/>
        <v>8.6580648227333454E-2</v>
      </c>
      <c r="AC43" s="85">
        <f t="shared" si="24"/>
        <v>0</v>
      </c>
      <c r="AD43" s="85">
        <f t="shared" si="25"/>
        <v>0</v>
      </c>
      <c r="AE43" s="88">
        <f t="shared" si="26"/>
        <v>0.10198204732211168</v>
      </c>
      <c r="AF43" s="32"/>
      <c r="AG43" s="70">
        <f t="shared" si="50"/>
        <v>0.39038054397899685</v>
      </c>
      <c r="AI43" s="134">
        <f t="shared" si="38"/>
        <v>-1.9191418366522772E-2</v>
      </c>
      <c r="AJ43" s="85">
        <f t="shared" si="39"/>
        <v>-0.28223331156009801</v>
      </c>
      <c r="AK43" s="85">
        <f t="shared" si="40"/>
        <v>-3.5435810522614131E-2</v>
      </c>
      <c r="AL43" s="85">
        <f t="shared" si="41"/>
        <v>-3.1719412920130793E-2</v>
      </c>
      <c r="AM43" s="85">
        <f t="shared" si="42"/>
        <v>0.26557221179621393</v>
      </c>
      <c r="AN43" s="85">
        <f t="shared" si="43"/>
        <v>0.13478929647649207</v>
      </c>
      <c r="AO43" s="85">
        <f t="shared" si="44"/>
        <v>5.5489330739503563E-4</v>
      </c>
      <c r="AP43" s="88">
        <f t="shared" si="45"/>
        <v>-3.2336448210735322E-2</v>
      </c>
      <c r="AR43" s="90">
        <f t="shared" si="51"/>
        <v>0.39038054397899685</v>
      </c>
      <c r="AS43" s="80">
        <f t="shared" si="46"/>
        <v>-8.7530794642959042E-2</v>
      </c>
      <c r="AT43" s="128">
        <f t="shared" si="47"/>
        <v>0</v>
      </c>
    </row>
    <row r="44" spans="1:46" x14ac:dyDescent="0.25">
      <c r="A44" s="55" t="s">
        <v>72</v>
      </c>
      <c r="B44" s="9">
        <f>VLOOKUP($A44,Costdrivere!$A$1:$I$69,2,FALSE)</f>
        <v>7059256</v>
      </c>
      <c r="C44" s="11">
        <f>VLOOKUP($A44,Costdrivere!$A$1:$I$69,3,FALSE)</f>
        <v>8809779</v>
      </c>
      <c r="D44" s="11">
        <f>VLOOKUP($A44,Costdrivere!$A$1:$I$69,4,FALSE)</f>
        <v>865472</v>
      </c>
      <c r="E44" s="11">
        <f>VLOOKUP($A44,Costdrivere!$A$1:$I$69,5,FALSE)</f>
        <v>659770.0199999999</v>
      </c>
      <c r="F44" s="11">
        <f>VLOOKUP($A44,Costdrivere!$A$1:$I$69,6,FALSE)</f>
        <v>17779270.666418996</v>
      </c>
      <c r="G44" s="11">
        <f>VLOOKUP($A44,Costdrivere!$A$1:$I$69,7,FALSE)</f>
        <v>6201885.6000000006</v>
      </c>
      <c r="H44" s="11">
        <f>VLOOKUP($A44,Costdrivere!$A$1:$I$69,8,FALSE)</f>
        <v>0</v>
      </c>
      <c r="I44" s="15">
        <f>VLOOKUP($A44,Costdrivere!$A$1:$I$69,9,FALSE)</f>
        <v>2710510.4</v>
      </c>
      <c r="J44" s="98">
        <v>36.001801859549438</v>
      </c>
      <c r="K44" s="49">
        <f>VLOOKUP(A44,Costdrivere!$A$1:$J$69,10,FALSE)</f>
        <v>2.5070391061452514E-2</v>
      </c>
      <c r="L44" s="9">
        <f t="shared" si="34"/>
        <v>44085943.686418995</v>
      </c>
      <c r="M44" s="11">
        <f t="shared" si="35"/>
        <v>48628066.872978188</v>
      </c>
      <c r="N44" s="11">
        <f t="shared" si="36"/>
        <v>53324256.430754989</v>
      </c>
      <c r="O44" s="9">
        <f>L44+'Potentialer og krav'!$F43</f>
        <v>61538340.686418995</v>
      </c>
      <c r="P44" s="11">
        <f t="shared" si="48"/>
        <v>67878563.912269309</v>
      </c>
      <c r="Q44" s="11">
        <f t="shared" si="49"/>
        <v>74433844.09386377</v>
      </c>
      <c r="R44" s="9">
        <f>O44+(0.2*'Potentialer og krav'!$C43)</f>
        <v>74493865.486418992</v>
      </c>
      <c r="S44" s="11">
        <f>P44+(0.2*'Potentialer og krav'!$C43)</f>
        <v>80834088.712269306</v>
      </c>
      <c r="T44" s="15">
        <f>Q44+(0.2*'Potentialer og krav'!$C43)</f>
        <v>87389368.893863767</v>
      </c>
      <c r="U44" s="11">
        <v>56817416</v>
      </c>
      <c r="V44" s="20">
        <f t="shared" si="37"/>
        <v>58578755.895999998</v>
      </c>
      <c r="X44" s="134">
        <f t="shared" si="19"/>
        <v>0.16012486996336334</v>
      </c>
      <c r="Y44" s="85">
        <f t="shared" si="20"/>
        <v>0.19983192517468823</v>
      </c>
      <c r="Z44" s="85">
        <f t="shared" si="21"/>
        <v>1.9631472701504518E-2</v>
      </c>
      <c r="AA44" s="85">
        <f t="shared" si="22"/>
        <v>1.496554150440579E-2</v>
      </c>
      <c r="AB44" s="85">
        <f t="shared" si="23"/>
        <v>0.40328660747021805</v>
      </c>
      <c r="AC44" s="85">
        <f t="shared" si="24"/>
        <v>0.14067716558623963</v>
      </c>
      <c r="AD44" s="85">
        <f t="shared" si="25"/>
        <v>0</v>
      </c>
      <c r="AE44" s="88">
        <f t="shared" si="26"/>
        <v>6.1482417599580452E-2</v>
      </c>
      <c r="AF44" s="32"/>
      <c r="AG44" s="70">
        <f t="shared" si="50"/>
        <v>0.24123876026444829</v>
      </c>
      <c r="AI44" s="134">
        <f t="shared" si="38"/>
        <v>5.3662706223830986E-2</v>
      </c>
      <c r="AJ44" s="85">
        <f t="shared" si="39"/>
        <v>-4.0537601037954618E-3</v>
      </c>
      <c r="AK44" s="85">
        <f t="shared" si="40"/>
        <v>3.5221887904939714E-4</v>
      </c>
      <c r="AL44" s="85">
        <f t="shared" si="41"/>
        <v>-1.6576232618576749E-3</v>
      </c>
      <c r="AM44" s="85">
        <f t="shared" si="42"/>
        <v>-5.1133747446670652E-2</v>
      </c>
      <c r="AN44" s="85">
        <f t="shared" si="43"/>
        <v>-5.8878691097475622E-3</v>
      </c>
      <c r="AO44" s="85">
        <f t="shared" si="44"/>
        <v>5.5489330739503563E-4</v>
      </c>
      <c r="AP44" s="88">
        <f t="shared" si="45"/>
        <v>8.1631815117959028E-3</v>
      </c>
      <c r="AR44" s="90">
        <f t="shared" si="51"/>
        <v>0.24123876026444829</v>
      </c>
      <c r="AS44" s="80">
        <f t="shared" si="46"/>
        <v>6.1610989071589517E-2</v>
      </c>
      <c r="AT44" s="128">
        <f t="shared" si="47"/>
        <v>0</v>
      </c>
    </row>
    <row r="45" spans="1:46" x14ac:dyDescent="0.25">
      <c r="A45" s="55" t="s">
        <v>88</v>
      </c>
      <c r="B45" s="9">
        <f>VLOOKUP($A45,Costdrivere!$A$1:$I$69,2,FALSE)</f>
        <v>13518394.299999999</v>
      </c>
      <c r="C45" s="11">
        <f>VLOOKUP($A45,Costdrivere!$A$1:$I$69,3,FALSE)</f>
        <v>7611360</v>
      </c>
      <c r="D45" s="11">
        <f>VLOOKUP($A45,Costdrivere!$A$1:$I$69,4,FALSE)</f>
        <v>1054794</v>
      </c>
      <c r="E45" s="11">
        <f>VLOOKUP($A45,Costdrivere!$A$1:$I$69,5,FALSE)</f>
        <v>428496.18</v>
      </c>
      <c r="F45" s="11">
        <f>VLOOKUP($A45,Costdrivere!$A$1:$I$69,6,FALSE)</f>
        <v>21722432.510492504</v>
      </c>
      <c r="G45" s="11">
        <f>VLOOKUP($A45,Costdrivere!$A$1:$I$69,7,FALSE)</f>
        <v>6812557.2000000002</v>
      </c>
      <c r="H45" s="11">
        <f>VLOOKUP($A45,Costdrivere!$A$1:$I$69,8,FALSE)</f>
        <v>10160</v>
      </c>
      <c r="I45" s="15">
        <f>VLOOKUP($A45,Costdrivere!$A$1:$I$69,9,FALSE)</f>
        <v>3100936</v>
      </c>
      <c r="J45" s="98">
        <v>36.670271837163689</v>
      </c>
      <c r="K45" s="49">
        <f>VLOOKUP(A45,Costdrivere!$A$1:$J$69,10,FALSE)</f>
        <v>1.7986266816143497E-2</v>
      </c>
      <c r="L45" s="9">
        <f t="shared" si="34"/>
        <v>54259130.190492503</v>
      </c>
      <c r="M45" s="11">
        <f t="shared" si="35"/>
        <v>60429714.470124193</v>
      </c>
      <c r="N45" s="11">
        <f t="shared" si="36"/>
        <v>58108125.452835187</v>
      </c>
      <c r="O45" s="9">
        <f>L45+'Potentialer og krav'!$F44</f>
        <v>55961827.355668955</v>
      </c>
      <c r="P45" s="11">
        <f t="shared" ref="P45" si="76">(0.527+0.016*J45)*O45</f>
        <v>62326049.762626395</v>
      </c>
      <c r="Q45" s="11">
        <f t="shared" ref="Q45" si="77">(0.719+19.567*K45)*O45</f>
        <v>59931607.328326017</v>
      </c>
      <c r="R45" s="9">
        <f>O45+(0.2*'Potentialer og krav'!$C44)</f>
        <v>67285199.355668962</v>
      </c>
      <c r="S45" s="11">
        <f>P45+(0.2*'Potentialer og krav'!$C44)</f>
        <v>73649421.762626395</v>
      </c>
      <c r="T45" s="15">
        <f>Q45+(0.2*'Potentialer og krav'!$C44)</f>
        <v>71254979.328326017</v>
      </c>
      <c r="U45" s="11">
        <v>53808972</v>
      </c>
      <c r="V45" s="20">
        <f t="shared" si="37"/>
        <v>55477050.131999992</v>
      </c>
      <c r="X45" s="134">
        <f t="shared" si="19"/>
        <v>0.24914506097940997</v>
      </c>
      <c r="Y45" s="85">
        <f t="shared" si="20"/>
        <v>0.14027795825841846</v>
      </c>
      <c r="Z45" s="85">
        <f t="shared" si="21"/>
        <v>1.9439935662382311E-2</v>
      </c>
      <c r="AA45" s="85">
        <f t="shared" si="22"/>
        <v>7.8972180072853938E-3</v>
      </c>
      <c r="AB45" s="85">
        <f t="shared" si="23"/>
        <v>0.40034612486837823</v>
      </c>
      <c r="AC45" s="85">
        <f t="shared" si="24"/>
        <v>0.12555596037169287</v>
      </c>
      <c r="AD45" s="85">
        <f t="shared" si="25"/>
        <v>1.8724959217610669E-4</v>
      </c>
      <c r="AE45" s="88">
        <f t="shared" si="26"/>
        <v>5.7150492260256654E-2</v>
      </c>
      <c r="AF45" s="32"/>
      <c r="AG45" s="70">
        <f t="shared" si="50"/>
        <v>0.32573548890204895</v>
      </c>
      <c r="AI45" s="134">
        <f t="shared" si="38"/>
        <v>-3.5357484792215649E-2</v>
      </c>
      <c r="AJ45" s="85">
        <f t="shared" si="39"/>
        <v>5.5500206812474306E-2</v>
      </c>
      <c r="AK45" s="85">
        <f t="shared" si="40"/>
        <v>5.4375591817160465E-4</v>
      </c>
      <c r="AL45" s="85">
        <f t="shared" si="41"/>
        <v>5.4107002352627217E-3</v>
      </c>
      <c r="AM45" s="85">
        <f t="shared" si="42"/>
        <v>-4.819326484483083E-2</v>
      </c>
      <c r="AN45" s="85">
        <f t="shared" si="43"/>
        <v>9.2333361047992057E-3</v>
      </c>
      <c r="AO45" s="85">
        <f t="shared" si="44"/>
        <v>3.6764371521892897E-4</v>
      </c>
      <c r="AP45" s="88">
        <f t="shared" si="45"/>
        <v>1.2495106851119701E-2</v>
      </c>
      <c r="AR45" s="90">
        <f t="shared" si="51"/>
        <v>0.32573548890204895</v>
      </c>
      <c r="AS45" s="80">
        <f t="shared" si="46"/>
        <v>-2.2885739566011143E-2</v>
      </c>
      <c r="AT45" s="128">
        <f t="shared" si="47"/>
        <v>0</v>
      </c>
    </row>
    <row r="46" spans="1:46" x14ac:dyDescent="0.25">
      <c r="A46" s="55" t="s">
        <v>73</v>
      </c>
      <c r="B46" s="9">
        <f>VLOOKUP($A46,Costdrivere!$A$1:$I$69,2,FALSE)</f>
        <v>1681647</v>
      </c>
      <c r="C46" s="11">
        <f>VLOOKUP($A46,Costdrivere!$A$1:$I$69,3,FALSE)</f>
        <v>2775583</v>
      </c>
      <c r="D46" s="11">
        <f>VLOOKUP($A46,Costdrivere!$A$1:$I$69,4,FALSE)</f>
        <v>283983</v>
      </c>
      <c r="E46" s="11">
        <f>VLOOKUP($A46,Costdrivere!$A$1:$I$69,5,FALSE)</f>
        <v>161808.78</v>
      </c>
      <c r="F46" s="11">
        <f>VLOOKUP($A46,Costdrivere!$A$1:$I$69,6,FALSE)</f>
        <v>7380322.7401163215</v>
      </c>
      <c r="G46" s="11">
        <f>VLOOKUP($A46,Costdrivere!$A$1:$I$69,7,FALSE)</f>
        <v>416367</v>
      </c>
      <c r="H46" s="11">
        <f>VLOOKUP($A46,Costdrivere!$A$1:$I$69,8,FALSE)</f>
        <v>0</v>
      </c>
      <c r="I46" s="15">
        <f>VLOOKUP($A46,Costdrivere!$A$1:$I$69,9,FALSE)</f>
        <v>897664.79999999993</v>
      </c>
      <c r="J46" s="98">
        <v>31.488015288656062</v>
      </c>
      <c r="K46" s="49">
        <f>VLOOKUP(A46,Costdrivere!$A$1:$J$69,10,FALSE)</f>
        <v>1.8908396946564886E-2</v>
      </c>
      <c r="L46" s="9">
        <f t="shared" si="34"/>
        <v>13597376.320116322</v>
      </c>
      <c r="M46" s="11">
        <f t="shared" si="35"/>
        <v>14016287.615956225</v>
      </c>
      <c r="N46" s="11">
        <f t="shared" si="36"/>
        <v>14807279.065024771</v>
      </c>
      <c r="O46" s="9">
        <f>L46+'Potentialer og krav'!$F45</f>
        <v>14175708.922139127</v>
      </c>
      <c r="P46" s="11">
        <f t="shared" si="48"/>
        <v>14612437.630252998</v>
      </c>
      <c r="Q46" s="11">
        <f t="shared" si="49"/>
        <v>15437072.050741026</v>
      </c>
      <c r="R46" s="9">
        <f>O46+(0.2*'Potentialer og krav'!$C45)</f>
        <v>18125968.322139129</v>
      </c>
      <c r="S46" s="11">
        <f>P46+(0.2*'Potentialer og krav'!$C45)</f>
        <v>18562697.030253001</v>
      </c>
      <c r="T46" s="15">
        <f>Q46+(0.2*'Potentialer og krav'!$C45)</f>
        <v>19387331.450741027</v>
      </c>
      <c r="U46" s="11">
        <v>20897531</v>
      </c>
      <c r="V46" s="20">
        <f t="shared" si="37"/>
        <v>21545354.460999999</v>
      </c>
      <c r="X46" s="134">
        <f t="shared" si="19"/>
        <v>0.12367437367399521</v>
      </c>
      <c r="Y46" s="85">
        <f t="shared" si="20"/>
        <v>0.20412636487038519</v>
      </c>
      <c r="Z46" s="85">
        <f t="shared" si="21"/>
        <v>2.0885132051531731E-2</v>
      </c>
      <c r="AA46" s="85">
        <f t="shared" si="22"/>
        <v>1.1900000131688328E-2</v>
      </c>
      <c r="AB46" s="85">
        <f t="shared" si="23"/>
        <v>0.54277550068226577</v>
      </c>
      <c r="AC46" s="85">
        <f t="shared" si="24"/>
        <v>3.0621127943926619E-2</v>
      </c>
      <c r="AD46" s="85">
        <f t="shared" si="25"/>
        <v>0</v>
      </c>
      <c r="AE46" s="88">
        <f t="shared" si="26"/>
        <v>6.6017500646207067E-2</v>
      </c>
      <c r="AF46" s="32"/>
      <c r="AG46" s="70">
        <f t="shared" si="50"/>
        <v>0.21057700637173402</v>
      </c>
      <c r="AI46" s="134">
        <f t="shared" si="38"/>
        <v>9.0113202513199112E-2</v>
      </c>
      <c r="AJ46" s="85">
        <f t="shared" si="39"/>
        <v>-8.3481997994924173E-3</v>
      </c>
      <c r="AK46" s="85">
        <f t="shared" si="40"/>
        <v>-9.0144047097781566E-4</v>
      </c>
      <c r="AL46" s="85">
        <f t="shared" si="41"/>
        <v>1.4079181108597877E-3</v>
      </c>
      <c r="AM46" s="85">
        <f t="shared" si="42"/>
        <v>-0.19062264065871837</v>
      </c>
      <c r="AN46" s="85">
        <f t="shared" si="43"/>
        <v>0.10416816853256546</v>
      </c>
      <c r="AO46" s="85">
        <f t="shared" si="44"/>
        <v>5.5489330739503563E-4</v>
      </c>
      <c r="AP46" s="88">
        <f t="shared" si="45"/>
        <v>3.6280984651692882E-3</v>
      </c>
      <c r="AR46" s="90">
        <f t="shared" si="51"/>
        <v>0.21057700637173402</v>
      </c>
      <c r="AS46" s="80">
        <f t="shared" si="46"/>
        <v>9.2272742964303794E-2</v>
      </c>
      <c r="AT46" s="128">
        <f t="shared" si="47"/>
        <v>0</v>
      </c>
    </row>
    <row r="47" spans="1:46" x14ac:dyDescent="0.25">
      <c r="A47" s="55" t="s">
        <v>75</v>
      </c>
      <c r="B47" s="9">
        <f>VLOOKUP($A47,Costdrivere!$A$1:$I$69,2,FALSE)</f>
        <v>2456145.9999999995</v>
      </c>
      <c r="C47" s="11">
        <f>VLOOKUP($A47,Costdrivere!$A$1:$I$69,3,FALSE)</f>
        <v>5318523</v>
      </c>
      <c r="D47" s="11">
        <f>VLOOKUP($A47,Costdrivere!$A$1:$I$69,4,FALSE)</f>
        <v>229891</v>
      </c>
      <c r="E47" s="11">
        <f>VLOOKUP($A47,Costdrivere!$A$1:$I$69,5,FALSE)</f>
        <v>141239.69999999998</v>
      </c>
      <c r="F47" s="11">
        <f>VLOOKUP($A47,Costdrivere!$A$1:$I$69,6,FALSE)</f>
        <v>6308510.2307803696</v>
      </c>
      <c r="G47" s="11">
        <f>VLOOKUP($A47,Costdrivere!$A$1:$I$69,7,FALSE)</f>
        <v>1804257</v>
      </c>
      <c r="H47" s="11">
        <f>VLOOKUP($A47,Costdrivere!$A$1:$I$69,8,FALSE)</f>
        <v>0</v>
      </c>
      <c r="I47" s="15">
        <f>VLOOKUP($A47,Costdrivere!$A$1:$I$69,9,FALSE)</f>
        <v>1008800.7999999999</v>
      </c>
      <c r="J47" s="98">
        <v>27.487191930115081</v>
      </c>
      <c r="K47" s="49">
        <f>VLOOKUP(A47,Costdrivere!$A$1:$J$69,10,FALSE)</f>
        <v>1.4548780487804879E-2</v>
      </c>
      <c r="L47" s="9">
        <f t="shared" si="34"/>
        <v>17267367.730780371</v>
      </c>
      <c r="M47" s="11">
        <f t="shared" si="35"/>
        <v>16694006.009222629</v>
      </c>
      <c r="N47" s="11">
        <f t="shared" si="36"/>
        <v>17330842.363981064</v>
      </c>
      <c r="O47" s="9">
        <f>L47+'Potentialer og krav'!$F46</f>
        <v>17496602.206941571</v>
      </c>
      <c r="P47" s="11">
        <f t="shared" si="48"/>
        <v>16915628.770851459</v>
      </c>
      <c r="Q47" s="11">
        <f t="shared" si="49"/>
        <v>17560919.50328109</v>
      </c>
      <c r="R47" s="9">
        <f>O47+(0.2*'Potentialer og krav'!$C46)</f>
        <v>20846075.206941571</v>
      </c>
      <c r="S47" s="11">
        <f>P47+(0.2*'Potentialer og krav'!$C46)</f>
        <v>20265101.770851459</v>
      </c>
      <c r="T47" s="15">
        <f>Q47+(0.2*'Potentialer og krav'!$C46)</f>
        <v>20910392.50328109</v>
      </c>
      <c r="U47" s="11">
        <v>14870377</v>
      </c>
      <c r="V47" s="20">
        <f t="shared" si="37"/>
        <v>15331358.686999999</v>
      </c>
      <c r="X47" s="134">
        <f t="shared" si="19"/>
        <v>0.14224206250161314</v>
      </c>
      <c r="Y47" s="85">
        <f t="shared" si="20"/>
        <v>0.30801006169106693</v>
      </c>
      <c r="Z47" s="85">
        <f t="shared" si="21"/>
        <v>1.3313610017710004E-2</v>
      </c>
      <c r="AA47" s="85">
        <f t="shared" si="22"/>
        <v>8.179573296990119E-3</v>
      </c>
      <c r="AB47" s="85">
        <f t="shared" si="23"/>
        <v>0.36534290165923666</v>
      </c>
      <c r="AC47" s="85">
        <f t="shared" si="24"/>
        <v>0.10448940615214775</v>
      </c>
      <c r="AD47" s="85">
        <f t="shared" si="25"/>
        <v>0</v>
      </c>
      <c r="AE47" s="88">
        <f t="shared" si="26"/>
        <v>5.8422384681235305E-2</v>
      </c>
      <c r="AF47" s="32"/>
      <c r="AG47" s="70">
        <f t="shared" si="50"/>
        <v>0.21397805720055846</v>
      </c>
      <c r="AI47" s="134">
        <f t="shared" si="38"/>
        <v>7.154551368558118E-2</v>
      </c>
      <c r="AJ47" s="85">
        <f t="shared" si="39"/>
        <v>-0.11223189662017416</v>
      </c>
      <c r="AK47" s="85">
        <f t="shared" si="40"/>
        <v>6.6700815628439117E-3</v>
      </c>
      <c r="AL47" s="85">
        <f t="shared" si="41"/>
        <v>5.1283449455579964E-3</v>
      </c>
      <c r="AM47" s="85">
        <f t="shared" si="42"/>
        <v>-1.3190041635689265E-2</v>
      </c>
      <c r="AN47" s="85">
        <f t="shared" si="43"/>
        <v>3.0299890324344325E-2</v>
      </c>
      <c r="AO47" s="85">
        <f t="shared" si="44"/>
        <v>5.5489330739503563E-4</v>
      </c>
      <c r="AP47" s="88">
        <f t="shared" si="45"/>
        <v>1.122321443014105E-2</v>
      </c>
      <c r="AR47" s="90">
        <f t="shared" si="51"/>
        <v>0.21397805720055846</v>
      </c>
      <c r="AS47" s="80">
        <f t="shared" si="46"/>
        <v>8.8871692135479352E-2</v>
      </c>
      <c r="AT47" s="128">
        <f t="shared" si="47"/>
        <v>0</v>
      </c>
    </row>
    <row r="48" spans="1:46" x14ac:dyDescent="0.25">
      <c r="A48" s="55" t="s">
        <v>76</v>
      </c>
      <c r="B48" s="9">
        <f>VLOOKUP($A48,Costdrivere!$A$1:$I$69,2,FALSE)</f>
        <v>1987509.92</v>
      </c>
      <c r="C48" s="11">
        <f>VLOOKUP($A48,Costdrivere!$A$1:$I$69,3,FALSE)</f>
        <v>1311842</v>
      </c>
      <c r="D48" s="11">
        <f>VLOOKUP($A48,Costdrivere!$A$1:$I$69,4,FALSE)</f>
        <v>162276</v>
      </c>
      <c r="E48" s="11">
        <f>VLOOKUP($A48,Costdrivere!$A$1:$I$69,5,FALSE)</f>
        <v>9573.9</v>
      </c>
      <c r="F48" s="11">
        <f>VLOOKUP($A48,Costdrivere!$A$1:$I$69,6,FALSE)</f>
        <v>8700869.1845265646</v>
      </c>
      <c r="G48" s="11">
        <f>VLOOKUP($A48,Costdrivere!$A$1:$I$69,7,FALSE)</f>
        <v>5963961.6000000006</v>
      </c>
      <c r="H48" s="11">
        <f>VLOOKUP($A48,Costdrivere!$A$1:$I$69,8,FALSE)</f>
        <v>0</v>
      </c>
      <c r="I48" s="15">
        <f>VLOOKUP($A48,Costdrivere!$A$1:$I$69,9,FALSE)</f>
        <v>989110.4</v>
      </c>
      <c r="J48" s="98">
        <v>45.509105007002404</v>
      </c>
      <c r="K48" s="49">
        <f>VLOOKUP(A48,Costdrivere!$A$1:$J$69,10,FALSE)</f>
        <v>1.7628315535652774E-2</v>
      </c>
      <c r="L48" s="9">
        <f t="shared" si="34"/>
        <v>19125143.004526563</v>
      </c>
      <c r="M48" s="11">
        <f t="shared" si="35"/>
        <v>24004840.623656485</v>
      </c>
      <c r="N48" s="11">
        <f t="shared" si="36"/>
        <v>20347875.555167727</v>
      </c>
      <c r="O48" s="9">
        <f>L48+'Potentialer og krav'!$F47</f>
        <v>19125143.004526563</v>
      </c>
      <c r="P48" s="11">
        <f t="shared" si="48"/>
        <v>24004840.623656485</v>
      </c>
      <c r="Q48" s="11">
        <f t="shared" si="49"/>
        <v>20347875.555167727</v>
      </c>
      <c r="R48" s="9">
        <f>O48+(0.2*'Potentialer og krav'!$C47)</f>
        <v>21537361.204526562</v>
      </c>
      <c r="S48" s="11">
        <f>P48+(0.2*'Potentialer og krav'!$C47)</f>
        <v>26417058.823656484</v>
      </c>
      <c r="T48" s="15">
        <f>Q48+(0.2*'Potentialer og krav'!$C47)</f>
        <v>22760093.755167726</v>
      </c>
      <c r="U48" s="11">
        <v>12079124</v>
      </c>
      <c r="V48" s="20">
        <f t="shared" si="37"/>
        <v>12453576.843999999</v>
      </c>
      <c r="X48" s="134">
        <f t="shared" si="19"/>
        <v>0.10392131026312293</v>
      </c>
      <c r="Y48" s="85">
        <f t="shared" si="20"/>
        <v>6.8592532860513075E-2</v>
      </c>
      <c r="Z48" s="85">
        <f t="shared" si="21"/>
        <v>8.484956162763976E-3</v>
      </c>
      <c r="AA48" s="85">
        <f t="shared" si="22"/>
        <v>5.0059233532183454E-4</v>
      </c>
      <c r="AB48" s="85">
        <f t="shared" si="23"/>
        <v>0.4549440065607474</v>
      </c>
      <c r="AC48" s="85">
        <f t="shared" si="24"/>
        <v>0.31183879768054246</v>
      </c>
      <c r="AD48" s="85">
        <f t="shared" si="25"/>
        <v>0</v>
      </c>
      <c r="AE48" s="88">
        <f t="shared" si="26"/>
        <v>5.1717804136988475E-2</v>
      </c>
      <c r="AF48" s="32"/>
      <c r="AG48" s="70">
        <f t="shared" si="50"/>
        <v>0.16412407056287537</v>
      </c>
      <c r="AI48" s="134">
        <f t="shared" si="38"/>
        <v>0.10986626592407139</v>
      </c>
      <c r="AJ48" s="85">
        <f t="shared" si="39"/>
        <v>0.12718563221037971</v>
      </c>
      <c r="AK48" s="85">
        <f t="shared" si="40"/>
        <v>1.1498735417789939E-2</v>
      </c>
      <c r="AL48" s="85">
        <f t="shared" si="41"/>
        <v>1.2807325907226282E-2</v>
      </c>
      <c r="AM48" s="85">
        <f t="shared" si="42"/>
        <v>-0.10279114653720001</v>
      </c>
      <c r="AN48" s="85">
        <f t="shared" si="43"/>
        <v>-0.17704950120405039</v>
      </c>
      <c r="AO48" s="85">
        <f t="shared" si="44"/>
        <v>5.5489330739503563E-4</v>
      </c>
      <c r="AP48" s="88">
        <f t="shared" si="45"/>
        <v>1.792779497438788E-2</v>
      </c>
      <c r="AR48" s="90">
        <f t="shared" si="51"/>
        <v>0.16412407056287537</v>
      </c>
      <c r="AS48" s="80">
        <f t="shared" si="46"/>
        <v>0.13872567877316244</v>
      </c>
      <c r="AT48" s="128">
        <f t="shared" si="47"/>
        <v>0</v>
      </c>
    </row>
    <row r="49" spans="1:46" x14ac:dyDescent="0.25">
      <c r="A49" s="55" t="s">
        <v>89</v>
      </c>
      <c r="B49" s="9">
        <f>VLOOKUP($A49,Costdrivere!$A$1:$I$69,2,FALSE)</f>
        <v>5972082.9000000004</v>
      </c>
      <c r="C49" s="11">
        <f>VLOOKUP($A49,Costdrivere!$A$1:$I$69,3,FALSE)</f>
        <v>3753725</v>
      </c>
      <c r="D49" s="11">
        <f>VLOOKUP($A49,Costdrivere!$A$1:$I$69,4,FALSE)</f>
        <v>676150</v>
      </c>
      <c r="E49" s="11">
        <f>VLOOKUP($A49,Costdrivere!$A$1:$I$69,5,FALSE)</f>
        <v>840785.82</v>
      </c>
      <c r="F49" s="11">
        <f>VLOOKUP($A49,Costdrivere!$A$1:$I$69,6,FALSE)</f>
        <v>15424258.474911202</v>
      </c>
      <c r="G49" s="11">
        <f>VLOOKUP($A49,Costdrivere!$A$1:$I$69,7,FALSE)</f>
        <v>5530172.9000000004</v>
      </c>
      <c r="H49" s="11">
        <f>VLOOKUP($A49,Costdrivere!$A$1:$I$69,8,FALSE)</f>
        <v>45720</v>
      </c>
      <c r="I49" s="15">
        <f>VLOOKUP($A49,Costdrivere!$A$1:$I$69,9,FALSE)</f>
        <v>2446441.6</v>
      </c>
      <c r="J49" s="98">
        <v>31.516595489675485</v>
      </c>
      <c r="K49" s="49">
        <f>VLOOKUP(A49,Costdrivere!$A$1:$J$69,10,FALSE)</f>
        <v>2.4846031161820634E-2</v>
      </c>
      <c r="L49" s="9">
        <f t="shared" si="34"/>
        <v>34689336.694911204</v>
      </c>
      <c r="M49" s="11">
        <f t="shared" si="35"/>
        <v>35773917.116916969</v>
      </c>
      <c r="N49" s="11">
        <f t="shared" si="36"/>
        <v>41806280.510295674</v>
      </c>
      <c r="O49" s="9">
        <f>L49+'Potentialer og krav'!$F48</f>
        <v>36749771.306863993</v>
      </c>
      <c r="P49" s="11">
        <f t="shared" si="48"/>
        <v>37898772.304581568</v>
      </c>
      <c r="Q49" s="11">
        <f t="shared" si="49"/>
        <v>44289438.609224007</v>
      </c>
      <c r="R49" s="9">
        <f>O49+(0.2*'Potentialer og krav'!$C48)</f>
        <v>44560215.906863995</v>
      </c>
      <c r="S49" s="11">
        <f>P49+(0.2*'Potentialer og krav'!$C48)</f>
        <v>45709216.904581569</v>
      </c>
      <c r="T49" s="15">
        <f>Q49+(0.2*'Potentialer og krav'!$C48)</f>
        <v>52099883.209224008</v>
      </c>
      <c r="U49" s="11">
        <v>37851065</v>
      </c>
      <c r="V49" s="20">
        <f t="shared" si="37"/>
        <v>39024448.014999993</v>
      </c>
      <c r="X49" s="134">
        <f t="shared" si="19"/>
        <v>0.17215903989527948</v>
      </c>
      <c r="Y49" s="85">
        <f t="shared" si="20"/>
        <v>0.10820976581401907</v>
      </c>
      <c r="Z49" s="85">
        <f t="shared" si="21"/>
        <v>1.9491580538038615E-2</v>
      </c>
      <c r="AA49" s="85">
        <f t="shared" si="22"/>
        <v>2.4237587111988222E-2</v>
      </c>
      <c r="AB49" s="85">
        <f t="shared" si="23"/>
        <v>0.44463976381462156</v>
      </c>
      <c r="AC49" s="85">
        <f t="shared" si="24"/>
        <v>0.15941996667844202</v>
      </c>
      <c r="AD49" s="85">
        <f t="shared" si="25"/>
        <v>1.317984267099202E-3</v>
      </c>
      <c r="AE49" s="88">
        <f t="shared" si="26"/>
        <v>7.0524311880511795E-2</v>
      </c>
      <c r="AF49" s="32"/>
      <c r="AG49" s="70">
        <f t="shared" si="50"/>
        <v>0.26217493231382988</v>
      </c>
      <c r="AI49" s="134">
        <f t="shared" si="38"/>
        <v>4.1628536291914847E-2</v>
      </c>
      <c r="AJ49" s="85">
        <f t="shared" si="39"/>
        <v>8.7568399256873694E-2</v>
      </c>
      <c r="AK49" s="85">
        <f t="shared" si="40"/>
        <v>4.9211104251530025E-4</v>
      </c>
      <c r="AL49" s="85">
        <f t="shared" si="41"/>
        <v>-1.0929668869440107E-2</v>
      </c>
      <c r="AM49" s="85">
        <f t="shared" si="42"/>
        <v>-9.248690379107416E-2</v>
      </c>
      <c r="AN49" s="85">
        <f t="shared" si="43"/>
        <v>-2.463067020194995E-2</v>
      </c>
      <c r="AO49" s="85">
        <f t="shared" si="44"/>
        <v>-7.6309095970416641E-4</v>
      </c>
      <c r="AP49" s="88">
        <f t="shared" si="45"/>
        <v>-8.7871276913543961E-4</v>
      </c>
      <c r="AR49" s="90">
        <f t="shared" si="51"/>
        <v>0.26217493231382988</v>
      </c>
      <c r="AS49" s="80">
        <f t="shared" si="46"/>
        <v>4.0674817022207932E-2</v>
      </c>
      <c r="AT49" s="128">
        <f t="shared" si="47"/>
        <v>0</v>
      </c>
    </row>
    <row r="50" spans="1:46" x14ac:dyDescent="0.25">
      <c r="A50" s="55" t="s">
        <v>78</v>
      </c>
      <c r="B50" s="9">
        <f>VLOOKUP($A50,Costdrivere!$A$1:$I$69,2,FALSE)</f>
        <v>5130521</v>
      </c>
      <c r="C50" s="11">
        <f>VLOOKUP($A50,Costdrivere!$A$1:$I$69,3,FALSE)</f>
        <v>14075204</v>
      </c>
      <c r="D50" s="11">
        <f>VLOOKUP($A50,Costdrivere!$A$1:$I$69,4,FALSE)</f>
        <v>743765</v>
      </c>
      <c r="E50" s="11">
        <f>VLOOKUP($A50,Costdrivere!$A$1:$I$69,5,FALSE)</f>
        <v>245407.68</v>
      </c>
      <c r="F50" s="11">
        <f>VLOOKUP($A50,Costdrivere!$A$1:$I$69,6,FALSE)</f>
        <v>17681147.346592806</v>
      </c>
      <c r="G50" s="11">
        <f>VLOOKUP($A50,Costdrivere!$A$1:$I$69,7,FALSE)</f>
        <v>7193421.6959999995</v>
      </c>
      <c r="H50" s="11">
        <f>VLOOKUP($A50,Costdrivere!$A$1:$I$69,8,FALSE)</f>
        <v>30480</v>
      </c>
      <c r="I50" s="15">
        <f>VLOOKUP($A50,Costdrivere!$A$1:$I$69,9,FALSE)</f>
        <v>3835400</v>
      </c>
      <c r="J50" s="98">
        <v>34.835041945209973</v>
      </c>
      <c r="K50" s="49">
        <f>VLOOKUP(A50,Costdrivere!$A$1:$J$69,10,FALSE)</f>
        <v>2.6480400333611341E-2</v>
      </c>
      <c r="L50" s="9">
        <f>SUM(B50:I50)</f>
        <v>48935346.722592808</v>
      </c>
      <c r="M50" s="11">
        <f t="shared" si="35"/>
        <v>53063565.413765043</v>
      </c>
      <c r="N50" s="11">
        <f t="shared" si="36"/>
        <v>60539972.388574183</v>
      </c>
      <c r="O50" s="9">
        <f>L50+'Potentialer og krav'!$F49</f>
        <v>49286168.722592808</v>
      </c>
      <c r="P50" s="11">
        <f t="shared" si="48"/>
        <v>53443982.993129879</v>
      </c>
      <c r="Q50" s="11">
        <f t="shared" si="49"/>
        <v>60973989.016957417</v>
      </c>
      <c r="R50" s="9">
        <f>O50+(0.2*'Potentialer og krav'!$C49)</f>
        <v>60502143.922592811</v>
      </c>
      <c r="S50" s="11">
        <f>P50+(0.2*'Potentialer og krav'!$C49)</f>
        <v>64659958.193129882</v>
      </c>
      <c r="T50" s="15">
        <f>Q50+(0.2*'Potentialer og krav'!$C49)</f>
        <v>72189964.21695742</v>
      </c>
      <c r="U50" s="11">
        <v>49552870</v>
      </c>
      <c r="V50" s="20">
        <f t="shared" si="37"/>
        <v>51089008.969999999</v>
      </c>
      <c r="X50" s="134">
        <f t="shared" si="19"/>
        <v>0.10484284558325824</v>
      </c>
      <c r="Y50" s="85">
        <f t="shared" si="20"/>
        <v>0.28762857408143516</v>
      </c>
      <c r="Z50" s="85">
        <f t="shared" si="21"/>
        <v>1.5198931852190463E-2</v>
      </c>
      <c r="AA50" s="85">
        <f t="shared" si="22"/>
        <v>5.0149369818748724E-3</v>
      </c>
      <c r="AB50" s="85">
        <f t="shared" si="23"/>
        <v>0.36131648247686066</v>
      </c>
      <c r="AC50" s="85">
        <f t="shared" si="24"/>
        <v>0.1469984822377664</v>
      </c>
      <c r="AD50" s="85">
        <f t="shared" si="25"/>
        <v>6.2286265534781189E-4</v>
      </c>
      <c r="AE50" s="88">
        <f t="shared" si="26"/>
        <v>7.8376884131266325E-2</v>
      </c>
      <c r="AF50" s="32"/>
      <c r="AG50" s="70">
        <f t="shared" si="50"/>
        <v>0.198418661566715</v>
      </c>
      <c r="AI50" s="134">
        <f t="shared" si="38"/>
        <v>0.10894473060393609</v>
      </c>
      <c r="AJ50" s="85">
        <f t="shared" si="39"/>
        <v>-9.1850409010542394E-2</v>
      </c>
      <c r="AK50" s="85">
        <f t="shared" si="40"/>
        <v>4.7847597283634524E-3</v>
      </c>
      <c r="AL50" s="85">
        <f t="shared" si="41"/>
        <v>8.292981260673243E-3</v>
      </c>
      <c r="AM50" s="85">
        <f t="shared" si="42"/>
        <v>-9.1636224533132582E-3</v>
      </c>
      <c r="AN50" s="85">
        <f t="shared" si="43"/>
        <v>-1.2209185761274333E-2</v>
      </c>
      <c r="AO50" s="85">
        <f t="shared" si="44"/>
        <v>-6.7969347952776264E-5</v>
      </c>
      <c r="AP50" s="88">
        <f t="shared" si="45"/>
        <v>-8.73128501988997E-3</v>
      </c>
      <c r="AR50" s="90">
        <f t="shared" si="51"/>
        <v>0.198418661566715</v>
      </c>
      <c r="AS50" s="80">
        <f t="shared" si="46"/>
        <v>0.10443108776932281</v>
      </c>
      <c r="AT50" s="128">
        <f t="shared" si="47"/>
        <v>0</v>
      </c>
    </row>
    <row r="51" spans="1:46" x14ac:dyDescent="0.25">
      <c r="A51" s="55" t="s">
        <v>160</v>
      </c>
      <c r="B51" s="9">
        <f>VLOOKUP($A51,Costdrivere!$A$1:$I$69,2,FALSE)</f>
        <v>0</v>
      </c>
      <c r="C51" s="11">
        <f>VLOOKUP($A51,Costdrivere!$A$1:$I$69,3,FALSE)</f>
        <v>0</v>
      </c>
      <c r="D51" s="11">
        <f>VLOOKUP($A51,Costdrivere!$A$1:$I$69,4,FALSE)</f>
        <v>0</v>
      </c>
      <c r="E51" s="11">
        <f>VLOOKUP($A51,Costdrivere!$A$1:$I$69,5,FALSE)</f>
        <v>0</v>
      </c>
      <c r="F51" s="11">
        <f>VLOOKUP($A51,Costdrivere!$A$1:$I$69,6,FALSE)</f>
        <v>24853435.887068227</v>
      </c>
      <c r="G51" s="11">
        <f>VLOOKUP($A51,Costdrivere!$A$1:$I$69,7,FALSE)</f>
        <v>14895704.48</v>
      </c>
      <c r="H51" s="11">
        <f>VLOOKUP($A51,Costdrivere!$A$1:$I$69,8,FALSE)</f>
        <v>0</v>
      </c>
      <c r="I51" s="15">
        <f>VLOOKUP($A51,Costdrivere!$A$1:$I$69,9,FALSE)</f>
        <v>0</v>
      </c>
      <c r="J51" s="98">
        <v>0</v>
      </c>
      <c r="K51" s="49">
        <f>VLOOKUP(A51,Costdrivere!$A$1:$J$69,10,FALSE)</f>
        <v>0</v>
      </c>
      <c r="L51" s="9">
        <f t="shared" si="34"/>
        <v>39749140.367068231</v>
      </c>
      <c r="M51" s="11">
        <f t="shared" si="35"/>
        <v>20947796.973444957</v>
      </c>
      <c r="N51" s="11">
        <f t="shared" si="36"/>
        <v>28579631.923922058</v>
      </c>
      <c r="O51" s="9">
        <f>L51+'Potentialer og krav'!$F50</f>
        <v>39749140.367068231</v>
      </c>
      <c r="P51" s="11">
        <f t="shared" si="48"/>
        <v>20947796.973444957</v>
      </c>
      <c r="Q51" s="11">
        <f t="shared" si="49"/>
        <v>28579631.923922058</v>
      </c>
      <c r="R51" s="9">
        <f>O51+(0.2*'Potentialer og krav'!$C50)</f>
        <v>43826746.167068228</v>
      </c>
      <c r="S51" s="11">
        <f>P51+(0.2*'Potentialer og krav'!$C50)</f>
        <v>25025402.773444958</v>
      </c>
      <c r="T51" s="15">
        <f>Q51+(0.2*'Potentialer og krav'!$C50)</f>
        <v>32657237.723922059</v>
      </c>
      <c r="U51" s="11">
        <v>0</v>
      </c>
      <c r="V51" s="20">
        <f t="shared" si="37"/>
        <v>0</v>
      </c>
      <c r="X51" s="134">
        <f t="shared" si="19"/>
        <v>0</v>
      </c>
      <c r="Y51" s="85">
        <f t="shared" si="20"/>
        <v>0</v>
      </c>
      <c r="Z51" s="85">
        <f t="shared" si="21"/>
        <v>0</v>
      </c>
      <c r="AA51" s="85">
        <f t="shared" si="22"/>
        <v>0</v>
      </c>
      <c r="AB51" s="85">
        <f t="shared" si="23"/>
        <v>0.62525719191801821</v>
      </c>
      <c r="AC51" s="85">
        <f t="shared" si="24"/>
        <v>0.37474280808198168</v>
      </c>
      <c r="AD51" s="85">
        <f t="shared" si="25"/>
        <v>0</v>
      </c>
      <c r="AE51" s="88">
        <f t="shared" si="26"/>
        <v>0</v>
      </c>
      <c r="AF51" s="32"/>
      <c r="AG51" s="70">
        <f t="shared" si="50"/>
        <v>0</v>
      </c>
      <c r="AI51" s="134">
        <f t="shared" si="38"/>
        <v>0.21378757618719432</v>
      </c>
      <c r="AJ51" s="85">
        <f t="shared" si="39"/>
        <v>0.19577816507089277</v>
      </c>
      <c r="AK51" s="85">
        <f t="shared" si="40"/>
        <v>1.9983691580553915E-2</v>
      </c>
      <c r="AL51" s="85">
        <f t="shared" si="41"/>
        <v>1.3307918242548115E-2</v>
      </c>
      <c r="AM51" s="85">
        <f t="shared" si="42"/>
        <v>-0.27310433189447081</v>
      </c>
      <c r="AN51" s="85">
        <f t="shared" si="43"/>
        <v>-0.23995351160548961</v>
      </c>
      <c r="AO51" s="85">
        <f t="shared" si="44"/>
        <v>5.5489330739503563E-4</v>
      </c>
      <c r="AP51" s="88">
        <f t="shared" si="45"/>
        <v>6.9645599111376355E-2</v>
      </c>
      <c r="AR51" s="90">
        <f t="shared" si="51"/>
        <v>0</v>
      </c>
      <c r="AS51" s="80">
        <f t="shared" si="46"/>
        <v>0.30284974933603781</v>
      </c>
      <c r="AT51" s="128">
        <f t="shared" si="47"/>
        <v>0</v>
      </c>
    </row>
    <row r="52" spans="1:46" x14ac:dyDescent="0.25">
      <c r="A52" s="55" t="s">
        <v>79</v>
      </c>
      <c r="B52" s="9">
        <f>VLOOKUP($A52,Costdrivere!$A$1:$I$69,2,FALSE)</f>
        <v>3968631</v>
      </c>
      <c r="C52" s="11">
        <f>VLOOKUP($A52,Costdrivere!$A$1:$I$69,3,FALSE)</f>
        <v>15660523</v>
      </c>
      <c r="D52" s="11">
        <f>VLOOKUP($A52,Costdrivere!$A$1:$I$69,4,FALSE)</f>
        <v>432736</v>
      </c>
      <c r="E52" s="11">
        <f>VLOOKUP($A52,Costdrivere!$A$1:$I$69,5,FALSE)</f>
        <v>357234.77999999997</v>
      </c>
      <c r="F52" s="11">
        <f>VLOOKUP($A52,Costdrivere!$A$1:$I$69,6,FALSE)</f>
        <v>0</v>
      </c>
      <c r="G52" s="11">
        <f>VLOOKUP($A52,Costdrivere!$A$1:$I$69,7,FALSE)</f>
        <v>0</v>
      </c>
      <c r="H52" s="11">
        <f>VLOOKUP($A52,Costdrivere!$A$1:$I$69,8,FALSE)</f>
        <v>0</v>
      </c>
      <c r="I52" s="15">
        <f>VLOOKUP($A52,Costdrivere!$A$1:$I$69,9,FALSE)</f>
        <v>1876628</v>
      </c>
      <c r="J52" s="98">
        <v>33.131661239047403</v>
      </c>
      <c r="K52" s="49">
        <f>VLOOKUP(A52,Costdrivere!$A$1:$J$69,10,FALSE)</f>
        <v>1.9614898989898991E-2</v>
      </c>
      <c r="L52" s="9">
        <f t="shared" si="34"/>
        <v>22295752.780000001</v>
      </c>
      <c r="M52" s="11">
        <f t="shared" si="35"/>
        <v>23568986.965884153</v>
      </c>
      <c r="N52" s="11">
        <f t="shared" si="36"/>
        <v>24587861.592039254</v>
      </c>
      <c r="O52" s="9">
        <f>L52+'Potentialer og krav'!$F51</f>
        <v>22387345.780000001</v>
      </c>
      <c r="P52" s="11">
        <f t="shared" si="48"/>
        <v>23665810.528850041</v>
      </c>
      <c r="Q52" s="11">
        <f t="shared" si="49"/>
        <v>24688870.785539992</v>
      </c>
      <c r="R52" s="9">
        <f>O52+(0.2*'Potentialer og krav'!$C51)</f>
        <v>25629575.18</v>
      </c>
      <c r="S52" s="11">
        <f>P52+(0.2*'Potentialer og krav'!$C51)</f>
        <v>26908039.92885004</v>
      </c>
      <c r="T52" s="15">
        <f>Q52+(0.2*'Potentialer og krav'!$C51)</f>
        <v>27931100.185539991</v>
      </c>
      <c r="U52" s="11">
        <v>0</v>
      </c>
      <c r="V52" s="20">
        <f t="shared" si="37"/>
        <v>0</v>
      </c>
      <c r="X52" s="134">
        <f t="shared" si="19"/>
        <v>0.1779994171607423</v>
      </c>
      <c r="Y52" s="85">
        <f t="shared" si="20"/>
        <v>0.70239938317077089</v>
      </c>
      <c r="Z52" s="85">
        <f t="shared" si="21"/>
        <v>1.940889837943386E-2</v>
      </c>
      <c r="AA52" s="85">
        <f t="shared" si="22"/>
        <v>1.6022548488268624E-2</v>
      </c>
      <c r="AB52" s="85">
        <f t="shared" si="23"/>
        <v>0</v>
      </c>
      <c r="AC52" s="85">
        <f t="shared" si="24"/>
        <v>0</v>
      </c>
      <c r="AD52" s="85">
        <f t="shared" si="25"/>
        <v>0</v>
      </c>
      <c r="AE52" s="88">
        <f t="shared" si="26"/>
        <v>8.4169752800784328E-2</v>
      </c>
      <c r="AF52" s="32"/>
      <c r="AG52" s="70">
        <f t="shared" si="50"/>
        <v>0.2815780683409605</v>
      </c>
      <c r="AI52" s="134">
        <f t="shared" si="38"/>
        <v>3.5788159026452021E-2</v>
      </c>
      <c r="AJ52" s="85">
        <f t="shared" si="39"/>
        <v>-0.50662121809987815</v>
      </c>
      <c r="AK52" s="85">
        <f t="shared" si="40"/>
        <v>5.7479320112005516E-4</v>
      </c>
      <c r="AL52" s="85">
        <f t="shared" si="41"/>
        <v>-2.714630245720509E-3</v>
      </c>
      <c r="AM52" s="85">
        <f t="shared" si="42"/>
        <v>0.3521528600235474</v>
      </c>
      <c r="AN52" s="85">
        <f t="shared" si="43"/>
        <v>0.13478929647649207</v>
      </c>
      <c r="AO52" s="85">
        <f t="shared" si="44"/>
        <v>5.5489330739503563E-4</v>
      </c>
      <c r="AP52" s="88">
        <f t="shared" si="45"/>
        <v>-1.4524153689407973E-2</v>
      </c>
      <c r="AR52" s="90">
        <f t="shared" si="51"/>
        <v>0.2815780683409605</v>
      </c>
      <c r="AS52" s="80">
        <f t="shared" si="46"/>
        <v>2.1271680995077313E-2</v>
      </c>
      <c r="AT52" s="128">
        <f t="shared" si="47"/>
        <v>0</v>
      </c>
    </row>
    <row r="53" spans="1:46" x14ac:dyDescent="0.25">
      <c r="A53" s="55" t="s">
        <v>90</v>
      </c>
      <c r="B53" s="9">
        <f>VLOOKUP($A53,Costdrivere!$A$1:$I$69,2,FALSE)</f>
        <v>3341899</v>
      </c>
      <c r="C53" s="11">
        <f>VLOOKUP($A53,Costdrivere!$A$1:$I$69,3,FALSE)</f>
        <v>4898773</v>
      </c>
      <c r="D53" s="11">
        <f>VLOOKUP($A53,Costdrivere!$A$1:$I$69,4,FALSE)</f>
        <v>365121</v>
      </c>
      <c r="E53" s="11">
        <f>VLOOKUP($A53,Costdrivere!$A$1:$I$69,5,FALSE)</f>
        <v>93567.599999999991</v>
      </c>
      <c r="F53" s="11">
        <f>VLOOKUP($A53,Costdrivere!$A$1:$I$69,6,FALSE)</f>
        <v>13093394.813804345</v>
      </c>
      <c r="G53" s="11">
        <f>VLOOKUP($A53,Costdrivere!$A$1:$I$69,7,FALSE)</f>
        <v>1127759.76</v>
      </c>
      <c r="H53" s="11">
        <f>VLOOKUP($A53,Costdrivere!$A$1:$I$69,8,FALSE)</f>
        <v>2540</v>
      </c>
      <c r="I53" s="15">
        <f>VLOOKUP($A53,Costdrivere!$A$1:$I$69,9,FALSE)</f>
        <v>2406215.1999999997</v>
      </c>
      <c r="J53" s="98">
        <v>33.513334904899679</v>
      </c>
      <c r="K53" s="49">
        <f>VLOOKUP(A53,Costdrivere!$A$1:$J$69,10,FALSE)</f>
        <v>2.5504481434058899E-2</v>
      </c>
      <c r="L53" s="9">
        <f t="shared" si="34"/>
        <v>25329270.373804346</v>
      </c>
      <c r="M53" s="11">
        <f t="shared" si="35"/>
        <v>26930418.621939827</v>
      </c>
      <c r="N53" s="11">
        <f t="shared" si="36"/>
        <v>30852221.229211997</v>
      </c>
      <c r="O53" s="9">
        <f>L53+'Potentialer og krav'!$F52</f>
        <v>27241938.063328408</v>
      </c>
      <c r="P53" s="11">
        <f t="shared" si="48"/>
        <v>28963992.459771819</v>
      </c>
      <c r="Q53" s="11">
        <f t="shared" si="49"/>
        <v>33181938.817768775</v>
      </c>
      <c r="R53" s="9">
        <f>O53+(0.2*'Potentialer og krav'!$C52)</f>
        <v>33344025.063328408</v>
      </c>
      <c r="S53" s="11">
        <f>P53+(0.2*'Potentialer og krav'!$C52)</f>
        <v>35066079.459771819</v>
      </c>
      <c r="T53" s="15">
        <f>Q53+(0.2*'Potentialer og krav'!$C52)</f>
        <v>39284025.817768775</v>
      </c>
      <c r="U53" s="11">
        <v>31736327</v>
      </c>
      <c r="V53" s="20">
        <f t="shared" si="37"/>
        <v>32720153.136999998</v>
      </c>
      <c r="X53" s="134">
        <f t="shared" si="19"/>
        <v>0.13193822603971286</v>
      </c>
      <c r="Y53" s="85">
        <f t="shared" si="20"/>
        <v>0.19340363649267744</v>
      </c>
      <c r="Z53" s="85">
        <f t="shared" si="21"/>
        <v>1.4414982927325452E-2</v>
      </c>
      <c r="AA53" s="85">
        <f t="shared" si="22"/>
        <v>3.6940503464627256E-3</v>
      </c>
      <c r="AB53" s="85">
        <f t="shared" si="23"/>
        <v>0.51692743693658061</v>
      </c>
      <c r="AC53" s="85">
        <f t="shared" si="24"/>
        <v>4.4523973385602718E-2</v>
      </c>
      <c r="AD53" s="85">
        <f t="shared" si="25"/>
        <v>1.0027924067749225E-4</v>
      </c>
      <c r="AE53" s="88">
        <f t="shared" si="26"/>
        <v>9.4997414630960675E-2</v>
      </c>
      <c r="AF53" s="66"/>
      <c r="AG53" s="70">
        <f t="shared" si="50"/>
        <v>0.241350623597999</v>
      </c>
      <c r="AI53" s="134">
        <f t="shared" si="38"/>
        <v>8.1849350147481459E-2</v>
      </c>
      <c r="AJ53" s="85">
        <f t="shared" si="39"/>
        <v>2.3745285782153236E-3</v>
      </c>
      <c r="AK53" s="85">
        <f t="shared" si="40"/>
        <v>5.568708653228463E-3</v>
      </c>
      <c r="AL53" s="85">
        <f t="shared" si="41"/>
        <v>9.6138678960853898E-3</v>
      </c>
      <c r="AM53" s="85">
        <f t="shared" si="42"/>
        <v>-0.16477457691303321</v>
      </c>
      <c r="AN53" s="85">
        <f t="shared" si="43"/>
        <v>9.026532309088936E-2</v>
      </c>
      <c r="AO53" s="85">
        <f t="shared" si="44"/>
        <v>4.5461406671754338E-4</v>
      </c>
      <c r="AP53" s="88">
        <f t="shared" si="45"/>
        <v>-2.535181551958432E-2</v>
      </c>
      <c r="AR53" s="90">
        <f t="shared" si="51"/>
        <v>0.241350623597999</v>
      </c>
      <c r="AS53" s="80">
        <f t="shared" si="46"/>
        <v>6.1499125738038812E-2</v>
      </c>
      <c r="AT53" s="128">
        <f t="shared" si="47"/>
        <v>0</v>
      </c>
    </row>
    <row r="54" spans="1:46" x14ac:dyDescent="0.25">
      <c r="A54" s="55" t="s">
        <v>91</v>
      </c>
      <c r="B54" s="9">
        <f>VLOOKUP($A54,Costdrivere!$A$1:$I$69,2,FALSE)</f>
        <v>4846194.8</v>
      </c>
      <c r="C54" s="11">
        <f>VLOOKUP($A54,Costdrivere!$A$1:$I$69,3,FALSE)</f>
        <v>6286869</v>
      </c>
      <c r="D54" s="11">
        <f>VLOOKUP($A54,Costdrivere!$A$1:$I$69,4,FALSE)</f>
        <v>27046</v>
      </c>
      <c r="E54" s="11">
        <f>VLOOKUP($A54,Costdrivere!$A$1:$I$69,5,FALSE)</f>
        <v>78960</v>
      </c>
      <c r="F54" s="11">
        <f>VLOOKUP($A54,Costdrivere!$A$1:$I$69,6,FALSE)</f>
        <v>7430391.2456864882</v>
      </c>
      <c r="G54" s="11">
        <f>VLOOKUP($A54,Costdrivere!$A$1:$I$69,7,FALSE)</f>
        <v>2611235</v>
      </c>
      <c r="H54" s="11">
        <f>VLOOKUP($A54,Costdrivere!$A$1:$I$69,8,FALSE)</f>
        <v>0</v>
      </c>
      <c r="I54" s="15">
        <f>VLOOKUP($A54,Costdrivere!$A$1:$I$69,9,FALSE)</f>
        <v>1166807.2</v>
      </c>
      <c r="J54" s="98">
        <v>48.576286950995474</v>
      </c>
      <c r="K54" s="49">
        <f>VLOOKUP(A54,Costdrivere!$A$1:$J$69,10,FALSE)</f>
        <v>3.610841121495327E-2</v>
      </c>
      <c r="L54" s="9">
        <f t="shared" si="34"/>
        <v>22447503.24568649</v>
      </c>
      <c r="M54" s="11">
        <f t="shared" si="35"/>
        <v>29276495.954410691</v>
      </c>
      <c r="N54" s="11">
        <f t="shared" si="36"/>
        <v>31999662.979983643</v>
      </c>
      <c r="O54" s="9">
        <f>L54+'Potentialer og krav'!$F53</f>
        <v>23044540.24568649</v>
      </c>
      <c r="P54" s="11">
        <f t="shared" si="48"/>
        <v>30055163.903528474</v>
      </c>
      <c r="Q54" s="11">
        <f t="shared" si="49"/>
        <v>32850759.094214153</v>
      </c>
      <c r="R54" s="9">
        <f>O54+(0.2*'Potentialer og krav'!$C53)</f>
        <v>27802272.445686489</v>
      </c>
      <c r="S54" s="11">
        <f>P54+(0.2*'Potentialer og krav'!$C53)</f>
        <v>34812896.103528477</v>
      </c>
      <c r="T54" s="15">
        <f>Q54+(0.2*'Potentialer og krav'!$C53)</f>
        <v>37608491.294214152</v>
      </c>
      <c r="U54" s="11">
        <v>19532817</v>
      </c>
      <c r="V54" s="20">
        <f t="shared" si="37"/>
        <v>20138334.327</v>
      </c>
      <c r="X54" s="134">
        <f t="shared" si="19"/>
        <v>0.2158901480916923</v>
      </c>
      <c r="Y54" s="85">
        <f t="shared" si="20"/>
        <v>0.28006985592966044</v>
      </c>
      <c r="Z54" s="85">
        <f t="shared" si="21"/>
        <v>1.2048556003749396E-3</v>
      </c>
      <c r="AA54" s="85">
        <f t="shared" si="22"/>
        <v>3.5175404202323901E-3</v>
      </c>
      <c r="AB54" s="85">
        <f t="shared" si="23"/>
        <v>0.33101192432678728</v>
      </c>
      <c r="AC54" s="85">
        <f t="shared" si="24"/>
        <v>0.11632630014216724</v>
      </c>
      <c r="AD54" s="85">
        <f t="shared" si="25"/>
        <v>0</v>
      </c>
      <c r="AE54" s="88">
        <f t="shared" si="26"/>
        <v>5.1979375489085343E-2</v>
      </c>
      <c r="AF54" s="32"/>
      <c r="AG54" s="70">
        <f t="shared" si="50"/>
        <v>0.26907437918115257</v>
      </c>
      <c r="AI54" s="134">
        <f t="shared" si="38"/>
        <v>-2.102571904497974E-3</v>
      </c>
      <c r="AJ54" s="85">
        <f t="shared" si="39"/>
        <v>-8.4291690858767671E-2</v>
      </c>
      <c r="AK54" s="85">
        <f t="shared" si="40"/>
        <v>1.8778835980178977E-2</v>
      </c>
      <c r="AL54" s="85">
        <f t="shared" si="41"/>
        <v>9.7903778223157253E-3</v>
      </c>
      <c r="AM54" s="85">
        <f t="shared" si="42"/>
        <v>2.1140935696760121E-2</v>
      </c>
      <c r="AN54" s="85">
        <f t="shared" si="43"/>
        <v>1.8462996334324827E-2</v>
      </c>
      <c r="AO54" s="85">
        <f t="shared" si="44"/>
        <v>5.5489330739503563E-4</v>
      </c>
      <c r="AP54" s="88">
        <f t="shared" si="45"/>
        <v>1.7666223622291012E-2</v>
      </c>
      <c r="AR54" s="90">
        <f t="shared" si="51"/>
        <v>0.26907437918115257</v>
      </c>
      <c r="AS54" s="80">
        <f t="shared" si="46"/>
        <v>3.3775370154885243E-2</v>
      </c>
      <c r="AT54" s="128">
        <f t="shared" si="47"/>
        <v>0</v>
      </c>
    </row>
    <row r="55" spans="1:46" x14ac:dyDescent="0.25">
      <c r="A55" s="55" t="s">
        <v>80</v>
      </c>
      <c r="B55" s="9">
        <f>VLOOKUP($A55,Costdrivere!$A$1:$I$69,2,FALSE)</f>
        <v>573386</v>
      </c>
      <c r="C55" s="11">
        <f>VLOOKUP($A55,Costdrivere!$A$1:$I$69,3,FALSE)</f>
        <v>260706</v>
      </c>
      <c r="D55" s="11">
        <f>VLOOKUP($A55,Costdrivere!$A$1:$I$69,4,FALSE)</f>
        <v>94661</v>
      </c>
      <c r="E55" s="11">
        <f>VLOOKUP($A55,Costdrivere!$A$1:$I$69,5,FALSE)</f>
        <v>0</v>
      </c>
      <c r="F55" s="11">
        <f>VLOOKUP($A55,Costdrivere!$A$1:$I$69,6,FALSE)</f>
        <v>0</v>
      </c>
      <c r="G55" s="11">
        <f>VLOOKUP($A55,Costdrivere!$A$1:$I$69,7,FALSE)</f>
        <v>0</v>
      </c>
      <c r="H55" s="11">
        <f>VLOOKUP($A55,Costdrivere!$A$1:$I$69,8,FALSE)</f>
        <v>0</v>
      </c>
      <c r="I55" s="15">
        <f>VLOOKUP($A55,Costdrivere!$A$1:$I$69,9,FALSE)</f>
        <v>454570.39999999997</v>
      </c>
      <c r="J55" s="98">
        <v>34.710643345724527</v>
      </c>
      <c r="K55" s="49">
        <f>VLOOKUP(A55,Costdrivere!$A$1:$J$69,10,FALSE)</f>
        <v>2.8082089552238804E-2</v>
      </c>
      <c r="L55" s="9">
        <f t="shared" si="34"/>
        <v>1383323.4</v>
      </c>
      <c r="M55" s="11">
        <f t="shared" si="35"/>
        <v>1497268.1545071204</v>
      </c>
      <c r="N55" s="11">
        <f t="shared" si="36"/>
        <v>1754721.1737479954</v>
      </c>
      <c r="O55" s="9">
        <f>L55+'Potentialer og krav'!$F54</f>
        <v>1933542.3240711044</v>
      </c>
      <c r="P55" s="11">
        <f t="shared" si="48"/>
        <v>2092808.7728605988</v>
      </c>
      <c r="Q55" s="11">
        <f t="shared" si="49"/>
        <v>2452664.1104932334</v>
      </c>
      <c r="R55" s="9">
        <f>O55+(0.2*'Potentialer og krav'!$C54)</f>
        <v>2904192.5240711044</v>
      </c>
      <c r="S55" s="11">
        <f>P55+(0.2*'Potentialer og krav'!$C54)</f>
        <v>3063458.9728605989</v>
      </c>
      <c r="T55" s="15">
        <f>Q55+(0.2*'Potentialer og krav'!$C54)</f>
        <v>3423314.3104932336</v>
      </c>
      <c r="U55" s="11">
        <v>6121979</v>
      </c>
      <c r="V55" s="20">
        <f t="shared" si="37"/>
        <v>6311760.3489999995</v>
      </c>
      <c r="X55" s="134">
        <f t="shared" si="19"/>
        <v>0.41449888001605412</v>
      </c>
      <c r="Y55" s="85">
        <f t="shared" si="20"/>
        <v>0.1884635219790253</v>
      </c>
      <c r="Z55" s="85">
        <f t="shared" si="21"/>
        <v>6.8430129932017345E-2</v>
      </c>
      <c r="AA55" s="85">
        <f t="shared" si="22"/>
        <v>0</v>
      </c>
      <c r="AB55" s="85">
        <f t="shared" si="23"/>
        <v>0</v>
      </c>
      <c r="AC55" s="85">
        <f t="shared" si="24"/>
        <v>0</v>
      </c>
      <c r="AD55" s="85">
        <f t="shared" si="25"/>
        <v>0</v>
      </c>
      <c r="AE55" s="88">
        <f t="shared" si="26"/>
        <v>0.32860746807290325</v>
      </c>
      <c r="AF55" s="32"/>
      <c r="AG55" s="70">
        <f t="shared" si="50"/>
        <v>0.81153647802097473</v>
      </c>
      <c r="AI55" s="134">
        <f t="shared" si="38"/>
        <v>-0.20071130382885979</v>
      </c>
      <c r="AJ55" s="85">
        <f t="shared" si="39"/>
        <v>7.3146430918674676E-3</v>
      </c>
      <c r="AK55" s="85">
        <f t="shared" si="40"/>
        <v>-4.8446438351463429E-2</v>
      </c>
      <c r="AL55" s="85">
        <f t="shared" si="41"/>
        <v>1.3307918242548115E-2</v>
      </c>
      <c r="AM55" s="85">
        <f t="shared" si="42"/>
        <v>0.3521528600235474</v>
      </c>
      <c r="AN55" s="85">
        <f t="shared" si="43"/>
        <v>0.13478929647649207</v>
      </c>
      <c r="AO55" s="85">
        <f t="shared" si="44"/>
        <v>5.5489330739503563E-4</v>
      </c>
      <c r="AP55" s="88">
        <f t="shared" si="45"/>
        <v>-0.2589618689615269</v>
      </c>
      <c r="AR55" s="90">
        <f t="shared" si="51"/>
        <v>0.81153647802097473</v>
      </c>
      <c r="AS55" s="80">
        <f t="shared" si="46"/>
        <v>-0.50868672868493692</v>
      </c>
      <c r="AT55" s="128">
        <f t="shared" si="47"/>
        <v>-8.0741466745279003E-2</v>
      </c>
    </row>
    <row r="56" spans="1:46" x14ac:dyDescent="0.25">
      <c r="A56" s="55" t="s">
        <v>81</v>
      </c>
      <c r="B56" s="9">
        <f>VLOOKUP($A56,Costdrivere!$A$1:$I$69,2,FALSE)</f>
        <v>8898208</v>
      </c>
      <c r="C56" s="11">
        <f>VLOOKUP($A56,Costdrivere!$A$1:$I$69,3,FALSE)</f>
        <v>6118926</v>
      </c>
      <c r="D56" s="11">
        <f>VLOOKUP($A56,Costdrivere!$A$1:$I$69,4,FALSE)</f>
        <v>1108886</v>
      </c>
      <c r="E56" s="11">
        <f>VLOOKUP($A56,Costdrivere!$A$1:$I$69,5,FALSE)</f>
        <v>128191.55999999998</v>
      </c>
      <c r="F56" s="11">
        <f>VLOOKUP($A56,Costdrivere!$A$1:$I$69,6,FALSE)</f>
        <v>19627866.970998093</v>
      </c>
      <c r="G56" s="11">
        <f>VLOOKUP($A56,Costdrivere!$A$1:$I$69,7,FALSE)</f>
        <v>9751485.2999999989</v>
      </c>
      <c r="H56" s="11">
        <f>VLOOKUP($A56,Costdrivere!$A$1:$I$69,8,FALSE)</f>
        <v>0</v>
      </c>
      <c r="I56" s="15">
        <f>VLOOKUP($A56,Costdrivere!$A$1:$I$69,9,FALSE)</f>
        <v>2363693.6</v>
      </c>
      <c r="J56" s="98">
        <v>31.404556106700195</v>
      </c>
      <c r="K56" s="49">
        <f>VLOOKUP(A56,Costdrivere!$A$1:$J$69,10,FALSE)</f>
        <v>1.5934039087947882E-2</v>
      </c>
      <c r="L56" s="9">
        <f t="shared" si="34"/>
        <v>47997257.430998094</v>
      </c>
      <c r="M56" s="11">
        <f t="shared" si="35"/>
        <v>49411875.689488202</v>
      </c>
      <c r="N56" s="11">
        <f t="shared" si="36"/>
        <v>49474677.467067458</v>
      </c>
      <c r="O56" s="9">
        <f>L56+'Potentialer og krav'!$F55</f>
        <v>48935686.897933371</v>
      </c>
      <c r="P56" s="11">
        <f t="shared" si="48"/>
        <v>50377963.392107882</v>
      </c>
      <c r="Q56" s="11">
        <f t="shared" si="49"/>
        <v>50441993.053149879</v>
      </c>
      <c r="R56" s="9">
        <f>O56+(0.2*'Potentialer og krav'!$C55)</f>
        <v>57787626.097933374</v>
      </c>
      <c r="S56" s="11">
        <f>P56+(0.2*'Potentialer og krav'!$C55)</f>
        <v>59229902.592107885</v>
      </c>
      <c r="T56" s="15">
        <f>Q56+(0.2*'Potentialer og krav'!$C55)</f>
        <v>59293932.253149882</v>
      </c>
      <c r="U56" s="11">
        <v>42374013</v>
      </c>
      <c r="V56" s="20">
        <f t="shared" si="37"/>
        <v>43687607.402999997</v>
      </c>
      <c r="X56" s="134">
        <f t="shared" si="19"/>
        <v>0.18538992593050255</v>
      </c>
      <c r="Y56" s="85">
        <f t="shared" si="20"/>
        <v>0.12748490908666399</v>
      </c>
      <c r="Z56" s="85">
        <f t="shared" si="21"/>
        <v>2.3103111705791914E-2</v>
      </c>
      <c r="AA56" s="85">
        <f t="shared" si="22"/>
        <v>2.6708101016873925E-3</v>
      </c>
      <c r="AB56" s="85">
        <f t="shared" si="23"/>
        <v>0.40893726061776642</v>
      </c>
      <c r="AC56" s="85">
        <f t="shared" si="24"/>
        <v>0.20316755210480406</v>
      </c>
      <c r="AD56" s="85">
        <f t="shared" si="25"/>
        <v>0</v>
      </c>
      <c r="AE56" s="88">
        <f t="shared" si="26"/>
        <v>4.9246430452783631E-2</v>
      </c>
      <c r="AF56" s="32"/>
      <c r="AG56" s="70">
        <f t="shared" si="50"/>
        <v>0.25773946808907811</v>
      </c>
      <c r="AI56" s="134">
        <f t="shared" si="38"/>
        <v>2.8397650256691775E-2</v>
      </c>
      <c r="AJ56" s="85">
        <f t="shared" si="39"/>
        <v>6.8293255984228779E-2</v>
      </c>
      <c r="AK56" s="85">
        <f t="shared" si="40"/>
        <v>-3.1194201252379983E-3</v>
      </c>
      <c r="AL56" s="85">
        <f t="shared" si="41"/>
        <v>1.0637108140860723E-2</v>
      </c>
      <c r="AM56" s="85">
        <f t="shared" si="42"/>
        <v>-5.678440059421902E-2</v>
      </c>
      <c r="AN56" s="85">
        <f t="shared" si="43"/>
        <v>-6.8378255628311985E-2</v>
      </c>
      <c r="AO56" s="85">
        <f t="shared" si="44"/>
        <v>5.5489330739503563E-4</v>
      </c>
      <c r="AP56" s="88">
        <f t="shared" si="45"/>
        <v>2.0399168658592724E-2</v>
      </c>
      <c r="AR56" s="90">
        <f t="shared" si="51"/>
        <v>0.25773946808907811</v>
      </c>
      <c r="AS56" s="80">
        <f t="shared" si="46"/>
        <v>4.5110281246959705E-2</v>
      </c>
      <c r="AT56" s="128">
        <f t="shared" si="47"/>
        <v>0</v>
      </c>
    </row>
    <row r="57" spans="1:46" x14ac:dyDescent="0.25">
      <c r="A57" s="55" t="s">
        <v>82</v>
      </c>
      <c r="B57" s="9">
        <f>VLOOKUP($A57,Costdrivere!$A$1:$I$69,2,FALSE)</f>
        <v>3641429</v>
      </c>
      <c r="C57" s="11">
        <f>VLOOKUP($A57,Costdrivere!$A$1:$I$69,3,FALSE)</f>
        <v>4748464</v>
      </c>
      <c r="D57" s="11">
        <f>VLOOKUP($A57,Costdrivere!$A$1:$I$69,4,FALSE)</f>
        <v>513874</v>
      </c>
      <c r="E57" s="11">
        <f>VLOOKUP($A57,Costdrivere!$A$1:$I$69,5,FALSE)</f>
        <v>512410.92</v>
      </c>
      <c r="F57" s="11">
        <f>VLOOKUP($A57,Costdrivere!$A$1:$I$69,6,FALSE)</f>
        <v>19712622.004258912</v>
      </c>
      <c r="G57" s="11">
        <f>VLOOKUP($A57,Costdrivere!$A$1:$I$69,7,FALSE)</f>
        <v>10879871.800000001</v>
      </c>
      <c r="H57" s="11">
        <f>VLOOKUP($A57,Costdrivere!$A$1:$I$69,8,FALSE)</f>
        <v>0</v>
      </c>
      <c r="I57" s="15">
        <f>VLOOKUP($A57,Costdrivere!$A$1:$I$69,9,FALSE)</f>
        <v>1578976.8</v>
      </c>
      <c r="J57" s="98">
        <v>35.231332201937178</v>
      </c>
      <c r="K57" s="49">
        <f>VLOOKUP(A57,Costdrivere!$A$1:$J$69,10,FALSE)</f>
        <v>1.535957696827262E-2</v>
      </c>
      <c r="L57" s="9">
        <f t="shared" si="34"/>
        <v>41587648.524258912</v>
      </c>
      <c r="M57" s="11">
        <f t="shared" si="35"/>
        <v>45359702.942773536</v>
      </c>
      <c r="N57" s="11">
        <f t="shared" si="36"/>
        <v>42400306.215605065</v>
      </c>
      <c r="O57" s="9">
        <f>L57+'Potentialer og krav'!$F56</f>
        <v>43179941.910870709</v>
      </c>
      <c r="P57" s="11">
        <f t="shared" si="48"/>
        <v>47096419.433784634</v>
      </c>
      <c r="Q57" s="11">
        <f t="shared" si="49"/>
        <v>44023714.356559239</v>
      </c>
      <c r="R57" s="9">
        <f>O57+(0.2*'Potentialer og krav'!$C56)</f>
        <v>48685461.310870707</v>
      </c>
      <c r="S57" s="11">
        <f>P57+(0.2*'Potentialer og krav'!$C56)</f>
        <v>52601938.833784632</v>
      </c>
      <c r="T57" s="15">
        <f>Q57+(0.2*'Potentialer og krav'!$C56)</f>
        <v>49529233.756559238</v>
      </c>
      <c r="U57" s="11">
        <v>26308903</v>
      </c>
      <c r="V57" s="20">
        <f t="shared" si="37"/>
        <v>27124478.992999997</v>
      </c>
      <c r="X57" s="134">
        <f t="shared" si="19"/>
        <v>8.756034854617667E-2</v>
      </c>
      <c r="Y57" s="85">
        <f t="shared" si="20"/>
        <v>0.11417967037088249</v>
      </c>
      <c r="Z57" s="85">
        <f t="shared" si="21"/>
        <v>1.2356409131914419E-2</v>
      </c>
      <c r="AA57" s="85">
        <f t="shared" si="22"/>
        <v>1.232122849410686E-2</v>
      </c>
      <c r="AB57" s="85">
        <f t="shared" si="23"/>
        <v>0.47400184198344714</v>
      </c>
      <c r="AC57" s="85">
        <f t="shared" si="24"/>
        <v>0.26161305546413743</v>
      </c>
      <c r="AD57" s="85">
        <f t="shared" si="25"/>
        <v>0</v>
      </c>
      <c r="AE57" s="88">
        <f t="shared" si="26"/>
        <v>3.7967446009334986E-2</v>
      </c>
      <c r="AF57" s="32"/>
      <c r="AG57" s="70">
        <f t="shared" si="50"/>
        <v>0.13788420368742607</v>
      </c>
      <c r="AI57" s="134">
        <f t="shared" si="38"/>
        <v>0.12622722764101765</v>
      </c>
      <c r="AJ57" s="85">
        <f t="shared" si="39"/>
        <v>8.1598494700010279E-2</v>
      </c>
      <c r="AK57" s="85">
        <f t="shared" si="40"/>
        <v>7.6272824486394962E-3</v>
      </c>
      <c r="AL57" s="85">
        <f t="shared" si="41"/>
        <v>9.8668974844125582E-4</v>
      </c>
      <c r="AM57" s="85">
        <f t="shared" si="42"/>
        <v>-0.12184898195989974</v>
      </c>
      <c r="AN57" s="85">
        <f t="shared" si="43"/>
        <v>-0.12682375898764536</v>
      </c>
      <c r="AO57" s="85">
        <f t="shared" si="44"/>
        <v>5.5489330739503563E-4</v>
      </c>
      <c r="AP57" s="88">
        <f t="shared" si="45"/>
        <v>3.1678153102041369E-2</v>
      </c>
      <c r="AR57" s="90">
        <f>X57+Z57+AE57</f>
        <v>0.13788420368742607</v>
      </c>
      <c r="AS57" s="80">
        <f t="shared" si="46"/>
        <v>0.16496554564861174</v>
      </c>
      <c r="AT57" s="128">
        <f t="shared" si="47"/>
        <v>0</v>
      </c>
    </row>
    <row r="58" spans="1:46" x14ac:dyDescent="0.25">
      <c r="A58" s="55" t="s">
        <v>83</v>
      </c>
      <c r="B58" s="9">
        <f>VLOOKUP($A58,Costdrivere!$A$1:$I$69,2,FALSE)</f>
        <v>0</v>
      </c>
      <c r="C58" s="11">
        <f>VLOOKUP($A58,Costdrivere!$A$1:$I$69,3,FALSE)</f>
        <v>0</v>
      </c>
      <c r="D58" s="11">
        <f>VLOOKUP($A58,Costdrivere!$A$1:$I$69,4,FALSE)</f>
        <v>0</v>
      </c>
      <c r="E58" s="11">
        <f>VLOOKUP($A58,Costdrivere!$A$1:$I$69,5,FALSE)</f>
        <v>0</v>
      </c>
      <c r="F58" s="11">
        <f>VLOOKUP($A58,Costdrivere!$A$1:$I$69,6,FALSE)</f>
        <v>4124871.4362312141</v>
      </c>
      <c r="G58" s="11">
        <f>VLOOKUP($A58,Costdrivere!$A$1:$I$69,7,FALSE)</f>
        <v>3156458.4</v>
      </c>
      <c r="H58" s="11">
        <f>VLOOKUP($A58,Costdrivere!$A$1:$I$69,8,FALSE)</f>
        <v>0</v>
      </c>
      <c r="I58" s="15">
        <f>VLOOKUP($A58,Costdrivere!$A$1:$I$69,9,FALSE)</f>
        <v>120.8</v>
      </c>
      <c r="J58" s="98">
        <v>0</v>
      </c>
      <c r="K58" s="49">
        <v>0</v>
      </c>
      <c r="L58" s="9">
        <f t="shared" si="34"/>
        <v>7281450.6362312138</v>
      </c>
      <c r="M58" s="11">
        <f t="shared" si="35"/>
        <v>3837324.4852938498</v>
      </c>
      <c r="N58" s="11">
        <v>7281450.6362312138</v>
      </c>
      <c r="O58" s="9">
        <f>L58+'Potentialer og krav'!$F57</f>
        <v>7281450.6362312138</v>
      </c>
      <c r="P58" s="11">
        <f t="shared" si="48"/>
        <v>3837324.4852938498</v>
      </c>
      <c r="Q58" s="11">
        <v>7281450.6362312138</v>
      </c>
      <c r="R58" s="9">
        <f>O58+(0.2*'Potentialer og krav'!$C57)</f>
        <v>10933908.036231214</v>
      </c>
      <c r="S58" s="11">
        <f>P58+(0.2*'Potentialer og krav'!$C57)</f>
        <v>7489781.8852938507</v>
      </c>
      <c r="T58" s="15">
        <f>Q58+(0.2*'Potentialer og krav'!$C57)</f>
        <v>10933908.036231214</v>
      </c>
      <c r="U58" s="11" t="s">
        <v>137</v>
      </c>
      <c r="V58" s="20"/>
      <c r="X58" s="134">
        <f t="shared" si="19"/>
        <v>0</v>
      </c>
      <c r="Y58" s="85">
        <f t="shared" si="20"/>
        <v>0</v>
      </c>
      <c r="Z58" s="85">
        <f t="shared" si="21"/>
        <v>0</v>
      </c>
      <c r="AA58" s="85">
        <f t="shared" si="22"/>
        <v>0</v>
      </c>
      <c r="AB58" s="85">
        <f t="shared" si="23"/>
        <v>0.56649033857437436</v>
      </c>
      <c r="AC58" s="85">
        <f t="shared" si="24"/>
        <v>0.43349307132482912</v>
      </c>
      <c r="AD58" s="85">
        <f t="shared" si="25"/>
        <v>0</v>
      </c>
      <c r="AE58" s="88">
        <f t="shared" si="26"/>
        <v>1.6590100796525422E-5</v>
      </c>
      <c r="AF58" s="32"/>
      <c r="AG58" s="70">
        <f t="shared" si="50"/>
        <v>1.6590100796525422E-5</v>
      </c>
      <c r="AI58" s="134">
        <f t="shared" si="38"/>
        <v>0.21378757618719432</v>
      </c>
      <c r="AJ58" s="85">
        <f t="shared" si="39"/>
        <v>0.19577816507089277</v>
      </c>
      <c r="AK58" s="85">
        <f t="shared" si="40"/>
        <v>1.9983691580553915E-2</v>
      </c>
      <c r="AL58" s="85">
        <f t="shared" si="41"/>
        <v>1.3307918242548115E-2</v>
      </c>
      <c r="AM58" s="85">
        <f t="shared" si="42"/>
        <v>-0.21433747855082697</v>
      </c>
      <c r="AN58" s="85">
        <f t="shared" si="43"/>
        <v>-0.29870377484833704</v>
      </c>
      <c r="AO58" s="85">
        <f t="shared" si="44"/>
        <v>5.5489330739503563E-4</v>
      </c>
      <c r="AP58" s="88">
        <f t="shared" si="45"/>
        <v>6.9629009010579834E-2</v>
      </c>
      <c r="AR58" s="90">
        <f t="shared" si="51"/>
        <v>1.6590100796525422E-5</v>
      </c>
      <c r="AS58" s="80">
        <f t="shared" si="46"/>
        <v>0.30283315923524129</v>
      </c>
      <c r="AT58" s="128">
        <f t="shared" si="47"/>
        <v>0</v>
      </c>
    </row>
    <row r="59" spans="1:46" x14ac:dyDescent="0.25">
      <c r="A59" s="55" t="s">
        <v>84</v>
      </c>
      <c r="B59" s="9">
        <f>VLOOKUP($A59,Costdrivere!$A$1:$I$69,2,FALSE)</f>
        <v>3451522.7009999999</v>
      </c>
      <c r="C59" s="11">
        <f>VLOOKUP($A59,Costdrivere!$A$1:$I$69,3,FALSE)</f>
        <v>11442993</v>
      </c>
      <c r="D59" s="11">
        <f>VLOOKUP($A59,Costdrivere!$A$1:$I$69,4,FALSE)</f>
        <v>878995</v>
      </c>
      <c r="E59" s="11">
        <f>VLOOKUP($A59,Costdrivere!$A$1:$I$69,5,FALSE)</f>
        <v>0</v>
      </c>
      <c r="F59" s="59">
        <f>VLOOKUP($A59,Costdrivere!$A$1:$I$69,6,FALSE)</f>
        <v>0</v>
      </c>
      <c r="G59" s="11">
        <f>VLOOKUP($A59,Costdrivere!$A$1:$I$69,7,FALSE)</f>
        <v>0</v>
      </c>
      <c r="H59" s="11">
        <f>VLOOKUP($A59,Costdrivere!$A$1:$I$69,8,FALSE)</f>
        <v>0</v>
      </c>
      <c r="I59" s="15">
        <f>VLOOKUP($A59,Costdrivere!$A$1:$I$69,9,FALSE)</f>
        <v>2309575.1999999997</v>
      </c>
      <c r="J59" s="98">
        <v>33.399809043018891</v>
      </c>
      <c r="K59" s="49">
        <f>VLOOKUP(A59,Costdrivere!$A$1:$J$69,10,FALSE)</f>
        <v>2.3702640279983488E-2</v>
      </c>
      <c r="L59" s="9">
        <f>SUM(B59:I59)</f>
        <v>18083085.901000001</v>
      </c>
      <c r="M59" s="11">
        <f t="shared" si="35"/>
        <v>19193332.125857517</v>
      </c>
      <c r="N59" s="11">
        <f t="shared" si="36"/>
        <v>21388485.258933809</v>
      </c>
      <c r="O59" s="9">
        <f>L59+'Potentialer og krav'!$F58</f>
        <v>19144072.005518574</v>
      </c>
      <c r="P59" s="11">
        <f t="shared" si="48"/>
        <v>20319459.535550274</v>
      </c>
      <c r="Q59" s="11">
        <f t="shared" si="49"/>
        <v>22643408.549165715</v>
      </c>
      <c r="R59" s="9">
        <f>O59+(0.2*'Potentialer og krav'!$C58)</f>
        <v>21652051.469318576</v>
      </c>
      <c r="S59" s="11">
        <f>P59+(0.2*'Potentialer og krav'!$C58)</f>
        <v>22827438.999350272</v>
      </c>
      <c r="T59" s="15">
        <f>Q59+(0.2*'Potentialer og krav'!$C58)</f>
        <v>25151388.012965716</v>
      </c>
      <c r="U59" s="11">
        <v>30567841</v>
      </c>
      <c r="V59" s="20">
        <f t="shared" si="37"/>
        <v>31515444.070999999</v>
      </c>
      <c r="X59" s="134">
        <f t="shared" si="19"/>
        <v>0.19087022645892146</v>
      </c>
      <c r="Y59" s="85">
        <f t="shared" si="20"/>
        <v>0.63280089817895513</v>
      </c>
      <c r="Z59" s="85">
        <f t="shared" si="21"/>
        <v>4.8608683540644536E-2</v>
      </c>
      <c r="AA59" s="85">
        <f t="shared" si="22"/>
        <v>0</v>
      </c>
      <c r="AB59" s="85">
        <f t="shared" si="23"/>
        <v>0</v>
      </c>
      <c r="AC59" s="85">
        <f t="shared" si="24"/>
        <v>0</v>
      </c>
      <c r="AD59" s="85">
        <f t="shared" si="25"/>
        <v>0</v>
      </c>
      <c r="AE59" s="88">
        <f t="shared" si="26"/>
        <v>0.12772019182147884</v>
      </c>
      <c r="AF59" s="32"/>
      <c r="AG59" s="70">
        <f t="shared" si="50"/>
        <v>0.36719910182104487</v>
      </c>
      <c r="AI59" s="134">
        <f t="shared" si="38"/>
        <v>2.2917349728272862E-2</v>
      </c>
      <c r="AJ59" s="85">
        <f t="shared" si="39"/>
        <v>-0.43702273310806239</v>
      </c>
      <c r="AK59" s="85">
        <f t="shared" si="40"/>
        <v>-2.8624991960090621E-2</v>
      </c>
      <c r="AL59" s="85">
        <f t="shared" si="41"/>
        <v>1.3307918242548115E-2</v>
      </c>
      <c r="AM59" s="85">
        <f t="shared" si="42"/>
        <v>0.3521528600235474</v>
      </c>
      <c r="AN59" s="85">
        <f t="shared" si="43"/>
        <v>0.13478929647649207</v>
      </c>
      <c r="AO59" s="85">
        <f t="shared" si="44"/>
        <v>5.5489330739503563E-4</v>
      </c>
      <c r="AP59" s="88">
        <f t="shared" si="45"/>
        <v>-5.8074592710102485E-2</v>
      </c>
      <c r="AR59" s="90">
        <f t="shared" si="51"/>
        <v>0.36719910182104487</v>
      </c>
      <c r="AS59" s="80">
        <f t="shared" si="46"/>
        <v>-6.4349352485007061E-2</v>
      </c>
      <c r="AT59" s="128">
        <f t="shared" si="47"/>
        <v>0</v>
      </c>
    </row>
    <row r="60" spans="1:46" x14ac:dyDescent="0.25">
      <c r="A60" s="55" t="s">
        <v>92</v>
      </c>
      <c r="B60" s="9">
        <f>VLOOKUP($A60,Costdrivere!$A$1:$I$69,2,FALSE)</f>
        <v>667524</v>
      </c>
      <c r="C60" s="11">
        <f>VLOOKUP($A60,Costdrivere!$A$1:$I$69,3,FALSE)</f>
        <v>1093942</v>
      </c>
      <c r="D60" s="11">
        <f>VLOOKUP($A60,Costdrivere!$A$1:$I$69,4,FALSE)</f>
        <v>13523</v>
      </c>
      <c r="E60" s="11">
        <f>VLOOKUP($A60,Costdrivere!$A$1:$I$69,5,FALSE)</f>
        <v>27635.999999999996</v>
      </c>
      <c r="F60" s="11">
        <f>VLOOKUP($A60,Costdrivere!$A$1:$I$69,6,FALSE)</f>
        <v>3200447.4730958957</v>
      </c>
      <c r="G60" s="11">
        <f>VLOOKUP($A60,Costdrivere!$A$1:$I$69,7,FALSE)</f>
        <v>951696</v>
      </c>
      <c r="H60" s="11">
        <f>VLOOKUP($A60,Costdrivere!$A$1:$I$69,8,FALSE)</f>
        <v>22860</v>
      </c>
      <c r="I60" s="15">
        <f>VLOOKUP($A60,Costdrivere!$A$1:$I$69,9,FALSE)</f>
        <v>468945.6</v>
      </c>
      <c r="J60" s="98">
        <v>24.938410320874027</v>
      </c>
      <c r="K60" s="49">
        <f>VLOOKUP(A60,Costdrivere!$A$1:$J$69,10,FALSE)</f>
        <v>2.4884615384615383E-2</v>
      </c>
      <c r="L60" s="9">
        <f>SUM(B60:I60)</f>
        <v>6446574.0730958953</v>
      </c>
      <c r="M60" s="11">
        <f t="shared" si="35"/>
        <v>5969621.4869019138</v>
      </c>
      <c r="N60" s="11">
        <f t="shared" si="36"/>
        <v>7774035.0021216786</v>
      </c>
      <c r="O60" s="9">
        <f>L60+'Potentialer og krav'!$F59</f>
        <v>6446574.0730958953</v>
      </c>
      <c r="P60" s="11">
        <f t="shared" si="48"/>
        <v>5969621.4869019138</v>
      </c>
      <c r="Q60" s="11">
        <f t="shared" si="49"/>
        <v>7774035.0021216786</v>
      </c>
      <c r="R60" s="9">
        <f>O60+(0.2*'Potentialer og krav'!$C59)</f>
        <v>7631034.0730958953</v>
      </c>
      <c r="S60" s="11">
        <f>P60+(0.2*'Potentialer og krav'!$C59)</f>
        <v>7154081.4869019138</v>
      </c>
      <c r="T60" s="15">
        <f>Q60+(0.2*'Potentialer og krav'!$C59)</f>
        <v>8958495.0021216795</v>
      </c>
      <c r="U60" s="11">
        <v>5762409</v>
      </c>
      <c r="V60" s="20">
        <f t="shared" si="37"/>
        <v>5941043.6789999995</v>
      </c>
      <c r="X60" s="134">
        <f t="shared" si="19"/>
        <v>0.10354709221225609</v>
      </c>
      <c r="Y60" s="85">
        <f t="shared" si="20"/>
        <v>0.16969354382592963</v>
      </c>
      <c r="Z60" s="85">
        <f t="shared" si="21"/>
        <v>2.0977033454772248E-3</v>
      </c>
      <c r="AA60" s="85">
        <f t="shared" si="22"/>
        <v>4.2869281709390361E-3</v>
      </c>
      <c r="AB60" s="85">
        <f t="shared" si="23"/>
        <v>0.49645710059434972</v>
      </c>
      <c r="AC60" s="85">
        <f t="shared" si="24"/>
        <v>0.14762818036510339</v>
      </c>
      <c r="AD60" s="85">
        <f t="shared" si="25"/>
        <v>3.5460695465214347E-3</v>
      </c>
      <c r="AE60" s="88">
        <f t="shared" si="26"/>
        <v>7.2743381939423535E-2</v>
      </c>
      <c r="AF60" s="32"/>
      <c r="AG60" s="70">
        <f t="shared" si="50"/>
        <v>0.17838817749715685</v>
      </c>
      <c r="AI60" s="134">
        <f t="shared" si="38"/>
        <v>0.11024048397493823</v>
      </c>
      <c r="AJ60" s="85">
        <f t="shared" si="39"/>
        <v>2.6084621244963135E-2</v>
      </c>
      <c r="AK60" s="85">
        <f t="shared" si="40"/>
        <v>1.7885988235076689E-2</v>
      </c>
      <c r="AL60" s="85">
        <f t="shared" si="41"/>
        <v>9.0209900716090793E-3</v>
      </c>
      <c r="AM60" s="85">
        <f t="shared" si="42"/>
        <v>-0.14430424057080232</v>
      </c>
      <c r="AN60" s="85">
        <f t="shared" si="43"/>
        <v>-1.2838883888611319E-2</v>
      </c>
      <c r="AO60" s="85">
        <f t="shared" si="44"/>
        <v>-2.9911762391263991E-3</v>
      </c>
      <c r="AP60" s="88">
        <f t="shared" si="45"/>
        <v>-3.0977828280471797E-3</v>
      </c>
      <c r="AR60" s="90">
        <f t="shared" si="51"/>
        <v>0.17838817749715685</v>
      </c>
      <c r="AS60" s="80">
        <f t="shared" si="46"/>
        <v>0.12446157183888096</v>
      </c>
      <c r="AT60" s="128">
        <f t="shared" si="47"/>
        <v>0</v>
      </c>
    </row>
    <row r="61" spans="1:46" ht="15.75" thickBot="1" x14ac:dyDescent="0.3">
      <c r="A61" s="56" t="s">
        <v>86</v>
      </c>
      <c r="B61" s="16">
        <f>VLOOKUP($A61,Costdrivere!$A$1:$I$69,2,FALSE)</f>
        <v>27184276</v>
      </c>
      <c r="C61" s="17">
        <f>VLOOKUP($A61,Costdrivere!$A$1:$I$69,3,FALSE)</f>
        <v>11539302</v>
      </c>
      <c r="D61" s="17">
        <f>VLOOKUP($A61,Costdrivere!$A$1:$I$69,4,FALSE)</f>
        <v>1162978</v>
      </c>
      <c r="E61" s="17">
        <f>VLOOKUP($A61,Costdrivere!$A$1:$I$69,5,FALSE)</f>
        <v>332224.19999999995</v>
      </c>
      <c r="F61" s="17">
        <f>VLOOKUP($A61,Costdrivere!$A$1:$I$69,6,FALSE)</f>
        <v>27991496.454583526</v>
      </c>
      <c r="G61" s="17">
        <f>VLOOKUP($A61,Costdrivere!$A$1:$I$69,7,FALSE)</f>
        <v>18027016.899999999</v>
      </c>
      <c r="H61" s="17">
        <f>VLOOKUP($A61,Costdrivere!$A$1:$I$69,8,FALSE)</f>
        <v>35560</v>
      </c>
      <c r="I61" s="18">
        <f>VLOOKUP($A61,Costdrivere!$A$1:$I$69,9,FALSE)</f>
        <v>5868343.2000000002</v>
      </c>
      <c r="J61" s="91">
        <v>37.998203986000028</v>
      </c>
      <c r="K61" s="50">
        <f>VLOOKUP(A61,Costdrivere!$A$1:$J$69,10,FALSE)</f>
        <v>2.0698338304218151E-2</v>
      </c>
      <c r="L61" s="16">
        <f t="shared" si="34"/>
        <v>92141196.754583523</v>
      </c>
      <c r="M61" s="17">
        <f t="shared" si="35"/>
        <v>104577610.52638276</v>
      </c>
      <c r="N61" s="17">
        <f t="shared" si="36"/>
        <v>103567109.24645874</v>
      </c>
      <c r="O61" s="16">
        <f>L61+'Potentialer og krav'!$F60</f>
        <v>100781444.06279297</v>
      </c>
      <c r="P61" s="17">
        <f t="shared" si="48"/>
        <v>114384042.93311842</v>
      </c>
      <c r="Q61" s="17">
        <f t="shared" si="49"/>
        <v>113278785.11354297</v>
      </c>
      <c r="R61" s="16">
        <f>O61+(0.2*'Potentialer og krav'!$C60)</f>
        <v>121454476.66279298</v>
      </c>
      <c r="S61" s="17">
        <f>P61+(0.2*'Potentialer og krav'!$C60)</f>
        <v>135057075.53311843</v>
      </c>
      <c r="T61" s="18">
        <f>Q61+(0.2*'Potentialer og krav'!$C60)</f>
        <v>133951817.71354297</v>
      </c>
      <c r="U61" s="17">
        <v>85746582</v>
      </c>
      <c r="V61" s="21">
        <f t="shared" si="37"/>
        <v>88404726.041999996</v>
      </c>
      <c r="X61" s="131">
        <f t="shared" si="19"/>
        <v>0.29502846671728006</v>
      </c>
      <c r="Y61" s="126">
        <f t="shared" si="20"/>
        <v>0.12523499158291518</v>
      </c>
      <c r="Z61" s="126">
        <f t="shared" si="21"/>
        <v>1.2621694106031331E-2</v>
      </c>
      <c r="AA61" s="126">
        <f t="shared" si="22"/>
        <v>3.6055989253631396E-3</v>
      </c>
      <c r="AB61" s="126">
        <f t="shared" si="23"/>
        <v>0.30378915664768702</v>
      </c>
      <c r="AC61" s="126">
        <f t="shared" si="24"/>
        <v>0.19564556935389762</v>
      </c>
      <c r="AD61" s="126">
        <f t="shared" si="25"/>
        <v>3.8592943495962444E-4</v>
      </c>
      <c r="AE61" s="114">
        <f t="shared" si="26"/>
        <v>6.3688593231865986E-2</v>
      </c>
      <c r="AF61" s="32"/>
      <c r="AG61" s="69">
        <f t="shared" si="50"/>
        <v>0.37133875405517736</v>
      </c>
      <c r="AI61" s="131">
        <f t="shared" si="38"/>
        <v>-8.1240890530085735E-2</v>
      </c>
      <c r="AJ61" s="126">
        <f t="shared" si="39"/>
        <v>7.054317348797759E-2</v>
      </c>
      <c r="AK61" s="126">
        <f t="shared" si="40"/>
        <v>7.3619974745225848E-3</v>
      </c>
      <c r="AL61" s="126">
        <f t="shared" si="41"/>
        <v>9.7023193171849754E-3</v>
      </c>
      <c r="AM61" s="126">
        <f t="shared" si="42"/>
        <v>4.8363703375860378E-2</v>
      </c>
      <c r="AN61" s="126">
        <f t="shared" si="43"/>
        <v>-6.0856272877405554E-2</v>
      </c>
      <c r="AO61" s="126">
        <f t="shared" si="44"/>
        <v>1.6896387243541119E-4</v>
      </c>
      <c r="AP61" s="114">
        <f t="shared" si="45"/>
        <v>5.9570058795103686E-3</v>
      </c>
      <c r="AR61" s="92">
        <f t="shared" si="51"/>
        <v>0.37133875405517736</v>
      </c>
      <c r="AS61" s="113">
        <f t="shared" si="46"/>
        <v>-6.8489004719139546E-2</v>
      </c>
      <c r="AT61" s="72">
        <f t="shared" si="47"/>
        <v>0</v>
      </c>
    </row>
    <row r="62" spans="1:46" ht="15.75" thickBot="1" x14ac:dyDescent="0.3">
      <c r="N62" s="43"/>
    </row>
    <row r="63" spans="1:46" x14ac:dyDescent="0.25">
      <c r="W63" s="63" t="s">
        <v>129</v>
      </c>
      <c r="X63" s="118">
        <v>0.21378757618719432</v>
      </c>
      <c r="Y63" s="118">
        <v>0.19577816507089277</v>
      </c>
      <c r="Z63" s="118">
        <v>1.9983691580553915E-2</v>
      </c>
      <c r="AA63" s="118">
        <v>1.3307918242548115E-2</v>
      </c>
      <c r="AB63" s="118">
        <v>0.3521528600235474</v>
      </c>
      <c r="AC63" s="118">
        <v>0.13478929647649207</v>
      </c>
      <c r="AD63" s="118">
        <v>5.5489330739503563E-4</v>
      </c>
      <c r="AE63" s="118">
        <v>6.9645599111376355E-2</v>
      </c>
      <c r="AF63" s="118"/>
      <c r="AG63" s="112">
        <v>0.30284974933603781</v>
      </c>
    </row>
    <row r="64" spans="1:46" x14ac:dyDescent="0.25">
      <c r="O64"/>
      <c r="P64"/>
      <c r="Q64"/>
      <c r="R64"/>
      <c r="S64"/>
      <c r="T64"/>
      <c r="W64" s="64" t="s">
        <v>130</v>
      </c>
      <c r="X64" s="132">
        <v>3.4060995989385248</v>
      </c>
      <c r="Y64" s="132">
        <v>1.6729191789864228</v>
      </c>
      <c r="Z64" s="132">
        <v>3.2032782556447634E-2</v>
      </c>
      <c r="AA64" s="132">
        <v>2.3708333950003446E-2</v>
      </c>
      <c r="AB64" s="132">
        <v>3.5881602713776739</v>
      </c>
      <c r="AC64" s="132">
        <v>1.2086240926647116</v>
      </c>
      <c r="AD64" s="132">
        <v>1.9171897659218148E-4</v>
      </c>
      <c r="AE64" s="132">
        <v>0.21588356484891527</v>
      </c>
      <c r="AF64" s="132"/>
      <c r="AG64" s="135">
        <v>4.7282267451401152</v>
      </c>
    </row>
    <row r="65" spans="15:33" x14ac:dyDescent="0.25">
      <c r="O65"/>
      <c r="P65"/>
      <c r="Q65"/>
      <c r="R65"/>
      <c r="S65"/>
      <c r="T65"/>
      <c r="W65" s="64" t="s">
        <v>131</v>
      </c>
      <c r="X65" s="132">
        <v>0.1845562136298457</v>
      </c>
      <c r="Y65" s="132">
        <v>0.12934137694436468</v>
      </c>
      <c r="Z65" s="132">
        <v>1.7897704477515441E-2</v>
      </c>
      <c r="AA65" s="132">
        <v>1.5397510821559258E-2</v>
      </c>
      <c r="AB65" s="132">
        <v>0.18942439841207556</v>
      </c>
      <c r="AC65" s="132">
        <v>0.10993744096824846</v>
      </c>
      <c r="AD65" s="132">
        <v>1.3846262188481825E-3</v>
      </c>
      <c r="AE65" s="132">
        <v>4.6463272038128701E-2</v>
      </c>
      <c r="AF65" s="132"/>
      <c r="AG65" s="135">
        <v>0.218458595164883</v>
      </c>
    </row>
    <row r="66" spans="15:33" ht="15.75" thickBot="1" x14ac:dyDescent="0.3">
      <c r="O66"/>
      <c r="P66"/>
      <c r="Q66"/>
      <c r="R66"/>
      <c r="S66"/>
      <c r="T66"/>
      <c r="W66" s="65" t="s">
        <v>132</v>
      </c>
      <c r="X66" s="89">
        <v>-0.1845562136298457</v>
      </c>
      <c r="Y66" s="89">
        <v>-0.12934137694436468</v>
      </c>
      <c r="Z66" s="89">
        <v>-1.7897704477515441E-2</v>
      </c>
      <c r="AA66" s="89">
        <v>-1.5397510821559258E-2</v>
      </c>
      <c r="AB66" s="89">
        <v>-0.18942439841207556</v>
      </c>
      <c r="AC66" s="89">
        <v>-0.10993744096824846</v>
      </c>
      <c r="AD66" s="89">
        <v>-1.3846262188481825E-3</v>
      </c>
      <c r="AE66" s="89">
        <v>-4.6463272038128701E-2</v>
      </c>
      <c r="AF66" s="89"/>
      <c r="AG66" s="81">
        <v>-0.218458595164883</v>
      </c>
    </row>
    <row r="69" spans="15:33" x14ac:dyDescent="0.25">
      <c r="O69"/>
      <c r="P69"/>
      <c r="Q69"/>
      <c r="R69"/>
      <c r="S69"/>
      <c r="T69"/>
      <c r="X69" s="82"/>
      <c r="Y69" s="82"/>
      <c r="Z69" s="82"/>
      <c r="AA69" s="82"/>
      <c r="AB69" s="82"/>
      <c r="AC69" s="82"/>
      <c r="AD69" s="82"/>
      <c r="AE69" s="82"/>
      <c r="AF69" s="32"/>
      <c r="AG69" s="82"/>
    </row>
    <row r="70" spans="15:33" x14ac:dyDescent="0.25">
      <c r="O70"/>
      <c r="P70"/>
      <c r="Q70"/>
      <c r="R70"/>
      <c r="S70"/>
      <c r="T70"/>
      <c r="X70" s="82"/>
      <c r="Y70" s="82"/>
      <c r="Z70" s="82"/>
      <c r="AA70" s="82"/>
      <c r="AB70" s="82"/>
      <c r="AC70" s="82"/>
      <c r="AD70" s="82"/>
      <c r="AE70" s="82"/>
      <c r="AF70" s="32"/>
      <c r="AG70" s="82"/>
    </row>
    <row r="71" spans="15:33" x14ac:dyDescent="0.25">
      <c r="O71"/>
      <c r="P71"/>
      <c r="Q71"/>
      <c r="R71"/>
      <c r="S71"/>
      <c r="T71"/>
      <c r="X71" s="82"/>
      <c r="Y71" s="82"/>
      <c r="Z71" s="82"/>
      <c r="AA71" s="82"/>
      <c r="AB71" s="82"/>
      <c r="AC71" s="82"/>
      <c r="AD71" s="82"/>
      <c r="AE71" s="82"/>
      <c r="AF71" s="32"/>
      <c r="AG71" s="82"/>
    </row>
    <row r="72" spans="15:33" x14ac:dyDescent="0.25">
      <c r="O72"/>
      <c r="P72"/>
      <c r="Q72"/>
      <c r="R72"/>
      <c r="S72"/>
      <c r="T72"/>
      <c r="X72" s="82"/>
      <c r="Y72" s="82"/>
      <c r="Z72" s="82"/>
      <c r="AA72" s="82"/>
      <c r="AB72" s="82"/>
      <c r="AC72" s="82"/>
      <c r="AD72" s="82"/>
      <c r="AE72" s="82"/>
      <c r="AF72" s="32"/>
      <c r="AG72" s="82"/>
    </row>
  </sheetData>
  <sortState ref="A3:P111">
    <sortCondition ref="A2"/>
  </sortState>
  <customSheetViews>
    <customSheetView guid="{CA125778-F8FD-4378-B746-C94ABF8D8556}">
      <pane xSplit="1" ySplit="2" topLeftCell="I3" activePane="bottomRight" state="frozen"/>
      <selection pane="bottomRight" activeCell="O35" sqref="O35:P35"/>
      <pageMargins left="0.7" right="0.7" top="0.75" bottom="0.75" header="0.3" footer="0.3"/>
      <pageSetup paperSize="9" orientation="portrait" r:id="rId1"/>
    </customSheetView>
    <customSheetView guid="{630A50AD-37E0-4B13-8A0F-82608C065D57}">
      <pane xSplit="1" ySplit="2" topLeftCell="Z3" activePane="bottomRight" state="frozen"/>
      <selection pane="bottomRight" activeCell="AM4" sqref="AM4"/>
      <pageMargins left="0.7" right="0.7" top="0.75" bottom="0.75" header="0.3" footer="0.3"/>
      <pageSetup paperSize="9" orientation="portrait" r:id="rId2"/>
    </customSheetView>
    <customSheetView guid="{80E426B4-B9D0-45E3-ACA1-6AA797532F97}">
      <pane xSplit="1" ySplit="2" topLeftCell="K81" activePane="bottomRight" state="frozen"/>
      <selection pane="bottomRight" activeCell="A109" sqref="A109:XFD109"/>
      <pageMargins left="0.7" right="0.7" top="0.75" bottom="0.75" header="0.3" footer="0.3"/>
      <pageSetup paperSize="9" orientation="portrait" r:id="rId3"/>
    </customSheetView>
    <customSheetView guid="{A178F800-3B7E-4511-BF10-5AA233FDE985}">
      <pane xSplit="3" ySplit="2" topLeftCell="D3" activePane="bottomRight" state="frozen"/>
      <selection pane="bottomRight" activeCell="B68" sqref="B68"/>
      <pageMargins left="0.7" right="0.7" top="0.75" bottom="0.75" header="0.3" footer="0.3"/>
      <pageSetup paperSize="9" orientation="portrait" r:id="rId4"/>
    </customSheetView>
    <customSheetView guid="{1AAC2EB3-B963-4CB8-8604-06326666FF8C}" scale="90">
      <pane xSplit="1" ySplit="2" topLeftCell="B43" activePane="bottomRight" state="frozen"/>
      <selection pane="bottomRight" activeCell="A43" sqref="A43"/>
      <pageMargins left="0.7" right="0.7" top="0.75" bottom="0.75" header="0.3" footer="0.3"/>
      <pageSetup paperSize="9" orientation="portrait" r:id="rId5"/>
    </customSheetView>
    <customSheetView guid="{898A57C7-EA84-4A1C-AA42-8284F31DD32C}">
      <pane xSplit="1" ySplit="2" topLeftCell="K30" activePane="bottomRight" state="frozen"/>
      <selection pane="bottomRight" activeCell="L36" sqref="L36"/>
      <pageMargins left="0.7" right="0.7" top="0.75" bottom="0.75" header="0.3" footer="0.3"/>
      <pageSetup paperSize="9" orientation="portrait" r:id="rId6"/>
    </customSheetView>
    <customSheetView guid="{88D7A6C6-1D77-4300-8600-F7BD640C7FF4}">
      <pane xSplit="1" ySplit="2" topLeftCell="K69" activePane="bottomRight" state="frozen"/>
      <selection pane="bottomRight" activeCell="S12" sqref="S12"/>
      <pageMargins left="0.7" right="0.7" top="0.75" bottom="0.75" header="0.3" footer="0.3"/>
      <pageSetup paperSize="9" orientation="portrait" r:id="rId7"/>
    </customSheetView>
    <customSheetView guid="{15973B62-11BC-4FDE-92B3-1DF2358CDD3E}">
      <pane xSplit="1" ySplit="2" topLeftCell="P9" activePane="bottomRight" state="frozen"/>
      <selection pane="bottomRight" activeCell="AF78" sqref="AF78"/>
      <pageMargins left="0.7" right="0.7" top="0.75" bottom="0.75" header="0.3" footer="0.3"/>
      <pageSetup paperSize="9" orientation="portrait" r:id="rId8"/>
    </customSheetView>
  </customSheetViews>
  <mergeCells count="7">
    <mergeCell ref="B1:I1"/>
    <mergeCell ref="L1:N1"/>
    <mergeCell ref="X1:AC1"/>
    <mergeCell ref="AI1:AN1"/>
    <mergeCell ref="O1:Q1"/>
    <mergeCell ref="R1:T1"/>
    <mergeCell ref="U1:V1"/>
  </mergeCells>
  <conditionalFormatting sqref="AM3 AL3:AL61">
    <cfRule type="cellIs" dxfId="8" priority="6" operator="between">
      <formula>$AA$65</formula>
      <formula>$AA$66</formula>
    </cfRule>
  </conditionalFormatting>
  <conditionalFormatting sqref="AT3:AT61">
    <cfRule type="cellIs" dxfId="7" priority="1" operator="equal">
      <formula>0</formula>
    </cfRule>
  </conditionalFormatting>
  <conditionalFormatting sqref="AI3:AI61">
    <cfRule type="cellIs" dxfId="6" priority="845" operator="between">
      <formula>$X$65</formula>
      <formula>$X$66</formula>
    </cfRule>
  </conditionalFormatting>
  <conditionalFormatting sqref="AJ3:AK61">
    <cfRule type="cellIs" dxfId="5" priority="847" operator="between">
      <formula>$Y$65</formula>
      <formula>$Y$66</formula>
    </cfRule>
  </conditionalFormatting>
  <conditionalFormatting sqref="AK3:AK61">
    <cfRule type="cellIs" dxfId="4" priority="849" operator="between">
      <formula>$Z$65</formula>
      <formula>$Z$66</formula>
    </cfRule>
  </conditionalFormatting>
  <conditionalFormatting sqref="AM3:AM61">
    <cfRule type="cellIs" dxfId="3" priority="851" operator="between">
      <formula>$AB$65</formula>
      <formula>$AB$66</formula>
    </cfRule>
  </conditionalFormatting>
  <conditionalFormatting sqref="AN3:AN61">
    <cfRule type="cellIs" dxfId="2" priority="853" operator="between">
      <formula>$AC$65</formula>
      <formula>$AC$66</formula>
    </cfRule>
  </conditionalFormatting>
  <conditionalFormatting sqref="AO3:AO61">
    <cfRule type="cellIs" dxfId="1" priority="855" operator="between">
      <formula>$AD$65</formula>
      <formula>$AD$66</formula>
    </cfRule>
  </conditionalFormatting>
  <conditionalFormatting sqref="AP3:AP61">
    <cfRule type="cellIs" dxfId="0" priority="857" operator="between">
      <formula>$AE$65</formula>
      <formula>$AE$66</formula>
    </cfRule>
  </conditionalFormatting>
  <pageMargins left="0.7" right="0.7" top="0.75" bottom="0.75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4"/>
  <sheetViews>
    <sheetView zoomScaleNormal="100" workbookViewId="0">
      <pane xSplit="1" ySplit="2" topLeftCell="Z3" activePane="bottomRight" state="frozen"/>
      <selection pane="topRight" activeCell="B1" sqref="B1"/>
      <selection pane="bottomLeft" activeCell="A3" sqref="A3"/>
      <selection pane="bottomRight" activeCell="BA56" sqref="BA56"/>
    </sheetView>
  </sheetViews>
  <sheetFormatPr defaultRowHeight="15" x14ac:dyDescent="0.25"/>
  <cols>
    <col min="1" max="1" width="32" style="7" customWidth="1"/>
    <col min="2" max="2" width="10.140625" style="7" bestFit="1" customWidth="1"/>
    <col min="3" max="3" width="10.5703125" style="7" bestFit="1" customWidth="1"/>
    <col min="4" max="4" width="11.28515625" style="7" bestFit="1" customWidth="1"/>
    <col min="5" max="5" width="11.7109375" style="7" bestFit="1" customWidth="1"/>
    <col min="6" max="7" width="10.140625" style="7" bestFit="1" customWidth="1"/>
    <col min="8" max="8" width="10.85546875" style="7" bestFit="1" customWidth="1"/>
    <col min="9" max="9" width="9.140625" style="7" bestFit="1" customWidth="1"/>
    <col min="10" max="10" width="10" style="7" bestFit="1" customWidth="1"/>
    <col min="11" max="32" width="9.140625" style="7" customWidth="1"/>
    <col min="33" max="33" width="14" style="7" customWidth="1"/>
    <col min="34" max="34" width="12.7109375" style="7" customWidth="1"/>
    <col min="35" max="35" width="14" style="7" customWidth="1"/>
    <col min="36" max="39" width="9.140625" style="7" customWidth="1"/>
    <col min="40" max="40" width="11" style="7" customWidth="1"/>
    <col min="41" max="41" width="9.140625" style="7" customWidth="1"/>
    <col min="42" max="42" width="13" style="7" customWidth="1"/>
    <col min="43" max="16384" width="9.140625" style="7"/>
  </cols>
  <sheetData>
    <row r="1" spans="1:42" s="139" customFormat="1" ht="18.75" customHeight="1" thickBot="1" x14ac:dyDescent="0.3">
      <c r="A1" s="362" t="s">
        <v>0</v>
      </c>
      <c r="B1" s="364" t="s">
        <v>98</v>
      </c>
      <c r="C1" s="365"/>
      <c r="D1" s="365"/>
      <c r="E1" s="365"/>
      <c r="F1" s="365"/>
      <c r="G1" s="365"/>
      <c r="H1" s="365"/>
      <c r="I1" s="366"/>
      <c r="J1" s="67" t="s">
        <v>100</v>
      </c>
      <c r="K1" s="364" t="s">
        <v>1</v>
      </c>
      <c r="L1" s="365"/>
      <c r="M1" s="365"/>
      <c r="N1" s="365"/>
      <c r="O1" s="365"/>
      <c r="P1" s="365"/>
      <c r="Q1" s="365"/>
      <c r="R1" s="366"/>
      <c r="S1" s="360" t="s">
        <v>2</v>
      </c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7"/>
      <c r="AF1" s="360" t="s">
        <v>3</v>
      </c>
      <c r="AG1" s="367"/>
      <c r="AH1" s="360" t="s">
        <v>4</v>
      </c>
      <c r="AI1" s="367"/>
      <c r="AJ1" s="360" t="s">
        <v>5</v>
      </c>
      <c r="AK1" s="361"/>
      <c r="AL1" s="367"/>
      <c r="AM1" s="360" t="s">
        <v>6</v>
      </c>
      <c r="AN1" s="361"/>
      <c r="AO1" s="194" t="s">
        <v>7</v>
      </c>
      <c r="AP1" s="195" t="s">
        <v>8</v>
      </c>
    </row>
    <row r="2" spans="1:42" s="139" customFormat="1" ht="120.75" thickBot="1" x14ac:dyDescent="0.3">
      <c r="A2" s="363"/>
      <c r="B2" s="196" t="s">
        <v>1</v>
      </c>
      <c r="C2" s="197" t="s">
        <v>106</v>
      </c>
      <c r="D2" s="197" t="s">
        <v>107</v>
      </c>
      <c r="E2" s="197" t="s">
        <v>111</v>
      </c>
      <c r="F2" s="197" t="s">
        <v>108</v>
      </c>
      <c r="G2" s="197" t="s">
        <v>109</v>
      </c>
      <c r="H2" s="197" t="s">
        <v>110</v>
      </c>
      <c r="I2" s="198" t="s">
        <v>7</v>
      </c>
      <c r="J2" s="8" t="s">
        <v>102</v>
      </c>
      <c r="K2" s="37" t="s">
        <v>9</v>
      </c>
      <c r="L2" s="38" t="s">
        <v>10</v>
      </c>
      <c r="M2" s="38" t="s">
        <v>11</v>
      </c>
      <c r="N2" s="38" t="s">
        <v>12</v>
      </c>
      <c r="O2" s="38" t="s">
        <v>13</v>
      </c>
      <c r="P2" s="38" t="s">
        <v>14</v>
      </c>
      <c r="Q2" s="38" t="s">
        <v>15</v>
      </c>
      <c r="R2" s="39" t="s">
        <v>16</v>
      </c>
      <c r="S2" s="40" t="s">
        <v>17</v>
      </c>
      <c r="T2" s="38" t="s">
        <v>18</v>
      </c>
      <c r="U2" s="38" t="s">
        <v>19</v>
      </c>
      <c r="V2" s="38" t="s">
        <v>20</v>
      </c>
      <c r="W2" s="38" t="s">
        <v>21</v>
      </c>
      <c r="X2" s="38" t="s">
        <v>22</v>
      </c>
      <c r="Y2" s="38" t="s">
        <v>23</v>
      </c>
      <c r="Z2" s="38" t="s">
        <v>24</v>
      </c>
      <c r="AA2" s="38" t="s">
        <v>25</v>
      </c>
      <c r="AB2" s="38" t="s">
        <v>26</v>
      </c>
      <c r="AC2" s="38" t="s">
        <v>27</v>
      </c>
      <c r="AD2" s="38" t="s">
        <v>28</v>
      </c>
      <c r="AE2" s="39" t="s">
        <v>29</v>
      </c>
      <c r="AF2" s="37" t="s">
        <v>30</v>
      </c>
      <c r="AG2" s="39" t="s">
        <v>31</v>
      </c>
      <c r="AH2" s="40" t="s">
        <v>30</v>
      </c>
      <c r="AI2" s="39" t="s">
        <v>32</v>
      </c>
      <c r="AJ2" s="37" t="s">
        <v>33</v>
      </c>
      <c r="AK2" s="38" t="s">
        <v>34</v>
      </c>
      <c r="AL2" s="39" t="s">
        <v>35</v>
      </c>
      <c r="AM2" s="40" t="s">
        <v>30</v>
      </c>
      <c r="AN2" s="41" t="s">
        <v>36</v>
      </c>
      <c r="AO2" s="41" t="s">
        <v>37</v>
      </c>
      <c r="AP2" s="214" t="s">
        <v>38</v>
      </c>
    </row>
    <row r="3" spans="1:42" s="42" customFormat="1" x14ac:dyDescent="0.25">
      <c r="A3" s="106" t="s">
        <v>39</v>
      </c>
      <c r="B3" s="93">
        <f t="shared" ref="B3:B19" si="0">4.279*SUM(K3:N3)*1000+87.088*SUM(O3:R3)*1000</f>
        <v>5185054</v>
      </c>
      <c r="C3" s="117">
        <f t="shared" ref="C3:C34" si="1">6628*S3+13891*T3+24337*V3+102864*(X3+Z3)+597*(AC3+AE3)</f>
        <v>1723825</v>
      </c>
      <c r="D3" s="117">
        <f t="shared" ref="D3:D32" si="2">13523*AF3</f>
        <v>595012</v>
      </c>
      <c r="E3" s="117">
        <f t="shared" ref="E3:E32" si="3">19.74*AI3</f>
        <v>88830</v>
      </c>
      <c r="F3" s="117">
        <f>VLOOKUP(A3,Renseanlæg!$I$1:$K$66,3,FALSE)</f>
        <v>0</v>
      </c>
      <c r="G3" s="117">
        <f t="shared" ref="G3:G32" si="4">3965.4*AJ3+4747.7*(AK3+AL3)</f>
        <v>0</v>
      </c>
      <c r="H3" s="117">
        <f t="shared" ref="H3:H32" si="5">2540*AM3</f>
        <v>0</v>
      </c>
      <c r="I3" s="111">
        <f t="shared" ref="I3:I32" si="6">120.8*AO3</f>
        <v>1023780</v>
      </c>
      <c r="J3" s="87">
        <f t="shared" ref="J3:J17" si="7">AO3/(SUM(K3:R3)*1000)</f>
        <v>1.8544857768052515E-2</v>
      </c>
      <c r="K3" s="199">
        <v>15</v>
      </c>
      <c r="L3" s="200">
        <v>22</v>
      </c>
      <c r="M3" s="200">
        <v>226</v>
      </c>
      <c r="N3" s="200">
        <v>155</v>
      </c>
      <c r="O3" s="200">
        <v>19</v>
      </c>
      <c r="P3" s="200">
        <v>20</v>
      </c>
      <c r="Q3" s="200">
        <v>0</v>
      </c>
      <c r="R3" s="201">
        <v>0</v>
      </c>
      <c r="S3" s="199">
        <v>1</v>
      </c>
      <c r="T3" s="200">
        <v>10</v>
      </c>
      <c r="U3" s="200">
        <v>49</v>
      </c>
      <c r="V3" s="200">
        <v>35</v>
      </c>
      <c r="W3" s="202">
        <v>1130</v>
      </c>
      <c r="X3" s="200">
        <v>3</v>
      </c>
      <c r="Y3" s="200">
        <v>471</v>
      </c>
      <c r="Z3" s="200">
        <v>0</v>
      </c>
      <c r="AA3" s="200">
        <v>0</v>
      </c>
      <c r="AB3" s="200">
        <v>1</v>
      </c>
      <c r="AC3" s="200">
        <v>700</v>
      </c>
      <c r="AD3" s="200">
        <v>0</v>
      </c>
      <c r="AE3" s="201">
        <v>0</v>
      </c>
      <c r="AF3" s="203">
        <v>44</v>
      </c>
      <c r="AG3" s="204">
        <v>457787</v>
      </c>
      <c r="AH3" s="205">
        <v>2</v>
      </c>
      <c r="AI3" s="204">
        <v>4500</v>
      </c>
      <c r="AJ3" s="206">
        <v>0</v>
      </c>
      <c r="AK3" s="200">
        <v>0</v>
      </c>
      <c r="AL3" s="201">
        <v>0</v>
      </c>
      <c r="AM3" s="206">
        <v>0</v>
      </c>
      <c r="AN3" s="201">
        <v>0</v>
      </c>
      <c r="AO3" s="207">
        <v>8475</v>
      </c>
      <c r="AP3" s="215">
        <v>128938</v>
      </c>
    </row>
    <row r="4" spans="1:42" s="42" customFormat="1" x14ac:dyDescent="0.25">
      <c r="A4" s="79" t="s">
        <v>40</v>
      </c>
      <c r="B4" s="78">
        <f t="shared" si="0"/>
        <v>4857562.8550000004</v>
      </c>
      <c r="C4" s="129">
        <f t="shared" si="1"/>
        <v>10819779</v>
      </c>
      <c r="D4" s="129">
        <f t="shared" si="2"/>
        <v>405690</v>
      </c>
      <c r="E4" s="129">
        <f t="shared" si="3"/>
        <v>1052220.96</v>
      </c>
      <c r="F4" s="129">
        <f>VLOOKUP(A4,Renseanlæg!$I$1:$K$66,3,FALSE)</f>
        <v>8437518.9551864527</v>
      </c>
      <c r="G4" s="129">
        <f t="shared" si="4"/>
        <v>2429405.42</v>
      </c>
      <c r="H4" s="129">
        <f t="shared" si="5"/>
        <v>0</v>
      </c>
      <c r="I4" s="136">
        <f t="shared" si="6"/>
        <v>1895352</v>
      </c>
      <c r="J4" s="130">
        <f t="shared" si="7"/>
        <v>1.6179160745994393E-2</v>
      </c>
      <c r="K4" s="121">
        <v>256.95400000000001</v>
      </c>
      <c r="L4" s="34">
        <v>292.69799999999998</v>
      </c>
      <c r="M4" s="34">
        <v>139.76300000000001</v>
      </c>
      <c r="N4" s="34">
        <v>271.80200000000002</v>
      </c>
      <c r="O4" s="34">
        <v>4.7690000000000001</v>
      </c>
      <c r="P4" s="34">
        <v>3.78</v>
      </c>
      <c r="Q4" s="34">
        <v>0</v>
      </c>
      <c r="R4" s="77">
        <v>0</v>
      </c>
      <c r="S4" s="121">
        <v>0</v>
      </c>
      <c r="T4" s="34">
        <v>23</v>
      </c>
      <c r="U4" s="34">
        <v>152</v>
      </c>
      <c r="V4" s="34">
        <v>118</v>
      </c>
      <c r="W4" s="127">
        <v>6915</v>
      </c>
      <c r="X4" s="34">
        <v>54</v>
      </c>
      <c r="Y4" s="34">
        <v>7682</v>
      </c>
      <c r="Z4" s="34">
        <v>6</v>
      </c>
      <c r="AA4" s="34">
        <v>2740</v>
      </c>
      <c r="AB4" s="34">
        <v>1</v>
      </c>
      <c r="AC4" s="34">
        <v>1000</v>
      </c>
      <c r="AD4" s="34">
        <v>1</v>
      </c>
      <c r="AE4" s="77">
        <v>1440</v>
      </c>
      <c r="AF4" s="95">
        <v>30</v>
      </c>
      <c r="AG4" s="74">
        <v>30219</v>
      </c>
      <c r="AH4" s="100">
        <v>58</v>
      </c>
      <c r="AI4" s="74">
        <v>53304</v>
      </c>
      <c r="AJ4" s="84">
        <v>406</v>
      </c>
      <c r="AK4" s="34">
        <v>172.6</v>
      </c>
      <c r="AL4" s="77">
        <v>0</v>
      </c>
      <c r="AM4" s="84">
        <v>0</v>
      </c>
      <c r="AN4" s="77">
        <v>0</v>
      </c>
      <c r="AO4" s="36">
        <v>15690</v>
      </c>
      <c r="AP4" s="216">
        <v>3630236</v>
      </c>
    </row>
    <row r="5" spans="1:42" s="42" customFormat="1" x14ac:dyDescent="0.25">
      <c r="A5" s="79" t="s">
        <v>41</v>
      </c>
      <c r="B5" s="78">
        <f t="shared" si="0"/>
        <v>4687216.6000000006</v>
      </c>
      <c r="C5" s="129">
        <f t="shared" si="1"/>
        <v>8524534</v>
      </c>
      <c r="D5" s="129">
        <f t="shared" si="2"/>
        <v>1298208</v>
      </c>
      <c r="E5" s="129">
        <f t="shared" si="3"/>
        <v>229003.74</v>
      </c>
      <c r="F5" s="129">
        <f>VLOOKUP(A5,Renseanlæg!$I$1:$K$66,3,FALSE)</f>
        <v>15873905.897699326</v>
      </c>
      <c r="G5" s="129">
        <f t="shared" si="4"/>
        <v>3291282</v>
      </c>
      <c r="H5" s="129">
        <f t="shared" si="5"/>
        <v>297180</v>
      </c>
      <c r="I5" s="136">
        <f t="shared" si="6"/>
        <v>1981120</v>
      </c>
      <c r="J5" s="130">
        <f t="shared" si="7"/>
        <v>1.4971699835676465E-2</v>
      </c>
      <c r="K5" s="121">
        <v>497.2</v>
      </c>
      <c r="L5" s="34">
        <v>111.8</v>
      </c>
      <c r="M5" s="34">
        <v>339.9</v>
      </c>
      <c r="N5" s="34">
        <v>146.5</v>
      </c>
      <c r="O5" s="34">
        <v>0</v>
      </c>
      <c r="P5" s="34">
        <v>0</v>
      </c>
      <c r="Q5" s="34">
        <v>0</v>
      </c>
      <c r="R5" s="77">
        <v>0</v>
      </c>
      <c r="S5" s="121">
        <v>679</v>
      </c>
      <c r="T5" s="34">
        <v>30</v>
      </c>
      <c r="U5" s="34">
        <v>251</v>
      </c>
      <c r="V5" s="34">
        <v>144</v>
      </c>
      <c r="W5" s="127">
        <v>4004</v>
      </c>
      <c r="X5" s="34">
        <v>1</v>
      </c>
      <c r="Y5" s="34">
        <v>240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77">
        <v>0</v>
      </c>
      <c r="AF5" s="95">
        <v>96</v>
      </c>
      <c r="AG5" s="74">
        <v>192077</v>
      </c>
      <c r="AH5" s="100">
        <v>19</v>
      </c>
      <c r="AI5" s="74">
        <v>11601</v>
      </c>
      <c r="AJ5" s="84">
        <v>830</v>
      </c>
      <c r="AK5" s="34">
        <v>0</v>
      </c>
      <c r="AL5" s="77">
        <v>0</v>
      </c>
      <c r="AM5" s="84">
        <v>117</v>
      </c>
      <c r="AN5" s="77">
        <v>760</v>
      </c>
      <c r="AO5" s="36">
        <v>16400</v>
      </c>
      <c r="AP5" s="217">
        <v>3524394</v>
      </c>
    </row>
    <row r="6" spans="1:42" s="42" customFormat="1" x14ac:dyDescent="0.25">
      <c r="A6" s="79" t="s">
        <v>42</v>
      </c>
      <c r="B6" s="78">
        <f t="shared" si="0"/>
        <v>4441771</v>
      </c>
      <c r="C6" s="129">
        <f t="shared" si="1"/>
        <v>1081860</v>
      </c>
      <c r="D6" s="129">
        <f t="shared" si="2"/>
        <v>121707</v>
      </c>
      <c r="E6" s="129">
        <f t="shared" si="3"/>
        <v>304785.59999999998</v>
      </c>
      <c r="F6" s="129">
        <f>VLOOKUP(A6,Renseanlæg!$I$1:$K$66,3,FALSE)</f>
        <v>0</v>
      </c>
      <c r="G6" s="129">
        <f t="shared" si="4"/>
        <v>0</v>
      </c>
      <c r="H6" s="129">
        <f t="shared" si="5"/>
        <v>0</v>
      </c>
      <c r="I6" s="136">
        <f t="shared" si="6"/>
        <v>722988</v>
      </c>
      <c r="J6" s="130">
        <f t="shared" si="7"/>
        <v>1.8586956521739129E-2</v>
      </c>
      <c r="K6" s="121">
        <v>9</v>
      </c>
      <c r="L6" s="34">
        <v>17</v>
      </c>
      <c r="M6" s="34">
        <v>105</v>
      </c>
      <c r="N6" s="34">
        <v>154</v>
      </c>
      <c r="O6" s="34">
        <v>23</v>
      </c>
      <c r="P6" s="34">
        <v>14</v>
      </c>
      <c r="Q6" s="34">
        <v>0</v>
      </c>
      <c r="R6" s="77">
        <v>0</v>
      </c>
      <c r="S6" s="121">
        <v>0</v>
      </c>
      <c r="T6" s="34"/>
      <c r="U6" s="34">
        <v>0</v>
      </c>
      <c r="V6" s="34">
        <v>36</v>
      </c>
      <c r="W6" s="127">
        <v>1800</v>
      </c>
      <c r="X6" s="34">
        <v>2</v>
      </c>
      <c r="Y6" s="34">
        <v>400</v>
      </c>
      <c r="Z6" s="34"/>
      <c r="AA6" s="34">
        <v>0</v>
      </c>
      <c r="AB6" s="34">
        <v>0</v>
      </c>
      <c r="AC6" s="34">
        <v>0</v>
      </c>
      <c r="AD6" s="34">
        <v>0</v>
      </c>
      <c r="AE6" s="77">
        <v>0</v>
      </c>
      <c r="AF6" s="95">
        <v>9</v>
      </c>
      <c r="AG6" s="74">
        <v>94128</v>
      </c>
      <c r="AH6" s="100">
        <v>6</v>
      </c>
      <c r="AI6" s="74">
        <v>15440</v>
      </c>
      <c r="AJ6" s="84">
        <v>0</v>
      </c>
      <c r="AK6" s="34">
        <v>0</v>
      </c>
      <c r="AL6" s="77">
        <v>0</v>
      </c>
      <c r="AM6" s="84">
        <v>0</v>
      </c>
      <c r="AN6" s="77">
        <v>0</v>
      </c>
      <c r="AO6" s="36">
        <v>5985</v>
      </c>
      <c r="AP6" s="217">
        <v>33005</v>
      </c>
    </row>
    <row r="7" spans="1:42" s="42" customFormat="1" x14ac:dyDescent="0.25">
      <c r="A7" s="79" t="s">
        <v>43</v>
      </c>
      <c r="B7" s="78">
        <f t="shared" si="0"/>
        <v>2406937.5</v>
      </c>
      <c r="C7" s="129">
        <f t="shared" si="1"/>
        <v>3585784</v>
      </c>
      <c r="D7" s="129">
        <f t="shared" si="2"/>
        <v>189322</v>
      </c>
      <c r="E7" s="129">
        <f t="shared" si="3"/>
        <v>459941.99999999994</v>
      </c>
      <c r="F7" s="129">
        <f>VLOOKUP(A7,Renseanlæg!$I$1:$K$66,3,FALSE)</f>
        <v>8251402.8646298889</v>
      </c>
      <c r="G7" s="129">
        <f t="shared" si="4"/>
        <v>3114491.1999999997</v>
      </c>
      <c r="H7" s="129">
        <f t="shared" si="5"/>
        <v>0</v>
      </c>
      <c r="I7" s="136">
        <f t="shared" si="6"/>
        <v>1369872</v>
      </c>
      <c r="J7" s="130">
        <f t="shared" si="7"/>
        <v>2.0160000000000001E-2</v>
      </c>
      <c r="K7" s="121">
        <v>110.7</v>
      </c>
      <c r="L7" s="34">
        <v>43.8</v>
      </c>
      <c r="M7" s="34">
        <v>205.2</v>
      </c>
      <c r="N7" s="34">
        <v>202.8</v>
      </c>
      <c r="O7" s="34"/>
      <c r="P7" s="34"/>
      <c r="Q7" s="34"/>
      <c r="R7" s="77"/>
      <c r="S7" s="121">
        <v>15</v>
      </c>
      <c r="T7" s="34">
        <v>5</v>
      </c>
      <c r="U7" s="34">
        <v>20</v>
      </c>
      <c r="V7" s="34">
        <v>77</v>
      </c>
      <c r="W7" s="127">
        <v>3932</v>
      </c>
      <c r="X7" s="34">
        <v>15</v>
      </c>
      <c r="Y7" s="34">
        <v>3122</v>
      </c>
      <c r="Z7" s="34"/>
      <c r="AA7" s="34"/>
      <c r="AB7" s="34"/>
      <c r="AC7" s="34"/>
      <c r="AD7" s="34"/>
      <c r="AE7" s="77"/>
      <c r="AF7" s="95">
        <v>14</v>
      </c>
      <c r="AG7" s="74">
        <v>27000</v>
      </c>
      <c r="AH7" s="100">
        <v>26</v>
      </c>
      <c r="AI7" s="74">
        <v>23300</v>
      </c>
      <c r="AJ7" s="84"/>
      <c r="AK7" s="34">
        <v>0</v>
      </c>
      <c r="AL7" s="77">
        <v>656</v>
      </c>
      <c r="AM7" s="84"/>
      <c r="AN7" s="77"/>
      <c r="AO7" s="36">
        <v>11340</v>
      </c>
      <c r="AP7" s="217">
        <v>1806730</v>
      </c>
    </row>
    <row r="8" spans="1:42" s="42" customFormat="1" x14ac:dyDescent="0.25">
      <c r="A8" s="79" t="s">
        <v>46</v>
      </c>
      <c r="B8" s="78">
        <f t="shared" si="0"/>
        <v>5927782.7999999989</v>
      </c>
      <c r="C8" s="129">
        <f t="shared" si="1"/>
        <v>4007458</v>
      </c>
      <c r="D8" s="129">
        <f t="shared" si="2"/>
        <v>1000702</v>
      </c>
      <c r="E8" s="129">
        <f t="shared" si="3"/>
        <v>531558.72</v>
      </c>
      <c r="F8" s="129">
        <f>VLOOKUP(A8,Renseanlæg!$I$1:$K$66,3,FALSE)</f>
        <v>6092213.3059917707</v>
      </c>
      <c r="G8" s="129">
        <f t="shared" si="4"/>
        <v>2578699.62</v>
      </c>
      <c r="H8" s="129">
        <f t="shared" si="5"/>
        <v>7620</v>
      </c>
      <c r="I8" s="136">
        <f t="shared" si="6"/>
        <v>1869017.5999999999</v>
      </c>
      <c r="J8" s="130">
        <f t="shared" si="7"/>
        <v>2.6312925170068033E-2</v>
      </c>
      <c r="K8" s="121">
        <v>95.4</v>
      </c>
      <c r="L8" s="34">
        <v>54.9</v>
      </c>
      <c r="M8" s="34">
        <v>268.3</v>
      </c>
      <c r="N8" s="34">
        <v>128.19999999999999</v>
      </c>
      <c r="O8" s="34">
        <v>6.8</v>
      </c>
      <c r="P8" s="34">
        <v>34.4</v>
      </c>
      <c r="Q8" s="34"/>
      <c r="R8" s="77"/>
      <c r="S8" s="121">
        <v>33</v>
      </c>
      <c r="T8" s="34">
        <v>79</v>
      </c>
      <c r="U8" s="34">
        <v>561.70000000000005</v>
      </c>
      <c r="V8" s="34">
        <v>81</v>
      </c>
      <c r="W8" s="127">
        <v>2025</v>
      </c>
      <c r="X8" s="34">
        <v>5</v>
      </c>
      <c r="Y8" s="34">
        <v>1128</v>
      </c>
      <c r="Z8" s="34">
        <v>2</v>
      </c>
      <c r="AA8" s="34">
        <v>650</v>
      </c>
      <c r="AB8" s="34"/>
      <c r="AC8" s="34"/>
      <c r="AD8" s="34"/>
      <c r="AE8" s="77"/>
      <c r="AF8" s="95">
        <v>74</v>
      </c>
      <c r="AG8" s="74">
        <v>230135</v>
      </c>
      <c r="AH8" s="100">
        <v>17</v>
      </c>
      <c r="AI8" s="74">
        <v>26928</v>
      </c>
      <c r="AJ8" s="84">
        <v>650.29999999999995</v>
      </c>
      <c r="AK8" s="34">
        <v>0</v>
      </c>
      <c r="AL8" s="77">
        <v>0</v>
      </c>
      <c r="AM8" s="84">
        <v>3</v>
      </c>
      <c r="AN8" s="77">
        <v>25</v>
      </c>
      <c r="AO8" s="36">
        <v>15472</v>
      </c>
      <c r="AP8" s="217">
        <v>1855268</v>
      </c>
    </row>
    <row r="9" spans="1:42" s="42" customFormat="1" x14ac:dyDescent="0.25">
      <c r="A9" s="79" t="s">
        <v>44</v>
      </c>
      <c r="B9" s="78">
        <f t="shared" si="0"/>
        <v>4569972</v>
      </c>
      <c r="C9" s="129">
        <f t="shared" si="1"/>
        <v>5545256</v>
      </c>
      <c r="D9" s="129">
        <f t="shared" si="2"/>
        <v>1555145</v>
      </c>
      <c r="E9" s="129">
        <f t="shared" si="3"/>
        <v>18555.599999999999</v>
      </c>
      <c r="F9" s="129">
        <f>VLOOKUP(A9,Renseanlæg!$I$1:$K$66,3,FALSE)</f>
        <v>13930913.405917585</v>
      </c>
      <c r="G9" s="129">
        <f t="shared" si="4"/>
        <v>3719545.2</v>
      </c>
      <c r="H9" s="129">
        <f t="shared" si="5"/>
        <v>20320</v>
      </c>
      <c r="I9" s="136">
        <f t="shared" si="6"/>
        <v>1879648</v>
      </c>
      <c r="J9" s="130">
        <f t="shared" si="7"/>
        <v>1.4569288389513109E-2</v>
      </c>
      <c r="K9" s="121">
        <v>350</v>
      </c>
      <c r="L9" s="34">
        <v>267</v>
      </c>
      <c r="M9" s="34">
        <v>278</v>
      </c>
      <c r="N9" s="34">
        <v>173</v>
      </c>
      <c r="O9" s="34">
        <v>0</v>
      </c>
      <c r="P9" s="34">
        <v>0</v>
      </c>
      <c r="Q9" s="34">
        <v>0</v>
      </c>
      <c r="R9" s="77">
        <v>0</v>
      </c>
      <c r="S9" s="121">
        <v>102</v>
      </c>
      <c r="T9" s="34">
        <v>91</v>
      </c>
      <c r="U9" s="34">
        <v>728</v>
      </c>
      <c r="V9" s="34">
        <v>127</v>
      </c>
      <c r="W9" s="127">
        <v>5700</v>
      </c>
      <c r="X9" s="34">
        <v>5</v>
      </c>
      <c r="Y9" s="34">
        <v>300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77">
        <v>0</v>
      </c>
      <c r="AF9" s="95">
        <v>115</v>
      </c>
      <c r="AG9" s="74">
        <v>400173</v>
      </c>
      <c r="AH9" s="100">
        <v>5</v>
      </c>
      <c r="AI9" s="74">
        <v>940</v>
      </c>
      <c r="AJ9" s="84">
        <v>938</v>
      </c>
      <c r="AK9" s="34">
        <v>0</v>
      </c>
      <c r="AL9" s="77">
        <v>0</v>
      </c>
      <c r="AM9" s="84">
        <v>8</v>
      </c>
      <c r="AN9" s="77">
        <v>40</v>
      </c>
      <c r="AO9" s="213">
        <v>15560</v>
      </c>
      <c r="AP9" s="213">
        <v>2774878</v>
      </c>
    </row>
    <row r="10" spans="1:42" s="42" customFormat="1" x14ac:dyDescent="0.25">
      <c r="A10" s="79" t="s">
        <v>45</v>
      </c>
      <c r="B10" s="78">
        <f t="shared" si="0"/>
        <v>2500444</v>
      </c>
      <c r="C10" s="129">
        <f t="shared" si="1"/>
        <v>2459184</v>
      </c>
      <c r="D10" s="129">
        <f t="shared" si="2"/>
        <v>473305</v>
      </c>
      <c r="E10" s="129">
        <f t="shared" si="3"/>
        <v>0</v>
      </c>
      <c r="F10" s="129">
        <f>VLOOKUP(A10,Renseanlæg!$I$1:$K$66,3,FALSE)</f>
        <v>19447483.819912631</v>
      </c>
      <c r="G10" s="129">
        <f t="shared" si="4"/>
        <v>4528486.8</v>
      </c>
      <c r="H10" s="129">
        <f t="shared" si="5"/>
        <v>0</v>
      </c>
      <c r="I10" s="136">
        <f t="shared" si="6"/>
        <v>1751600</v>
      </c>
      <c r="J10" s="130">
        <f t="shared" si="7"/>
        <v>2.5663716814159292E-2</v>
      </c>
      <c r="K10" s="104">
        <v>150</v>
      </c>
      <c r="L10" s="116">
        <v>54</v>
      </c>
      <c r="M10" s="116">
        <v>211</v>
      </c>
      <c r="N10" s="116">
        <v>149</v>
      </c>
      <c r="O10" s="116">
        <v>0</v>
      </c>
      <c r="P10" s="116">
        <v>1</v>
      </c>
      <c r="Q10" s="116">
        <v>0</v>
      </c>
      <c r="R10" s="120">
        <v>0</v>
      </c>
      <c r="S10" s="104">
        <v>86</v>
      </c>
      <c r="T10" s="116">
        <v>136</v>
      </c>
      <c r="U10" s="116">
        <v>5200</v>
      </c>
      <c r="V10" s="116"/>
      <c r="W10" s="125">
        <v>0</v>
      </c>
      <c r="X10" s="116"/>
      <c r="Y10" s="116">
        <v>0</v>
      </c>
      <c r="Z10" s="116"/>
      <c r="AA10" s="116">
        <v>0</v>
      </c>
      <c r="AB10" s="116">
        <v>0</v>
      </c>
      <c r="AC10" s="116">
        <v>0</v>
      </c>
      <c r="AD10" s="116">
        <v>0</v>
      </c>
      <c r="AE10" s="120">
        <v>0</v>
      </c>
      <c r="AF10" s="109">
        <v>35</v>
      </c>
      <c r="AG10" s="76">
        <v>47316</v>
      </c>
      <c r="AH10" s="73">
        <v>0</v>
      </c>
      <c r="AI10" s="120">
        <v>0</v>
      </c>
      <c r="AJ10" s="75">
        <v>1142</v>
      </c>
      <c r="AK10" s="116">
        <v>0</v>
      </c>
      <c r="AL10" s="77">
        <v>0</v>
      </c>
      <c r="AM10" s="84">
        <v>0</v>
      </c>
      <c r="AN10" s="77">
        <v>0</v>
      </c>
      <c r="AO10" s="119">
        <v>14500</v>
      </c>
      <c r="AP10" s="218">
        <v>3831289</v>
      </c>
    </row>
    <row r="11" spans="1:42" s="42" customFormat="1" x14ac:dyDescent="0.25">
      <c r="A11" s="79" t="s">
        <v>47</v>
      </c>
      <c r="B11" s="78">
        <f>4.279*SUM(K11:N11)*1000+87.088*SUM(O11:R11)*1000</f>
        <v>14205165</v>
      </c>
      <c r="C11" s="129">
        <f t="shared" si="1"/>
        <v>2358787</v>
      </c>
      <c r="D11" s="129">
        <f t="shared" si="2"/>
        <v>27046</v>
      </c>
      <c r="E11" s="129">
        <f t="shared" si="3"/>
        <v>228470.75999999998</v>
      </c>
      <c r="F11" s="129">
        <f>VLOOKUP(A11,Renseanlæg!$I$1:$K$66,3,FALSE)</f>
        <v>0</v>
      </c>
      <c r="G11" s="129">
        <f t="shared" si="4"/>
        <v>0</v>
      </c>
      <c r="H11" s="129">
        <f t="shared" si="5"/>
        <v>0</v>
      </c>
      <c r="I11" s="136">
        <f t="shared" si="6"/>
        <v>604120.79999999993</v>
      </c>
      <c r="J11" s="130">
        <f t="shared" si="7"/>
        <v>2.4514705882352942E-2</v>
      </c>
      <c r="K11" s="121">
        <v>0</v>
      </c>
      <c r="L11" s="34">
        <v>1</v>
      </c>
      <c r="M11" s="34">
        <v>11</v>
      </c>
      <c r="N11" s="34">
        <v>31</v>
      </c>
      <c r="O11" s="34">
        <v>24</v>
      </c>
      <c r="P11" s="34">
        <v>53</v>
      </c>
      <c r="Q11" s="34">
        <v>27</v>
      </c>
      <c r="R11" s="77">
        <v>57</v>
      </c>
      <c r="S11" s="121">
        <v>0</v>
      </c>
      <c r="T11" s="34"/>
      <c r="U11" s="34">
        <v>0</v>
      </c>
      <c r="V11" s="34">
        <v>1</v>
      </c>
      <c r="W11" s="127">
        <v>22</v>
      </c>
      <c r="X11" s="34"/>
      <c r="Y11" s="34">
        <v>0</v>
      </c>
      <c r="Z11" s="34">
        <v>1</v>
      </c>
      <c r="AA11" s="34">
        <v>404</v>
      </c>
      <c r="AB11" s="34">
        <v>1</v>
      </c>
      <c r="AC11" s="34">
        <v>421</v>
      </c>
      <c r="AD11" s="34">
        <v>1</v>
      </c>
      <c r="AE11" s="77">
        <v>3317</v>
      </c>
      <c r="AF11" s="95">
        <v>2</v>
      </c>
      <c r="AG11" s="74">
        <v>79</v>
      </c>
      <c r="AH11" s="100">
        <v>4</v>
      </c>
      <c r="AI11" s="74">
        <v>11574</v>
      </c>
      <c r="AJ11" s="84">
        <v>0</v>
      </c>
      <c r="AK11" s="34">
        <v>0</v>
      </c>
      <c r="AL11" s="77">
        <v>0</v>
      </c>
      <c r="AM11" s="84">
        <v>0</v>
      </c>
      <c r="AN11" s="77">
        <v>0</v>
      </c>
      <c r="AO11" s="36">
        <v>5001</v>
      </c>
      <c r="AP11" s="217">
        <v>565501</v>
      </c>
    </row>
    <row r="12" spans="1:42" s="42" customFormat="1" x14ac:dyDescent="0.25">
      <c r="A12" s="79" t="s">
        <v>48</v>
      </c>
      <c r="B12" s="78">
        <f t="shared" si="0"/>
        <v>7036598</v>
      </c>
      <c r="C12" s="129">
        <f t="shared" si="1"/>
        <v>10488632</v>
      </c>
      <c r="D12" s="129">
        <f t="shared" si="2"/>
        <v>405690</v>
      </c>
      <c r="E12" s="129">
        <f t="shared" si="3"/>
        <v>394799.99999999994</v>
      </c>
      <c r="F12" s="129">
        <f>VLOOKUP(A12,Renseanlæg!$I$1:$K$66,3,FALSE)</f>
        <v>12088774.922219234</v>
      </c>
      <c r="G12" s="129">
        <f t="shared" si="4"/>
        <v>4917096</v>
      </c>
      <c r="H12" s="129">
        <f t="shared" si="5"/>
        <v>2540</v>
      </c>
      <c r="I12" s="136">
        <f t="shared" si="6"/>
        <v>1824080</v>
      </c>
      <c r="J12" s="130">
        <f t="shared" si="7"/>
        <v>1.7743830787309046E-2</v>
      </c>
      <c r="K12" s="121">
        <v>229</v>
      </c>
      <c r="L12" s="34">
        <v>79</v>
      </c>
      <c r="M12" s="34">
        <v>349</v>
      </c>
      <c r="N12" s="34">
        <v>153</v>
      </c>
      <c r="O12" s="34">
        <v>27</v>
      </c>
      <c r="P12" s="34">
        <v>14</v>
      </c>
      <c r="Q12" s="34">
        <v>0</v>
      </c>
      <c r="R12" s="77">
        <v>0</v>
      </c>
      <c r="S12" s="121">
        <v>24</v>
      </c>
      <c r="T12" s="34">
        <v>45</v>
      </c>
      <c r="U12" s="34">
        <v>360</v>
      </c>
      <c r="V12" s="34">
        <v>113</v>
      </c>
      <c r="W12" s="127">
        <v>8880</v>
      </c>
      <c r="X12" s="34">
        <v>54</v>
      </c>
      <c r="Y12" s="34">
        <v>9500</v>
      </c>
      <c r="Z12" s="34">
        <v>2</v>
      </c>
      <c r="AA12" s="34">
        <v>1000</v>
      </c>
      <c r="AB12" s="34">
        <v>0</v>
      </c>
      <c r="AC12" s="34">
        <v>0</v>
      </c>
      <c r="AD12" s="34">
        <v>1</v>
      </c>
      <c r="AE12" s="77">
        <v>2000</v>
      </c>
      <c r="AF12" s="95">
        <v>30</v>
      </c>
      <c r="AG12" s="74">
        <v>30000</v>
      </c>
      <c r="AH12" s="100">
        <v>20</v>
      </c>
      <c r="AI12" s="74">
        <v>20000</v>
      </c>
      <c r="AJ12" s="84">
        <v>1240</v>
      </c>
      <c r="AK12" s="34">
        <v>0</v>
      </c>
      <c r="AL12" s="77">
        <v>0</v>
      </c>
      <c r="AM12" s="84">
        <v>1</v>
      </c>
      <c r="AN12" s="77">
        <v>10</v>
      </c>
      <c r="AO12" s="36">
        <v>15100</v>
      </c>
      <c r="AP12" s="217">
        <v>3808138</v>
      </c>
    </row>
    <row r="13" spans="1:42" s="42" customFormat="1" x14ac:dyDescent="0.25">
      <c r="A13" s="79" t="s">
        <v>113</v>
      </c>
      <c r="B13" s="78">
        <f t="shared" si="0"/>
        <v>4134659.6</v>
      </c>
      <c r="C13" s="129">
        <f t="shared" si="1"/>
        <v>1677411</v>
      </c>
      <c r="D13" s="129">
        <f t="shared" si="2"/>
        <v>486828</v>
      </c>
      <c r="E13" s="129">
        <f t="shared" si="3"/>
        <v>897834.41999999993</v>
      </c>
      <c r="F13" s="129">
        <f>VLOOKUP(A13,Renseanlæg!$I$1:$K$66,3,FALSE)</f>
        <v>3859899.9843856539</v>
      </c>
      <c r="G13" s="129">
        <f t="shared" si="4"/>
        <v>1661695</v>
      </c>
      <c r="H13" s="129">
        <f t="shared" si="5"/>
        <v>0</v>
      </c>
      <c r="I13" s="136">
        <f t="shared" si="6"/>
        <v>1283620.8</v>
      </c>
      <c r="J13" s="130">
        <f t="shared" si="7"/>
        <v>2.5037700282752116E-2</v>
      </c>
      <c r="K13" s="121">
        <v>32.4</v>
      </c>
      <c r="L13" s="34">
        <v>22.6</v>
      </c>
      <c r="M13" s="34">
        <v>218.1</v>
      </c>
      <c r="N13" s="34">
        <v>123.3</v>
      </c>
      <c r="O13" s="34">
        <v>17.600000000000001</v>
      </c>
      <c r="P13" s="34">
        <v>10.4</v>
      </c>
      <c r="Q13" s="34"/>
      <c r="R13" s="77"/>
      <c r="S13" s="121">
        <v>21</v>
      </c>
      <c r="T13" s="34">
        <v>71</v>
      </c>
      <c r="U13" s="34">
        <v>355</v>
      </c>
      <c r="V13" s="34">
        <v>10</v>
      </c>
      <c r="W13" s="127">
        <v>300</v>
      </c>
      <c r="X13" s="34">
        <v>2</v>
      </c>
      <c r="Y13" s="34">
        <v>300</v>
      </c>
      <c r="Z13" s="34">
        <v>1</v>
      </c>
      <c r="AA13" s="34">
        <v>450</v>
      </c>
      <c r="AB13" s="34"/>
      <c r="AC13" s="34"/>
      <c r="AD13" s="34"/>
      <c r="AE13" s="77"/>
      <c r="AF13" s="95">
        <v>36</v>
      </c>
      <c r="AG13" s="74">
        <v>124410</v>
      </c>
      <c r="AH13" s="100">
        <v>20</v>
      </c>
      <c r="AI13" s="74">
        <v>45483</v>
      </c>
      <c r="AJ13" s="84"/>
      <c r="AK13" s="34">
        <v>0</v>
      </c>
      <c r="AL13" s="77">
        <v>350</v>
      </c>
      <c r="AM13" s="84"/>
      <c r="AN13" s="77"/>
      <c r="AO13" s="36">
        <v>10626</v>
      </c>
      <c r="AP13" s="217">
        <v>1489474</v>
      </c>
    </row>
    <row r="14" spans="1:42" s="42" customFormat="1" x14ac:dyDescent="0.25">
      <c r="A14" s="79" t="s">
        <v>49</v>
      </c>
      <c r="B14" s="78">
        <f t="shared" si="0"/>
        <v>7117577.9999999991</v>
      </c>
      <c r="C14" s="129">
        <f t="shared" si="1"/>
        <v>1919546</v>
      </c>
      <c r="D14" s="129">
        <f t="shared" si="2"/>
        <v>162276</v>
      </c>
      <c r="E14" s="129">
        <f t="shared" si="3"/>
        <v>1046219.9999999999</v>
      </c>
      <c r="F14" s="129">
        <f>VLOOKUP(A14,Renseanlæg!$I$1:$K$66,3,FALSE)</f>
        <v>0</v>
      </c>
      <c r="G14" s="129">
        <f t="shared" si="4"/>
        <v>0</v>
      </c>
      <c r="H14" s="129">
        <f t="shared" si="5"/>
        <v>0</v>
      </c>
      <c r="I14" s="136">
        <f t="shared" si="6"/>
        <v>1422178.4</v>
      </c>
      <c r="J14" s="130">
        <f t="shared" si="7"/>
        <v>4.3603703703703707E-2</v>
      </c>
      <c r="K14" s="121">
        <v>3</v>
      </c>
      <c r="L14" s="34">
        <v>9</v>
      </c>
      <c r="M14" s="34">
        <v>49</v>
      </c>
      <c r="N14" s="34">
        <v>137</v>
      </c>
      <c r="O14" s="34">
        <v>18</v>
      </c>
      <c r="P14" s="34">
        <v>54</v>
      </c>
      <c r="Q14" s="34">
        <v>0</v>
      </c>
      <c r="R14" s="77">
        <v>0</v>
      </c>
      <c r="S14" s="121">
        <v>0</v>
      </c>
      <c r="T14" s="34"/>
      <c r="U14" s="34">
        <v>0</v>
      </c>
      <c r="V14" s="34">
        <v>14</v>
      </c>
      <c r="W14" s="127">
        <v>647</v>
      </c>
      <c r="X14" s="34">
        <v>1</v>
      </c>
      <c r="Y14" s="34">
        <v>120</v>
      </c>
      <c r="Z14" s="34">
        <v>1</v>
      </c>
      <c r="AA14" s="34">
        <v>330</v>
      </c>
      <c r="AB14" s="34">
        <v>1</v>
      </c>
      <c r="AC14" s="34">
        <v>800</v>
      </c>
      <c r="AD14" s="34">
        <v>1</v>
      </c>
      <c r="AE14" s="77">
        <v>1500</v>
      </c>
      <c r="AF14" s="95">
        <v>12</v>
      </c>
      <c r="AG14" s="74">
        <v>35000</v>
      </c>
      <c r="AH14" s="100">
        <v>13</v>
      </c>
      <c r="AI14" s="74">
        <v>53000</v>
      </c>
      <c r="AJ14" s="84">
        <v>0</v>
      </c>
      <c r="AK14" s="34">
        <v>0</v>
      </c>
      <c r="AL14" s="77">
        <v>0</v>
      </c>
      <c r="AM14" s="84">
        <v>0</v>
      </c>
      <c r="AN14" s="77">
        <v>0</v>
      </c>
      <c r="AO14" s="36">
        <v>11773</v>
      </c>
      <c r="AP14" s="217">
        <v>303785</v>
      </c>
    </row>
    <row r="15" spans="1:42" s="42" customFormat="1" x14ac:dyDescent="0.25">
      <c r="A15" s="79" t="s">
        <v>50</v>
      </c>
      <c r="B15" s="78">
        <f t="shared" si="0"/>
        <v>4019657.9999999995</v>
      </c>
      <c r="C15" s="129">
        <f t="shared" si="1"/>
        <v>175875</v>
      </c>
      <c r="D15" s="129">
        <f t="shared" si="2"/>
        <v>162276</v>
      </c>
      <c r="E15" s="129">
        <f t="shared" si="3"/>
        <v>266292.59999999998</v>
      </c>
      <c r="F15" s="129">
        <f>VLOOKUP(A15,Renseanlæg!$I$1:$K$66,3,FALSE)</f>
        <v>0</v>
      </c>
      <c r="G15" s="129">
        <f t="shared" si="4"/>
        <v>0</v>
      </c>
      <c r="H15" s="129">
        <f t="shared" si="5"/>
        <v>0</v>
      </c>
      <c r="I15" s="136">
        <f t="shared" si="6"/>
        <v>466892</v>
      </c>
      <c r="J15" s="130">
        <f t="shared" si="7"/>
        <v>1.894607843137255E-2</v>
      </c>
      <c r="K15" s="104">
        <v>2</v>
      </c>
      <c r="L15" s="116">
        <v>2</v>
      </c>
      <c r="M15" s="116">
        <v>50</v>
      </c>
      <c r="N15" s="116">
        <v>112</v>
      </c>
      <c r="O15" s="116">
        <v>12</v>
      </c>
      <c r="P15" s="116">
        <v>26</v>
      </c>
      <c r="Q15" s="116">
        <v>0</v>
      </c>
      <c r="R15" s="120">
        <v>0</v>
      </c>
      <c r="S15" s="104">
        <v>0</v>
      </c>
      <c r="T15" s="116"/>
      <c r="U15" s="116">
        <v>0</v>
      </c>
      <c r="V15" s="116">
        <v>3</v>
      </c>
      <c r="W15" s="125">
        <v>161</v>
      </c>
      <c r="X15" s="116">
        <v>1</v>
      </c>
      <c r="Y15" s="116">
        <v>112</v>
      </c>
      <c r="Z15" s="116"/>
      <c r="AA15" s="116">
        <v>0</v>
      </c>
      <c r="AB15" s="116">
        <v>0</v>
      </c>
      <c r="AC15" s="116">
        <v>0</v>
      </c>
      <c r="AD15" s="116">
        <v>0</v>
      </c>
      <c r="AE15" s="120">
        <v>0</v>
      </c>
      <c r="AF15" s="109">
        <v>12</v>
      </c>
      <c r="AG15" s="76">
        <v>34870</v>
      </c>
      <c r="AH15" s="73">
        <v>7</v>
      </c>
      <c r="AI15" s="76">
        <v>13490</v>
      </c>
      <c r="AJ15" s="75">
        <v>0</v>
      </c>
      <c r="AK15" s="124">
        <v>0</v>
      </c>
      <c r="AL15" s="77">
        <v>0</v>
      </c>
      <c r="AM15" s="75">
        <v>0</v>
      </c>
      <c r="AN15" s="120">
        <v>0</v>
      </c>
      <c r="AO15" s="119">
        <v>3865</v>
      </c>
      <c r="AP15" s="218">
        <v>40467</v>
      </c>
    </row>
    <row r="16" spans="1:42" s="42" customFormat="1" x14ac:dyDescent="0.25">
      <c r="A16" s="79" t="s">
        <v>55</v>
      </c>
      <c r="B16" s="78">
        <f>4.279*SUM(K16:N16)*1000+87.088*SUM(O16:R16)*1000</f>
        <v>6959293.3080000002</v>
      </c>
      <c r="C16" s="129">
        <f t="shared" si="1"/>
        <v>4477390</v>
      </c>
      <c r="D16" s="129">
        <f t="shared" si="2"/>
        <v>635581</v>
      </c>
      <c r="E16" s="129">
        <f t="shared" si="3"/>
        <v>748205.22</v>
      </c>
      <c r="F16" s="129">
        <f>VLOOKUP(A16,Renseanlæg!$I$1:$K$66,3,FALSE)</f>
        <v>6725518.5299016992</v>
      </c>
      <c r="G16" s="129">
        <f t="shared" si="4"/>
        <v>4306424.4000000004</v>
      </c>
      <c r="H16" s="129">
        <f t="shared" si="5"/>
        <v>0</v>
      </c>
      <c r="I16" s="136">
        <f t="shared" si="6"/>
        <v>1668127.2</v>
      </c>
      <c r="J16" s="130">
        <f t="shared" si="7"/>
        <v>1.6892734986274423E-2</v>
      </c>
      <c r="K16" s="121">
        <v>33.299999999999997</v>
      </c>
      <c r="L16" s="34">
        <v>8.8000000000000007</v>
      </c>
      <c r="M16" s="34">
        <v>528</v>
      </c>
      <c r="N16" s="34">
        <f>203.9+1.652</f>
        <v>205.55199999999999</v>
      </c>
      <c r="O16" s="34">
        <v>35</v>
      </c>
      <c r="P16" s="34">
        <v>6.8</v>
      </c>
      <c r="Q16" s="34">
        <v>0</v>
      </c>
      <c r="R16" s="77" t="s">
        <v>123</v>
      </c>
      <c r="S16" s="121">
        <v>45</v>
      </c>
      <c r="T16" s="34">
        <v>18</v>
      </c>
      <c r="U16" s="34">
        <v>99</v>
      </c>
      <c r="V16" s="34">
        <v>4</v>
      </c>
      <c r="W16" s="127">
        <v>270</v>
      </c>
      <c r="X16" s="34">
        <v>17</v>
      </c>
      <c r="Y16" s="34">
        <v>2960</v>
      </c>
      <c r="Z16" s="34">
        <v>4</v>
      </c>
      <c r="AA16" s="34">
        <v>1860</v>
      </c>
      <c r="AB16" s="34">
        <v>2</v>
      </c>
      <c r="AC16" s="34">
        <v>1600</v>
      </c>
      <c r="AD16" s="34">
        <v>1</v>
      </c>
      <c r="AE16" s="77">
        <v>1200</v>
      </c>
      <c r="AF16" s="95">
        <v>47</v>
      </c>
      <c r="AG16" s="74">
        <v>307239</v>
      </c>
      <c r="AH16" s="100">
        <v>8</v>
      </c>
      <c r="AI16" s="74">
        <v>37903</v>
      </c>
      <c r="AJ16" s="84">
        <v>1086</v>
      </c>
      <c r="AK16" s="34">
        <v>0</v>
      </c>
      <c r="AL16" s="77">
        <v>0</v>
      </c>
      <c r="AM16" s="84">
        <v>0</v>
      </c>
      <c r="AN16" s="77">
        <v>0</v>
      </c>
      <c r="AO16" s="36">
        <v>13809</v>
      </c>
      <c r="AP16" s="217">
        <v>2190161</v>
      </c>
    </row>
    <row r="17" spans="1:42" s="42" customFormat="1" x14ac:dyDescent="0.25">
      <c r="A17" s="79" t="s">
        <v>51</v>
      </c>
      <c r="B17" s="78">
        <f t="shared" si="0"/>
        <v>4856665</v>
      </c>
      <c r="C17" s="129">
        <f t="shared" si="1"/>
        <v>5263376</v>
      </c>
      <c r="D17" s="129">
        <f t="shared" si="2"/>
        <v>743765</v>
      </c>
      <c r="E17" s="129">
        <f t="shared" si="3"/>
        <v>488545.25999999995</v>
      </c>
      <c r="F17" s="129">
        <f>VLOOKUP(A17,Renseanlæg!$I$1:$K$66,3,FALSE)</f>
        <v>19770124.94015044</v>
      </c>
      <c r="G17" s="129">
        <f t="shared" si="4"/>
        <v>4960715.4000000004</v>
      </c>
      <c r="H17" s="129">
        <f t="shared" si="5"/>
        <v>53340</v>
      </c>
      <c r="I17" s="136">
        <f t="shared" si="6"/>
        <v>2350768</v>
      </c>
      <c r="J17" s="130">
        <f t="shared" si="7"/>
        <v>1.7145374449339206E-2</v>
      </c>
      <c r="K17" s="104">
        <v>358</v>
      </c>
      <c r="L17" s="116">
        <v>153</v>
      </c>
      <c r="M17" s="116">
        <v>360</v>
      </c>
      <c r="N17" s="116">
        <v>264</v>
      </c>
      <c r="O17" s="116">
        <v>0</v>
      </c>
      <c r="P17" s="116">
        <v>0</v>
      </c>
      <c r="Q17" s="116">
        <v>0</v>
      </c>
      <c r="R17" s="120">
        <v>0</v>
      </c>
      <c r="S17" s="104">
        <v>88</v>
      </c>
      <c r="T17" s="116">
        <v>0</v>
      </c>
      <c r="U17" s="116">
        <v>0</v>
      </c>
      <c r="V17" s="116">
        <v>160</v>
      </c>
      <c r="W17" s="96">
        <v>8044</v>
      </c>
      <c r="X17" s="116">
        <v>0</v>
      </c>
      <c r="Y17" s="116">
        <v>0</v>
      </c>
      <c r="Z17" s="116">
        <v>3</v>
      </c>
      <c r="AA17" s="116">
        <v>1360</v>
      </c>
      <c r="AB17" s="116">
        <v>1</v>
      </c>
      <c r="AC17" s="116">
        <v>800</v>
      </c>
      <c r="AD17" s="116">
        <v>0</v>
      </c>
      <c r="AE17" s="120">
        <v>0</v>
      </c>
      <c r="AF17" s="109">
        <v>55</v>
      </c>
      <c r="AG17" s="76">
        <v>214030</v>
      </c>
      <c r="AH17" s="73">
        <v>29</v>
      </c>
      <c r="AI17" s="76">
        <v>24749</v>
      </c>
      <c r="AJ17" s="75">
        <v>1251</v>
      </c>
      <c r="AK17" s="124">
        <v>0</v>
      </c>
      <c r="AL17" s="120">
        <v>0</v>
      </c>
      <c r="AM17" s="84">
        <v>21</v>
      </c>
      <c r="AN17" s="77">
        <v>110</v>
      </c>
      <c r="AO17" s="119">
        <v>19460</v>
      </c>
      <c r="AP17" s="218">
        <v>5964865</v>
      </c>
    </row>
    <row r="18" spans="1:42" s="42" customFormat="1" x14ac:dyDescent="0.25">
      <c r="A18" s="79" t="s">
        <v>52</v>
      </c>
      <c r="B18" s="78">
        <f t="shared" si="0"/>
        <v>0</v>
      </c>
      <c r="C18" s="129">
        <f t="shared" si="1"/>
        <v>0</v>
      </c>
      <c r="D18" s="129">
        <f t="shared" si="2"/>
        <v>0</v>
      </c>
      <c r="E18" s="129">
        <f t="shared" si="3"/>
        <v>0</v>
      </c>
      <c r="F18" s="129">
        <f>VLOOKUP(A18,Renseanlæg!$I$1:$K$66,3,FALSE)</f>
        <v>0</v>
      </c>
      <c r="G18" s="129">
        <f t="shared" si="4"/>
        <v>1895461.2</v>
      </c>
      <c r="H18" s="129">
        <f t="shared" si="5"/>
        <v>0</v>
      </c>
      <c r="I18" s="136">
        <f t="shared" si="6"/>
        <v>0</v>
      </c>
      <c r="J18" s="130">
        <v>0</v>
      </c>
      <c r="K18" s="121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77">
        <v>0</v>
      </c>
      <c r="S18" s="121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77">
        <v>0</v>
      </c>
      <c r="AF18" s="121">
        <v>0</v>
      </c>
      <c r="AG18" s="77">
        <v>0</v>
      </c>
      <c r="AH18" s="84">
        <v>0</v>
      </c>
      <c r="AI18" s="77">
        <v>0</v>
      </c>
      <c r="AJ18" s="84">
        <v>478</v>
      </c>
      <c r="AK18" s="34">
        <v>0</v>
      </c>
      <c r="AL18" s="77">
        <v>0</v>
      </c>
      <c r="AM18" s="84">
        <v>0</v>
      </c>
      <c r="AN18" s="77">
        <v>0</v>
      </c>
      <c r="AO18" s="36"/>
      <c r="AP18" s="217">
        <v>1005381</v>
      </c>
    </row>
    <row r="19" spans="1:42" s="42" customFormat="1" x14ac:dyDescent="0.25">
      <c r="A19" s="79" t="s">
        <v>59</v>
      </c>
      <c r="B19" s="78">
        <f t="shared" si="0"/>
        <v>4265205.4000000004</v>
      </c>
      <c r="C19" s="129">
        <f t="shared" si="1"/>
        <v>8715608</v>
      </c>
      <c r="D19" s="129">
        <f t="shared" si="2"/>
        <v>1027748</v>
      </c>
      <c r="E19" s="129">
        <f t="shared" si="3"/>
        <v>197123.63999999998</v>
      </c>
      <c r="F19" s="129">
        <f>VLOOKUP(A19,Renseanlæg!$I$1:$K$66,3,FALSE)</f>
        <v>13016211.686745906</v>
      </c>
      <c r="G19" s="129">
        <f t="shared" si="4"/>
        <v>5400874.7999999998</v>
      </c>
      <c r="H19" s="129">
        <f t="shared" si="5"/>
        <v>17780</v>
      </c>
      <c r="I19" s="136">
        <f t="shared" si="6"/>
        <v>1891969.5999999999</v>
      </c>
      <c r="J19" s="130">
        <f t="shared" ref="J19:J31" si="8">AO19/(SUM(K19:R19)*1000)</f>
        <v>1.5866680174247798E-2</v>
      </c>
      <c r="K19" s="121">
        <v>343.5</v>
      </c>
      <c r="L19" s="34">
        <v>138.6</v>
      </c>
      <c r="M19" s="34">
        <v>336.5</v>
      </c>
      <c r="N19" s="34">
        <v>168</v>
      </c>
      <c r="O19" s="34">
        <v>0.3</v>
      </c>
      <c r="P19" s="34">
        <v>0.2</v>
      </c>
      <c r="Q19" s="34">
        <v>0</v>
      </c>
      <c r="R19" s="77" t="s">
        <v>123</v>
      </c>
      <c r="S19" s="121">
        <v>191</v>
      </c>
      <c r="T19" s="34">
        <v>81</v>
      </c>
      <c r="U19" s="34">
        <v>376.2</v>
      </c>
      <c r="V19" s="34">
        <v>117</v>
      </c>
      <c r="W19" s="127">
        <v>6129</v>
      </c>
      <c r="X19" s="34">
        <v>7</v>
      </c>
      <c r="Y19" s="34">
        <v>1140</v>
      </c>
      <c r="Z19" s="34">
        <v>7</v>
      </c>
      <c r="AA19" s="34">
        <v>2168</v>
      </c>
      <c r="AB19" s="34">
        <v>2</v>
      </c>
      <c r="AC19" s="34">
        <v>1830</v>
      </c>
      <c r="AD19" s="34">
        <v>1</v>
      </c>
      <c r="AE19" s="77">
        <v>1582</v>
      </c>
      <c r="AF19" s="95">
        <v>76</v>
      </c>
      <c r="AG19" s="74">
        <v>234484</v>
      </c>
      <c r="AH19" s="100">
        <v>9</v>
      </c>
      <c r="AI19" s="74">
        <v>9986</v>
      </c>
      <c r="AJ19" s="84">
        <v>1362</v>
      </c>
      <c r="AK19" s="34">
        <v>0</v>
      </c>
      <c r="AL19" s="77">
        <v>0</v>
      </c>
      <c r="AM19" s="84">
        <v>7</v>
      </c>
      <c r="AN19" s="77">
        <v>35</v>
      </c>
      <c r="AO19" s="36">
        <v>15662</v>
      </c>
      <c r="AP19" s="217">
        <v>3147851</v>
      </c>
    </row>
    <row r="20" spans="1:42" s="42" customFormat="1" x14ac:dyDescent="0.25">
      <c r="A20" s="79" t="s">
        <v>53</v>
      </c>
      <c r="B20" s="78">
        <f t="shared" ref="B20:B35" si="9">4.279*SUM(K20:N20)*1000+87.088*SUM(O20:R20)*1000</f>
        <v>12552812</v>
      </c>
      <c r="C20" s="129">
        <f t="shared" si="1"/>
        <v>4910580</v>
      </c>
      <c r="D20" s="129">
        <f t="shared" si="2"/>
        <v>757288</v>
      </c>
      <c r="E20" s="129">
        <f t="shared" si="3"/>
        <v>209362.43999999997</v>
      </c>
      <c r="F20" s="129">
        <f>VLOOKUP(A20,Renseanlæg!$I$1:$K$66,3,FALSE)</f>
        <v>13803646.7196052</v>
      </c>
      <c r="G20" s="129">
        <f t="shared" si="4"/>
        <v>4713141.8</v>
      </c>
      <c r="H20" s="129">
        <f t="shared" si="5"/>
        <v>5080</v>
      </c>
      <c r="I20" s="136">
        <f t="shared" si="6"/>
        <v>2114000</v>
      </c>
      <c r="J20" s="130">
        <f t="shared" si="8"/>
        <v>2.6923076923076925E-2</v>
      </c>
      <c r="K20" s="208">
        <v>73</v>
      </c>
      <c r="L20" s="209">
        <v>52</v>
      </c>
      <c r="M20" s="209">
        <v>192</v>
      </c>
      <c r="N20" s="209">
        <v>215</v>
      </c>
      <c r="O20" s="209">
        <v>47</v>
      </c>
      <c r="P20" s="209">
        <v>71</v>
      </c>
      <c r="Q20" s="34">
        <v>0</v>
      </c>
      <c r="R20" s="77">
        <v>0</v>
      </c>
      <c r="S20" s="121">
        <v>55</v>
      </c>
      <c r="T20" s="34">
        <v>80</v>
      </c>
      <c r="U20" s="34">
        <v>424</v>
      </c>
      <c r="V20" s="34">
        <v>120</v>
      </c>
      <c r="W20" s="127">
        <v>5103</v>
      </c>
      <c r="X20" s="34">
        <v>5</v>
      </c>
      <c r="Y20" s="34">
        <v>1465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77">
        <v>0</v>
      </c>
      <c r="AF20" s="95">
        <v>56</v>
      </c>
      <c r="AG20" s="74">
        <v>234030</v>
      </c>
      <c r="AH20" s="100">
        <v>10</v>
      </c>
      <c r="AI20" s="74">
        <v>10606</v>
      </c>
      <c r="AJ20" s="84">
        <v>293</v>
      </c>
      <c r="AK20" s="34">
        <v>748</v>
      </c>
      <c r="AL20" s="77">
        <v>0</v>
      </c>
      <c r="AM20" s="84">
        <v>2</v>
      </c>
      <c r="AN20" s="77">
        <v>15</v>
      </c>
      <c r="AO20" s="36">
        <v>17500</v>
      </c>
      <c r="AP20" s="217">
        <v>3175127</v>
      </c>
    </row>
    <row r="21" spans="1:42" s="42" customFormat="1" x14ac:dyDescent="0.25">
      <c r="A21" s="79" t="s">
        <v>54</v>
      </c>
      <c r="B21" s="78">
        <f t="shared" si="9"/>
        <v>12032396</v>
      </c>
      <c r="C21" s="129">
        <f t="shared" si="1"/>
        <v>3893617</v>
      </c>
      <c r="D21" s="129">
        <f t="shared" si="2"/>
        <v>1933789</v>
      </c>
      <c r="E21" s="129">
        <f t="shared" si="3"/>
        <v>1224412.98</v>
      </c>
      <c r="F21" s="129">
        <f>VLOOKUP(A21,Renseanlæg!$I$1:$K$66,3,FALSE)</f>
        <v>23680041.068199936</v>
      </c>
      <c r="G21" s="129">
        <f t="shared" si="4"/>
        <v>11654701.399999999</v>
      </c>
      <c r="H21" s="129">
        <f t="shared" si="5"/>
        <v>0</v>
      </c>
      <c r="I21" s="136">
        <f t="shared" si="6"/>
        <v>3501267.1999999997</v>
      </c>
      <c r="J21" s="130">
        <f t="shared" si="8"/>
        <v>1.9374331550802138E-2</v>
      </c>
      <c r="K21" s="121">
        <v>55</v>
      </c>
      <c r="L21" s="34">
        <v>242</v>
      </c>
      <c r="M21" s="34">
        <v>169</v>
      </c>
      <c r="N21" s="34">
        <v>962</v>
      </c>
      <c r="O21" s="34">
        <v>10</v>
      </c>
      <c r="P21" s="34">
        <v>58</v>
      </c>
      <c r="Q21" s="34">
        <v>0</v>
      </c>
      <c r="R21" s="77">
        <v>0</v>
      </c>
      <c r="S21" s="121">
        <v>12</v>
      </c>
      <c r="T21" s="34">
        <v>68</v>
      </c>
      <c r="U21" s="34">
        <v>910</v>
      </c>
      <c r="V21" s="34">
        <v>101</v>
      </c>
      <c r="W21" s="127">
        <v>16200</v>
      </c>
      <c r="X21" s="34">
        <v>4</v>
      </c>
      <c r="Y21" s="34">
        <v>1200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77">
        <v>0</v>
      </c>
      <c r="AF21" s="95">
        <v>143</v>
      </c>
      <c r="AG21" s="74">
        <v>322283</v>
      </c>
      <c r="AH21" s="100">
        <v>38</v>
      </c>
      <c r="AI21" s="74">
        <v>62027</v>
      </c>
      <c r="AJ21" s="84">
        <v>1397</v>
      </c>
      <c r="AK21" s="34">
        <v>0</v>
      </c>
      <c r="AL21" s="77">
        <v>1288</v>
      </c>
      <c r="AM21" s="84">
        <v>0</v>
      </c>
      <c r="AN21" s="77">
        <v>0</v>
      </c>
      <c r="AO21" s="36">
        <v>28984</v>
      </c>
      <c r="AP21" s="217">
        <v>7076108</v>
      </c>
    </row>
    <row r="22" spans="1:42" s="42" customFormat="1" x14ac:dyDescent="0.25">
      <c r="A22" s="79" t="s">
        <v>61</v>
      </c>
      <c r="B22" s="78">
        <f t="shared" si="9"/>
        <v>7023554</v>
      </c>
      <c r="C22" s="129">
        <f t="shared" si="1"/>
        <v>5774455</v>
      </c>
      <c r="D22" s="129">
        <f t="shared" si="2"/>
        <v>500351</v>
      </c>
      <c r="E22" s="129">
        <f t="shared" si="3"/>
        <v>693150.36</v>
      </c>
      <c r="F22" s="129">
        <f>VLOOKUP(A22,Renseanlæg!$I$1:$K$66,3,FALSE)</f>
        <v>27772523.728707805</v>
      </c>
      <c r="G22" s="129">
        <f t="shared" si="4"/>
        <v>8366994</v>
      </c>
      <c r="H22" s="129">
        <f t="shared" si="5"/>
        <v>2540</v>
      </c>
      <c r="I22" s="136">
        <f t="shared" si="6"/>
        <v>2362002.4</v>
      </c>
      <c r="J22" s="130">
        <f t="shared" si="8"/>
        <v>1.5832388663967613E-2</v>
      </c>
      <c r="K22" s="121">
        <v>335</v>
      </c>
      <c r="L22" s="34">
        <v>196</v>
      </c>
      <c r="M22" s="34">
        <v>393</v>
      </c>
      <c r="N22" s="34">
        <v>290</v>
      </c>
      <c r="O22" s="34">
        <v>9</v>
      </c>
      <c r="P22" s="34">
        <v>12</v>
      </c>
      <c r="Q22" s="34">
        <v>0</v>
      </c>
      <c r="R22" s="77">
        <v>0</v>
      </c>
      <c r="S22" s="121">
        <v>25</v>
      </c>
      <c r="T22" s="34">
        <v>33</v>
      </c>
      <c r="U22" s="34">
        <v>235</v>
      </c>
      <c r="V22" s="34">
        <v>144</v>
      </c>
      <c r="W22" s="127">
        <v>7000</v>
      </c>
      <c r="X22" s="34">
        <v>15</v>
      </c>
      <c r="Y22" s="34">
        <v>5850</v>
      </c>
      <c r="Z22" s="34">
        <v>1</v>
      </c>
      <c r="AA22" s="34">
        <v>650</v>
      </c>
      <c r="AB22" s="34">
        <v>0</v>
      </c>
      <c r="AC22" s="34">
        <v>0</v>
      </c>
      <c r="AD22" s="34">
        <v>0</v>
      </c>
      <c r="AE22" s="77">
        <v>0</v>
      </c>
      <c r="AF22" s="95">
        <v>37</v>
      </c>
      <c r="AG22" s="74">
        <v>166915</v>
      </c>
      <c r="AH22" s="100">
        <v>58</v>
      </c>
      <c r="AI22" s="74">
        <v>35114</v>
      </c>
      <c r="AJ22" s="84">
        <v>2110</v>
      </c>
      <c r="AK22" s="34">
        <v>0</v>
      </c>
      <c r="AL22" s="77">
        <v>0</v>
      </c>
      <c r="AM22" s="84">
        <v>1</v>
      </c>
      <c r="AN22" s="77">
        <v>5</v>
      </c>
      <c r="AO22" s="36">
        <v>19553</v>
      </c>
      <c r="AP22" s="217">
        <v>6953121</v>
      </c>
    </row>
    <row r="23" spans="1:42" s="42" customFormat="1" x14ac:dyDescent="0.25">
      <c r="A23" s="79" t="s">
        <v>121</v>
      </c>
      <c r="B23" s="78">
        <f t="shared" si="9"/>
        <v>1661107.8</v>
      </c>
      <c r="C23" s="129">
        <f t="shared" si="1"/>
        <v>1057523</v>
      </c>
      <c r="D23" s="129">
        <f t="shared" si="2"/>
        <v>351598</v>
      </c>
      <c r="E23" s="129">
        <f t="shared" si="3"/>
        <v>0</v>
      </c>
      <c r="F23" s="129">
        <f>VLOOKUP(A23,Renseanlæg!$I$1:$K$66,3,FALSE)</f>
        <v>0</v>
      </c>
      <c r="G23" s="129">
        <f t="shared" si="4"/>
        <v>0</v>
      </c>
      <c r="H23" s="129">
        <f t="shared" si="5"/>
        <v>0</v>
      </c>
      <c r="I23" s="136">
        <f t="shared" si="6"/>
        <v>970144.79999999993</v>
      </c>
      <c r="J23" s="130">
        <f t="shared" si="8"/>
        <v>2.0687789799072643E-2</v>
      </c>
      <c r="K23" s="121">
        <v>7</v>
      </c>
      <c r="L23" s="34">
        <v>7.2</v>
      </c>
      <c r="M23" s="34">
        <v>266</v>
      </c>
      <c r="N23" s="34">
        <v>108</v>
      </c>
      <c r="O23" s="34"/>
      <c r="P23" s="34"/>
      <c r="Q23" s="34"/>
      <c r="R23" s="77"/>
      <c r="S23" s="121"/>
      <c r="T23" s="34"/>
      <c r="U23" s="34"/>
      <c r="V23" s="34">
        <v>35</v>
      </c>
      <c r="W23" s="127">
        <v>1750</v>
      </c>
      <c r="X23" s="34">
        <v>2</v>
      </c>
      <c r="Y23" s="34">
        <v>400</v>
      </c>
      <c r="Z23" s="34"/>
      <c r="AA23" s="34"/>
      <c r="AB23" s="34"/>
      <c r="AC23" s="34"/>
      <c r="AD23" s="34"/>
      <c r="AE23" s="77"/>
      <c r="AF23" s="95">
        <v>26</v>
      </c>
      <c r="AG23" s="74">
        <v>246660</v>
      </c>
      <c r="AH23" s="100"/>
      <c r="AI23" s="74"/>
      <c r="AJ23" s="84"/>
      <c r="AK23" s="34">
        <v>0</v>
      </c>
      <c r="AL23" s="77">
        <v>0</v>
      </c>
      <c r="AM23" s="84"/>
      <c r="AN23" s="77"/>
      <c r="AO23" s="36">
        <v>8031</v>
      </c>
      <c r="AP23" s="217">
        <v>49484</v>
      </c>
    </row>
    <row r="24" spans="1:42" s="42" customFormat="1" x14ac:dyDescent="0.25">
      <c r="A24" s="79" t="s">
        <v>122</v>
      </c>
      <c r="B24" s="78">
        <f t="shared" si="9"/>
        <v>3215701.9</v>
      </c>
      <c r="C24" s="129">
        <f t="shared" si="1"/>
        <v>430277</v>
      </c>
      <c r="D24" s="129">
        <f t="shared" si="2"/>
        <v>67615</v>
      </c>
      <c r="E24" s="129">
        <f t="shared" si="3"/>
        <v>138180</v>
      </c>
      <c r="F24" s="129">
        <f>VLOOKUP(A24,Renseanlæg!$I$1:$K$66,3,FALSE)</f>
        <v>0</v>
      </c>
      <c r="G24" s="129">
        <f t="shared" si="4"/>
        <v>0</v>
      </c>
      <c r="H24" s="129">
        <f t="shared" si="5"/>
        <v>0</v>
      </c>
      <c r="I24" s="136">
        <f t="shared" si="6"/>
        <v>823493.6</v>
      </c>
      <c r="J24" s="130">
        <f t="shared" si="8"/>
        <v>4.0337278106508882E-2</v>
      </c>
      <c r="K24" s="104"/>
      <c r="L24" s="116">
        <v>0.3</v>
      </c>
      <c r="M24" s="116">
        <v>41.1</v>
      </c>
      <c r="N24" s="116">
        <v>97.5</v>
      </c>
      <c r="O24" s="34">
        <v>7.2</v>
      </c>
      <c r="P24" s="34">
        <v>22.7</v>
      </c>
      <c r="Q24" s="34"/>
      <c r="R24" s="77">
        <v>0.2</v>
      </c>
      <c r="S24" s="104"/>
      <c r="T24" s="116"/>
      <c r="U24" s="116"/>
      <c r="V24" s="116">
        <v>5</v>
      </c>
      <c r="W24" s="125">
        <v>353</v>
      </c>
      <c r="X24" s="116">
        <v>2</v>
      </c>
      <c r="Y24" s="116">
        <v>361</v>
      </c>
      <c r="Z24" s="34">
        <v>1</v>
      </c>
      <c r="AA24" s="34">
        <v>350</v>
      </c>
      <c r="AB24" s="34"/>
      <c r="AC24" s="34"/>
      <c r="AD24" s="34"/>
      <c r="AE24" s="77"/>
      <c r="AF24" s="109">
        <v>5</v>
      </c>
      <c r="AG24" s="76">
        <v>17000</v>
      </c>
      <c r="AH24" s="73">
        <v>1</v>
      </c>
      <c r="AI24" s="76">
        <v>7000</v>
      </c>
      <c r="AJ24" s="75">
        <v>0</v>
      </c>
      <c r="AK24" s="124">
        <v>0</v>
      </c>
      <c r="AL24" s="120">
        <v>0</v>
      </c>
      <c r="AM24" s="123"/>
      <c r="AN24" s="120"/>
      <c r="AO24" s="119">
        <v>6817</v>
      </c>
      <c r="AP24" s="219">
        <v>83820</v>
      </c>
    </row>
    <row r="25" spans="1:42" s="42" customFormat="1" x14ac:dyDescent="0.25">
      <c r="A25" s="79" t="s">
        <v>56</v>
      </c>
      <c r="B25" s="78">
        <f t="shared" si="9"/>
        <v>6458454.3999999994</v>
      </c>
      <c r="C25" s="129">
        <f t="shared" si="1"/>
        <v>11120055</v>
      </c>
      <c r="D25" s="129">
        <f t="shared" si="2"/>
        <v>1352300</v>
      </c>
      <c r="E25" s="129">
        <f t="shared" si="3"/>
        <v>260567.99999999997</v>
      </c>
      <c r="F25" s="129">
        <f>VLOOKUP(A25,Renseanlæg!$I$1:$K$66,3,FALSE)</f>
        <v>16405094.700152671</v>
      </c>
      <c r="G25" s="129">
        <f t="shared" si="4"/>
        <v>2916948.24</v>
      </c>
      <c r="H25" s="129">
        <f t="shared" si="5"/>
        <v>0</v>
      </c>
      <c r="I25" s="136">
        <f t="shared" si="6"/>
        <v>2367076</v>
      </c>
      <c r="J25" s="130">
        <f t="shared" si="8"/>
        <v>2.1054045342215541E-2</v>
      </c>
      <c r="K25" s="121">
        <v>156.80000000000001</v>
      </c>
      <c r="L25" s="34">
        <v>86.2</v>
      </c>
      <c r="M25" s="34">
        <v>374.8</v>
      </c>
      <c r="N25" s="34">
        <v>283</v>
      </c>
      <c r="O25" s="34">
        <v>11.6</v>
      </c>
      <c r="P25" s="34">
        <v>18.3</v>
      </c>
      <c r="Q25" s="34">
        <v>0</v>
      </c>
      <c r="R25" s="77">
        <v>0</v>
      </c>
      <c r="S25" s="121">
        <v>141</v>
      </c>
      <c r="T25" s="34">
        <v>141</v>
      </c>
      <c r="U25" s="34">
        <v>987</v>
      </c>
      <c r="V25" s="34">
        <v>300</v>
      </c>
      <c r="W25" s="127">
        <v>15720</v>
      </c>
      <c r="X25" s="34">
        <v>9</v>
      </c>
      <c r="Y25" s="34">
        <v>1780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77">
        <v>0</v>
      </c>
      <c r="AF25" s="95">
        <v>100</v>
      </c>
      <c r="AG25" s="74">
        <v>217000</v>
      </c>
      <c r="AH25" s="100">
        <v>23</v>
      </c>
      <c r="AI25" s="74">
        <v>13200</v>
      </c>
      <c r="AJ25" s="84">
        <v>735.6</v>
      </c>
      <c r="AK25" s="34">
        <v>0</v>
      </c>
      <c r="AL25" s="77">
        <v>0</v>
      </c>
      <c r="AM25" s="84">
        <v>0</v>
      </c>
      <c r="AN25" s="77">
        <v>0</v>
      </c>
      <c r="AO25" s="36">
        <v>19595</v>
      </c>
      <c r="AP25" s="217">
        <v>5015742</v>
      </c>
    </row>
    <row r="26" spans="1:42" s="42" customFormat="1" x14ac:dyDescent="0.25">
      <c r="A26" s="79" t="s">
        <v>57</v>
      </c>
      <c r="B26" s="78">
        <f t="shared" si="9"/>
        <v>18529274</v>
      </c>
      <c r="C26" s="129">
        <f t="shared" si="1"/>
        <v>6205825</v>
      </c>
      <c r="D26" s="129">
        <f t="shared" si="2"/>
        <v>1460484</v>
      </c>
      <c r="E26" s="129">
        <f t="shared" si="3"/>
        <v>2169899.7599999998</v>
      </c>
      <c r="F26" s="129">
        <f>VLOOKUP(A26,Renseanlæg!$I$1:$K$66,3,FALSE)</f>
        <v>26937309.716275383</v>
      </c>
      <c r="G26" s="129">
        <f t="shared" si="4"/>
        <v>18988468</v>
      </c>
      <c r="H26" s="129">
        <f t="shared" si="5"/>
        <v>22860</v>
      </c>
      <c r="I26" s="136">
        <f t="shared" si="6"/>
        <v>3005383.1999999997</v>
      </c>
      <c r="J26" s="130">
        <f t="shared" si="8"/>
        <v>1.4817748659916617E-2</v>
      </c>
      <c r="K26" s="121">
        <v>308</v>
      </c>
      <c r="L26" s="34">
        <v>93</v>
      </c>
      <c r="M26" s="34">
        <v>741</v>
      </c>
      <c r="N26" s="34">
        <v>400</v>
      </c>
      <c r="O26" s="34">
        <v>72</v>
      </c>
      <c r="P26" s="34">
        <v>65</v>
      </c>
      <c r="Q26" s="34">
        <v>0</v>
      </c>
      <c r="R26" s="77">
        <v>0</v>
      </c>
      <c r="S26" s="121">
        <v>119</v>
      </c>
      <c r="T26" s="34">
        <v>6</v>
      </c>
      <c r="U26" s="34">
        <v>32</v>
      </c>
      <c r="V26" s="34">
        <v>83</v>
      </c>
      <c r="W26" s="127">
        <v>1776</v>
      </c>
      <c r="X26" s="34">
        <v>9</v>
      </c>
      <c r="Y26" s="34">
        <v>1584</v>
      </c>
      <c r="Z26" s="34"/>
      <c r="AA26" s="34">
        <v>0</v>
      </c>
      <c r="AB26" s="34">
        <v>1</v>
      </c>
      <c r="AC26" s="34">
        <v>4000</v>
      </c>
      <c r="AD26" s="34">
        <v>0</v>
      </c>
      <c r="AE26" s="77">
        <v>0</v>
      </c>
      <c r="AF26" s="95">
        <v>108</v>
      </c>
      <c r="AG26" s="74">
        <v>606245</v>
      </c>
      <c r="AH26" s="100">
        <v>32</v>
      </c>
      <c r="AI26" s="74">
        <v>109924</v>
      </c>
      <c r="AJ26" s="84">
        <v>4585</v>
      </c>
      <c r="AK26" s="34">
        <v>170</v>
      </c>
      <c r="AL26" s="77">
        <v>0</v>
      </c>
      <c r="AM26" s="84">
        <v>9</v>
      </c>
      <c r="AN26" s="77">
        <v>45</v>
      </c>
      <c r="AO26" s="36">
        <v>24879</v>
      </c>
      <c r="AP26" s="217">
        <v>2395804</v>
      </c>
    </row>
    <row r="27" spans="1:42" s="42" customFormat="1" x14ac:dyDescent="0.25">
      <c r="A27" s="79" t="s">
        <v>58</v>
      </c>
      <c r="B27" s="78">
        <f t="shared" si="9"/>
        <v>2192073</v>
      </c>
      <c r="C27" s="129">
        <f t="shared" si="1"/>
        <v>5610542</v>
      </c>
      <c r="D27" s="129">
        <f t="shared" si="2"/>
        <v>67615</v>
      </c>
      <c r="E27" s="129">
        <f t="shared" si="3"/>
        <v>373125.48</v>
      </c>
      <c r="F27" s="129">
        <f>VLOOKUP(A27,Renseanlæg!$I$1:$K$66,3,FALSE)</f>
        <v>5446150.3167922636</v>
      </c>
      <c r="G27" s="129">
        <f t="shared" si="4"/>
        <v>2874915</v>
      </c>
      <c r="H27" s="129">
        <f t="shared" si="5"/>
        <v>0</v>
      </c>
      <c r="I27" s="136">
        <f t="shared" si="6"/>
        <v>854056</v>
      </c>
      <c r="J27" s="130">
        <f t="shared" si="8"/>
        <v>3.1846846846846848E-2</v>
      </c>
      <c r="K27" s="121">
        <v>10</v>
      </c>
      <c r="L27" s="34">
        <v>5</v>
      </c>
      <c r="M27" s="34">
        <v>110</v>
      </c>
      <c r="N27" s="34">
        <v>82</v>
      </c>
      <c r="O27" s="34">
        <v>5</v>
      </c>
      <c r="P27" s="34">
        <v>10</v>
      </c>
      <c r="Q27" s="34">
        <v>0</v>
      </c>
      <c r="R27" s="77">
        <v>0</v>
      </c>
      <c r="S27" s="121">
        <v>12</v>
      </c>
      <c r="T27" s="34">
        <v>9</v>
      </c>
      <c r="U27" s="34">
        <v>60</v>
      </c>
      <c r="V27" s="34">
        <v>14</v>
      </c>
      <c r="W27" s="127">
        <v>598</v>
      </c>
      <c r="X27" s="34">
        <v>23</v>
      </c>
      <c r="Y27" s="34">
        <v>3420</v>
      </c>
      <c r="Z27" s="34">
        <v>2</v>
      </c>
      <c r="AA27" s="34">
        <v>980</v>
      </c>
      <c r="AB27" s="34">
        <v>2</v>
      </c>
      <c r="AC27" s="34">
        <v>1398</v>
      </c>
      <c r="AD27" s="34">
        <v>2</v>
      </c>
      <c r="AE27" s="77">
        <v>2779</v>
      </c>
      <c r="AF27" s="95">
        <v>5</v>
      </c>
      <c r="AG27" s="74">
        <v>14295</v>
      </c>
      <c r="AH27" s="100">
        <v>20</v>
      </c>
      <c r="AI27" s="74">
        <v>18902</v>
      </c>
      <c r="AJ27" s="84">
        <v>725</v>
      </c>
      <c r="AK27" s="34">
        <v>0</v>
      </c>
      <c r="AL27" s="77">
        <v>0</v>
      </c>
      <c r="AM27" s="84">
        <v>0</v>
      </c>
      <c r="AN27" s="77">
        <v>0</v>
      </c>
      <c r="AO27" s="36">
        <v>7070</v>
      </c>
      <c r="AP27" s="217">
        <v>2030685</v>
      </c>
    </row>
    <row r="28" spans="1:42" s="42" customFormat="1" x14ac:dyDescent="0.25">
      <c r="A28" s="79" t="s">
        <v>60</v>
      </c>
      <c r="B28" s="78">
        <f t="shared" si="9"/>
        <v>47069</v>
      </c>
      <c r="C28" s="129">
        <f t="shared" si="1"/>
        <v>1858461</v>
      </c>
      <c r="D28" s="129">
        <f t="shared" si="2"/>
        <v>0</v>
      </c>
      <c r="E28" s="129">
        <f t="shared" si="3"/>
        <v>0</v>
      </c>
      <c r="F28" s="129">
        <f>VLOOKUP(A28,Renseanlæg!$I$1:$K$66,3,FALSE)</f>
        <v>15735166.136542302</v>
      </c>
      <c r="G28" s="129">
        <f t="shared" si="4"/>
        <v>6027408</v>
      </c>
      <c r="H28" s="129">
        <f t="shared" si="5"/>
        <v>0</v>
      </c>
      <c r="I28" s="136">
        <f t="shared" si="6"/>
        <v>604</v>
      </c>
      <c r="J28" s="130">
        <f t="shared" si="8"/>
        <v>4.5454545454545455E-4</v>
      </c>
      <c r="K28" s="104">
        <v>1</v>
      </c>
      <c r="L28" s="116">
        <v>8</v>
      </c>
      <c r="M28" s="116">
        <v>0</v>
      </c>
      <c r="N28" s="116">
        <v>2</v>
      </c>
      <c r="O28" s="34">
        <v>0</v>
      </c>
      <c r="P28" s="34">
        <v>0</v>
      </c>
      <c r="Q28" s="34">
        <v>0</v>
      </c>
      <c r="R28" s="77">
        <v>0</v>
      </c>
      <c r="S28" s="104">
        <v>0</v>
      </c>
      <c r="T28" s="116"/>
      <c r="U28" s="116">
        <v>0</v>
      </c>
      <c r="V28" s="116"/>
      <c r="W28" s="125">
        <v>0</v>
      </c>
      <c r="X28" s="116"/>
      <c r="Y28" s="116">
        <v>0</v>
      </c>
      <c r="Z28" s="34"/>
      <c r="AA28" s="34">
        <v>0</v>
      </c>
      <c r="AB28" s="34">
        <v>0</v>
      </c>
      <c r="AC28" s="34">
        <v>0</v>
      </c>
      <c r="AD28" s="34">
        <v>1</v>
      </c>
      <c r="AE28" s="77">
        <v>3113</v>
      </c>
      <c r="AF28" s="109">
        <v>0</v>
      </c>
      <c r="AG28" s="122">
        <v>0</v>
      </c>
      <c r="AH28" s="73">
        <v>0</v>
      </c>
      <c r="AI28" s="120">
        <v>0</v>
      </c>
      <c r="AJ28" s="75">
        <v>1520</v>
      </c>
      <c r="AK28" s="116">
        <v>0</v>
      </c>
      <c r="AL28" s="77">
        <v>0</v>
      </c>
      <c r="AM28" s="123">
        <v>0</v>
      </c>
      <c r="AN28" s="120">
        <v>0</v>
      </c>
      <c r="AO28" s="119">
        <v>5</v>
      </c>
      <c r="AP28" s="218">
        <v>7833142</v>
      </c>
    </row>
    <row r="29" spans="1:42" s="42" customFormat="1" x14ac:dyDescent="0.25">
      <c r="A29" s="79" t="s">
        <v>62</v>
      </c>
      <c r="B29" s="78">
        <f t="shared" si="9"/>
        <v>1942666</v>
      </c>
      <c r="C29" s="129">
        <f t="shared" si="1"/>
        <v>6940375</v>
      </c>
      <c r="D29" s="129">
        <f t="shared" si="2"/>
        <v>256937</v>
      </c>
      <c r="E29" s="129">
        <f t="shared" si="3"/>
        <v>96489.12</v>
      </c>
      <c r="F29" s="129">
        <f>VLOOKUP(A29,Renseanlæg!$I$1:$K$66,3,FALSE)</f>
        <v>5834493.4595384076</v>
      </c>
      <c r="G29" s="129">
        <f t="shared" si="4"/>
        <v>1352201.4000000001</v>
      </c>
      <c r="H29" s="129">
        <f t="shared" si="5"/>
        <v>22860</v>
      </c>
      <c r="I29" s="136">
        <f t="shared" si="6"/>
        <v>1051080.8</v>
      </c>
      <c r="J29" s="130">
        <f t="shared" si="8"/>
        <v>1.9165198237885463E-2</v>
      </c>
      <c r="K29" s="121">
        <v>266</v>
      </c>
      <c r="L29" s="34">
        <v>32</v>
      </c>
      <c r="M29" s="34">
        <v>112</v>
      </c>
      <c r="N29" s="34">
        <v>44</v>
      </c>
      <c r="O29" s="34">
        <v>0</v>
      </c>
      <c r="P29" s="34">
        <v>0</v>
      </c>
      <c r="Q29" s="34">
        <v>0</v>
      </c>
      <c r="R29" s="77">
        <v>0</v>
      </c>
      <c r="S29" s="121">
        <v>0</v>
      </c>
      <c r="T29" s="34">
        <v>332</v>
      </c>
      <c r="U29" s="34">
        <v>986</v>
      </c>
      <c r="V29" s="34">
        <v>83</v>
      </c>
      <c r="W29" s="127">
        <v>1660</v>
      </c>
      <c r="X29" s="34">
        <v>3</v>
      </c>
      <c r="Y29" s="34">
        <v>429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77">
        <v>0</v>
      </c>
      <c r="AF29" s="95">
        <v>19</v>
      </c>
      <c r="AG29" s="74">
        <v>41458</v>
      </c>
      <c r="AH29" s="100">
        <v>12</v>
      </c>
      <c r="AI29" s="74">
        <v>4888</v>
      </c>
      <c r="AJ29" s="84">
        <v>341</v>
      </c>
      <c r="AK29" s="34">
        <v>0</v>
      </c>
      <c r="AL29" s="77">
        <v>0</v>
      </c>
      <c r="AM29" s="84">
        <v>9</v>
      </c>
      <c r="AN29" s="77">
        <v>75</v>
      </c>
      <c r="AO29" s="36">
        <v>8701</v>
      </c>
      <c r="AP29" s="217">
        <v>1446120</v>
      </c>
    </row>
    <row r="30" spans="1:42" s="42" customFormat="1" x14ac:dyDescent="0.25">
      <c r="A30" s="79" t="s">
        <v>114</v>
      </c>
      <c r="B30" s="78">
        <f t="shared" si="9"/>
        <v>2156616</v>
      </c>
      <c r="C30" s="129">
        <f t="shared" si="1"/>
        <v>2888990</v>
      </c>
      <c r="D30" s="129">
        <f t="shared" si="2"/>
        <v>473305</v>
      </c>
      <c r="E30" s="129">
        <f t="shared" si="3"/>
        <v>303028.74</v>
      </c>
      <c r="F30" s="129">
        <f>VLOOKUP(A30,Renseanlæg!$I$1:$K$66,3,FALSE)</f>
        <v>8147170.6189618437</v>
      </c>
      <c r="G30" s="129">
        <f t="shared" si="4"/>
        <v>1779909.4440000001</v>
      </c>
      <c r="H30" s="129">
        <f t="shared" si="5"/>
        <v>0</v>
      </c>
      <c r="I30" s="136">
        <f t="shared" si="6"/>
        <v>1261152</v>
      </c>
      <c r="J30" s="130">
        <f t="shared" si="8"/>
        <v>2.0714285714285713E-2</v>
      </c>
      <c r="K30" s="104">
        <v>190</v>
      </c>
      <c r="L30" s="116">
        <v>75</v>
      </c>
      <c r="M30" s="116">
        <v>159</v>
      </c>
      <c r="N30" s="116">
        <v>80</v>
      </c>
      <c r="O30" s="116"/>
      <c r="P30" s="116"/>
      <c r="Q30" s="116"/>
      <c r="R30" s="120"/>
      <c r="S30" s="104">
        <v>66</v>
      </c>
      <c r="T30" s="116">
        <v>47</v>
      </c>
      <c r="U30" s="116">
        <v>470</v>
      </c>
      <c r="V30" s="116">
        <v>57</v>
      </c>
      <c r="W30" s="125">
        <v>1140</v>
      </c>
      <c r="X30" s="116">
        <v>4</v>
      </c>
      <c r="Y30" s="116">
        <v>100</v>
      </c>
      <c r="Z30" s="116"/>
      <c r="AA30" s="116"/>
      <c r="AB30" s="116"/>
      <c r="AC30" s="116"/>
      <c r="AD30" s="116"/>
      <c r="AE30" s="120"/>
      <c r="AF30" s="109">
        <v>35</v>
      </c>
      <c r="AG30" s="122">
        <v>101507</v>
      </c>
      <c r="AH30" s="73">
        <v>10</v>
      </c>
      <c r="AI30" s="120">
        <v>15351</v>
      </c>
      <c r="AJ30" s="75">
        <v>448.86</v>
      </c>
      <c r="AK30" s="124">
        <v>0</v>
      </c>
      <c r="AL30" s="77">
        <v>0</v>
      </c>
      <c r="AM30" s="123"/>
      <c r="AN30" s="120"/>
      <c r="AO30" s="86">
        <v>10440</v>
      </c>
      <c r="AP30" s="220">
        <v>2319290</v>
      </c>
    </row>
    <row r="31" spans="1:42" s="42" customFormat="1" x14ac:dyDescent="0.25">
      <c r="A31" s="79" t="s">
        <v>74</v>
      </c>
      <c r="B31" s="78">
        <f t="shared" si="9"/>
        <v>2045789.9</v>
      </c>
      <c r="C31" s="129">
        <f t="shared" si="1"/>
        <v>4831681</v>
      </c>
      <c r="D31" s="129">
        <f t="shared" si="2"/>
        <v>459782</v>
      </c>
      <c r="E31" s="129">
        <f t="shared" si="3"/>
        <v>2368.7999999999997</v>
      </c>
      <c r="F31" s="129">
        <f>VLOOKUP(A31,Renseanlæg!$I$1:$K$66,3,FALSE)</f>
        <v>12633295.015374677</v>
      </c>
      <c r="G31" s="129">
        <f t="shared" si="4"/>
        <v>2994499.1</v>
      </c>
      <c r="H31" s="129">
        <f t="shared" si="5"/>
        <v>45720</v>
      </c>
      <c r="I31" s="136">
        <f t="shared" si="6"/>
        <v>1091186.3999999999</v>
      </c>
      <c r="J31" s="130">
        <f t="shared" si="8"/>
        <v>1.8893536916962977E-2</v>
      </c>
      <c r="K31" s="121">
        <v>143.5</v>
      </c>
      <c r="L31" s="34">
        <v>38.299999999999997</v>
      </c>
      <c r="M31" s="34">
        <v>225</v>
      </c>
      <c r="N31" s="34">
        <v>71.3</v>
      </c>
      <c r="O31" s="34"/>
      <c r="P31" s="34"/>
      <c r="Q31" s="34"/>
      <c r="R31" s="77"/>
      <c r="S31" s="121">
        <v>100</v>
      </c>
      <c r="T31" s="34">
        <v>19</v>
      </c>
      <c r="U31" s="34">
        <v>95</v>
      </c>
      <c r="V31" s="34">
        <v>152</v>
      </c>
      <c r="W31" s="127">
        <v>6840</v>
      </c>
      <c r="X31" s="34">
        <v>2</v>
      </c>
      <c r="Y31" s="34">
        <v>320</v>
      </c>
      <c r="Z31" s="34"/>
      <c r="AA31" s="34"/>
      <c r="AB31" s="34"/>
      <c r="AC31" s="34"/>
      <c r="AD31" s="34"/>
      <c r="AE31" s="77"/>
      <c r="AF31" s="95">
        <v>34</v>
      </c>
      <c r="AG31" s="74">
        <v>85000</v>
      </c>
      <c r="AH31" s="100">
        <v>1</v>
      </c>
      <c r="AI31" s="74">
        <v>120</v>
      </c>
      <c r="AJ31" s="84">
        <v>560</v>
      </c>
      <c r="AK31" s="34">
        <v>163</v>
      </c>
      <c r="AL31" s="77">
        <v>0</v>
      </c>
      <c r="AM31" s="84">
        <v>18</v>
      </c>
      <c r="AN31" s="77">
        <v>90</v>
      </c>
      <c r="AO31" s="36">
        <v>9033</v>
      </c>
      <c r="AP31" s="217">
        <v>3194805</v>
      </c>
    </row>
    <row r="32" spans="1:42" s="42" customFormat="1" x14ac:dyDescent="0.25">
      <c r="A32" s="79" t="s">
        <v>77</v>
      </c>
      <c r="B32" s="78">
        <f t="shared" si="9"/>
        <v>0</v>
      </c>
      <c r="C32" s="129">
        <f t="shared" si="1"/>
        <v>0</v>
      </c>
      <c r="D32" s="129">
        <f t="shared" si="2"/>
        <v>0</v>
      </c>
      <c r="E32" s="129">
        <f t="shared" si="3"/>
        <v>0</v>
      </c>
      <c r="F32" s="129">
        <f>VLOOKUP(A32,Renseanlæg!$I$1:$K$66,3,FALSE)</f>
        <v>64461748.115588136</v>
      </c>
      <c r="G32" s="129">
        <f t="shared" si="4"/>
        <v>77207097.399999991</v>
      </c>
      <c r="H32" s="129">
        <f t="shared" si="5"/>
        <v>0</v>
      </c>
      <c r="I32" s="136">
        <f t="shared" si="6"/>
        <v>0</v>
      </c>
      <c r="J32" s="130">
        <v>0</v>
      </c>
      <c r="K32" s="121"/>
      <c r="L32" s="34"/>
      <c r="M32" s="34"/>
      <c r="N32" s="34"/>
      <c r="O32" s="34"/>
      <c r="P32" s="34"/>
      <c r="Q32" s="34"/>
      <c r="R32" s="77"/>
      <c r="S32" s="121"/>
      <c r="T32" s="34"/>
      <c r="U32" s="34"/>
      <c r="V32" s="34"/>
      <c r="W32" s="127"/>
      <c r="X32" s="34"/>
      <c r="Y32" s="34"/>
      <c r="Z32" s="34"/>
      <c r="AA32" s="34"/>
      <c r="AB32" s="34"/>
      <c r="AC32" s="34"/>
      <c r="AD32" s="34"/>
      <c r="AE32" s="77"/>
      <c r="AF32" s="95"/>
      <c r="AG32" s="74"/>
      <c r="AH32" s="100"/>
      <c r="AI32" s="74"/>
      <c r="AJ32" s="84">
        <v>0</v>
      </c>
      <c r="AK32" s="34">
        <v>0</v>
      </c>
      <c r="AL32" s="77">
        <v>16262</v>
      </c>
      <c r="AM32" s="84"/>
      <c r="AN32" s="77"/>
      <c r="AO32" s="36"/>
      <c r="AP32" s="217"/>
    </row>
    <row r="33" spans="1:62" s="42" customFormat="1" x14ac:dyDescent="0.25">
      <c r="A33" s="79" t="s">
        <v>115</v>
      </c>
      <c r="B33" s="78">
        <f t="shared" ref="B33" si="10">4.279*SUM(K33:N33)*1000+87.088*SUM(O33:R33)*1000</f>
        <v>163029.9</v>
      </c>
      <c r="C33" s="129">
        <f t="shared" si="1"/>
        <v>555751</v>
      </c>
      <c r="D33" s="129">
        <f t="shared" ref="D33" si="11">13523*AF33</f>
        <v>0</v>
      </c>
      <c r="E33" s="129">
        <f t="shared" ref="E33" si="12">19.74*AI33</f>
        <v>2368.7999999999997</v>
      </c>
      <c r="F33" s="129">
        <f>VLOOKUP(A33,Renseanlæg!$I$1:$K$66,3,FALSE)</f>
        <v>806127.06628227385</v>
      </c>
      <c r="G33" s="129">
        <f t="shared" ref="G33" si="13">3965.4*AJ33+4747.7*(AK33+AL33)</f>
        <v>0</v>
      </c>
      <c r="H33" s="129">
        <f t="shared" ref="H33" si="14">2540*AM33</f>
        <v>0</v>
      </c>
      <c r="I33" s="136">
        <f t="shared" ref="I33" si="15">120.8*AO33</f>
        <v>301275.2</v>
      </c>
      <c r="J33" s="130">
        <f>AO33/(SUM(K33:R33)*1000)</f>
        <v>6.5459317585301838E-2</v>
      </c>
      <c r="K33" s="121">
        <v>1.4</v>
      </c>
      <c r="L33" s="34">
        <v>7.2</v>
      </c>
      <c r="M33" s="34">
        <v>10.9</v>
      </c>
      <c r="N33" s="34">
        <v>18.600000000000001</v>
      </c>
      <c r="O33" s="34"/>
      <c r="P33" s="34"/>
      <c r="Q33" s="34"/>
      <c r="R33" s="77"/>
      <c r="S33" s="121"/>
      <c r="T33" s="34">
        <v>33</v>
      </c>
      <c r="U33" s="34">
        <v>198</v>
      </c>
      <c r="V33" s="34">
        <v>4</v>
      </c>
      <c r="W33" s="127">
        <v>62</v>
      </c>
      <c r="X33" s="34"/>
      <c r="Y33" s="34"/>
      <c r="Z33" s="34"/>
      <c r="AA33" s="34"/>
      <c r="AB33" s="34"/>
      <c r="AC33" s="34"/>
      <c r="AD33" s="34"/>
      <c r="AE33" s="77"/>
      <c r="AF33" s="95"/>
      <c r="AG33" s="74"/>
      <c r="AH33" s="100">
        <v>4</v>
      </c>
      <c r="AI33" s="74">
        <v>120</v>
      </c>
      <c r="AJ33" s="84">
        <v>0</v>
      </c>
      <c r="AK33" s="34">
        <v>0</v>
      </c>
      <c r="AL33" s="77">
        <v>0</v>
      </c>
      <c r="AM33" s="84"/>
      <c r="AN33" s="77"/>
      <c r="AO33" s="210">
        <v>2494</v>
      </c>
      <c r="AP33" s="217">
        <v>152456</v>
      </c>
    </row>
    <row r="34" spans="1:62" s="42" customFormat="1" x14ac:dyDescent="0.25">
      <c r="A34" s="79" t="s">
        <v>63</v>
      </c>
      <c r="B34" s="78">
        <f t="shared" si="9"/>
        <v>3919564</v>
      </c>
      <c r="C34" s="129">
        <f t="shared" si="1"/>
        <v>5065385</v>
      </c>
      <c r="D34" s="129">
        <f t="shared" ref="D34:D63" si="16">13523*AF34</f>
        <v>500351</v>
      </c>
      <c r="E34" s="129">
        <f t="shared" ref="E34:E63" si="17">19.74*AI34</f>
        <v>64648.499999999993</v>
      </c>
      <c r="F34" s="129">
        <f>VLOOKUP(A34,Renseanlæg!$I$1:$K$66,3,FALSE)</f>
        <v>13851742.79027093</v>
      </c>
      <c r="G34" s="129">
        <f t="shared" ref="G34:G63" si="18">3965.4*AJ34+4747.7*(AK34+AL34)</f>
        <v>7702646.9000000004</v>
      </c>
      <c r="H34" s="129">
        <f t="shared" ref="H34:H63" si="19">2540*AM34</f>
        <v>0</v>
      </c>
      <c r="I34" s="136">
        <f t="shared" ref="I34:I63" si="20">120.8*AO34</f>
        <v>1740728</v>
      </c>
      <c r="J34" s="130">
        <f>AO34/(SUM(K34:R34)*1000)</f>
        <v>1.5731441048034936E-2</v>
      </c>
      <c r="K34" s="121">
        <v>235</v>
      </c>
      <c r="L34" s="34">
        <v>110</v>
      </c>
      <c r="M34" s="34">
        <v>360</v>
      </c>
      <c r="N34" s="34">
        <v>211</v>
      </c>
      <c r="O34" s="34">
        <v>0</v>
      </c>
      <c r="P34" s="34">
        <v>0</v>
      </c>
      <c r="Q34" s="34">
        <v>0</v>
      </c>
      <c r="R34" s="77">
        <v>0</v>
      </c>
      <c r="S34" s="121">
        <v>2</v>
      </c>
      <c r="T34" s="34">
        <v>228</v>
      </c>
      <c r="U34" s="34">
        <v>1379</v>
      </c>
      <c r="V34" s="34">
        <v>69</v>
      </c>
      <c r="W34" s="127">
        <v>1810</v>
      </c>
      <c r="X34" s="34">
        <v>1</v>
      </c>
      <c r="Y34" s="34">
        <v>153</v>
      </c>
      <c r="Z34" s="34">
        <v>1</v>
      </c>
      <c r="AA34" s="34">
        <v>400</v>
      </c>
      <c r="AB34" s="34">
        <v>0</v>
      </c>
      <c r="AC34" s="34">
        <v>0</v>
      </c>
      <c r="AD34" s="34">
        <v>0</v>
      </c>
      <c r="AE34" s="77">
        <v>0</v>
      </c>
      <c r="AF34" s="95">
        <v>37</v>
      </c>
      <c r="AG34" s="74">
        <v>188146</v>
      </c>
      <c r="AH34" s="100">
        <v>9</v>
      </c>
      <c r="AI34" s="74">
        <v>3275</v>
      </c>
      <c r="AJ34" s="84">
        <v>1266</v>
      </c>
      <c r="AK34" s="34">
        <v>162</v>
      </c>
      <c r="AL34" s="77">
        <v>403</v>
      </c>
      <c r="AM34" s="84">
        <v>0</v>
      </c>
      <c r="AN34" s="77">
        <v>0</v>
      </c>
      <c r="AO34" s="36">
        <v>14410</v>
      </c>
      <c r="AP34" s="217">
        <v>4080208</v>
      </c>
    </row>
    <row r="35" spans="1:62" s="42" customFormat="1" x14ac:dyDescent="0.25">
      <c r="A35" s="79" t="s">
        <v>64</v>
      </c>
      <c r="B35" s="78">
        <f t="shared" si="9"/>
        <v>5801758</v>
      </c>
      <c r="C35" s="129">
        <f t="shared" ref="C35:C63" si="21">6628*S35+13891*T35+24337*V35+102864*(X35+Z35)+597*(AC35+AE35)</f>
        <v>6336534</v>
      </c>
      <c r="D35" s="129">
        <f t="shared" si="16"/>
        <v>662627</v>
      </c>
      <c r="E35" s="129">
        <f t="shared" si="17"/>
        <v>155551.19999999998</v>
      </c>
      <c r="F35" s="129">
        <f>VLOOKUP(A35,Renseanlæg!$I$1:$K$66,3,FALSE)</f>
        <v>10718700.67701917</v>
      </c>
      <c r="G35" s="129">
        <f t="shared" si="18"/>
        <v>2824767.7</v>
      </c>
      <c r="H35" s="129">
        <f t="shared" si="19"/>
        <v>132080</v>
      </c>
      <c r="I35" s="136">
        <f t="shared" si="20"/>
        <v>1791464</v>
      </c>
      <c r="J35" s="130">
        <f>AO35/(SUM(K35:R35)*1000)</f>
        <v>1.821867321867322E-2</v>
      </c>
      <c r="K35" s="104">
        <v>43</v>
      </c>
      <c r="L35" s="116">
        <v>268</v>
      </c>
      <c r="M35" s="116">
        <v>131</v>
      </c>
      <c r="N35" s="116">
        <v>344</v>
      </c>
      <c r="O35" s="34">
        <v>5</v>
      </c>
      <c r="P35" s="34">
        <v>23</v>
      </c>
      <c r="Q35" s="34">
        <v>0</v>
      </c>
      <c r="R35" s="77">
        <v>0</v>
      </c>
      <c r="S35" s="104">
        <v>178</v>
      </c>
      <c r="T35" s="116">
        <v>43</v>
      </c>
      <c r="U35" s="116">
        <v>296</v>
      </c>
      <c r="V35" s="116">
        <v>109</v>
      </c>
      <c r="W35" s="96">
        <v>3382</v>
      </c>
      <c r="X35" s="116">
        <v>6</v>
      </c>
      <c r="Y35" s="116">
        <v>1154</v>
      </c>
      <c r="Z35" s="34">
        <v>0</v>
      </c>
      <c r="AA35" s="34">
        <v>0</v>
      </c>
      <c r="AB35" s="34">
        <v>1</v>
      </c>
      <c r="AC35" s="34">
        <v>660</v>
      </c>
      <c r="AD35" s="34">
        <v>1</v>
      </c>
      <c r="AE35" s="77">
        <v>1500</v>
      </c>
      <c r="AF35" s="109">
        <v>49</v>
      </c>
      <c r="AG35" s="76">
        <v>116766</v>
      </c>
      <c r="AH35" s="73">
        <v>9</v>
      </c>
      <c r="AI35" s="76">
        <v>7880</v>
      </c>
      <c r="AJ35" s="75">
        <v>692</v>
      </c>
      <c r="AK35" s="124">
        <v>0</v>
      </c>
      <c r="AL35" s="211">
        <v>17</v>
      </c>
      <c r="AM35" s="84">
        <v>52</v>
      </c>
      <c r="AN35" s="77">
        <v>112</v>
      </c>
      <c r="AO35" s="119">
        <v>14830</v>
      </c>
      <c r="AP35" s="218">
        <v>2826736</v>
      </c>
    </row>
    <row r="36" spans="1:62" s="42" customFormat="1" x14ac:dyDescent="0.25">
      <c r="A36" s="79" t="s">
        <v>65</v>
      </c>
      <c r="B36" s="78">
        <f t="shared" ref="B36:B56" si="22">4.279*SUM(K36:N36)*1000+87.088*SUM(O36:R36)*1000</f>
        <v>1201814.3999999997</v>
      </c>
      <c r="C36" s="129">
        <f t="shared" si="21"/>
        <v>0</v>
      </c>
      <c r="D36" s="129">
        <f t="shared" si="16"/>
        <v>0</v>
      </c>
      <c r="E36" s="129">
        <f t="shared" si="17"/>
        <v>0</v>
      </c>
      <c r="F36" s="129">
        <f>VLOOKUP(A36,Renseanlæg!$I$1:$K$66,3,FALSE)</f>
        <v>10933325.186828353</v>
      </c>
      <c r="G36" s="129">
        <f t="shared" si="18"/>
        <v>9163061</v>
      </c>
      <c r="H36" s="129">
        <f t="shared" si="19"/>
        <v>0</v>
      </c>
      <c r="I36" s="136">
        <f t="shared" si="20"/>
        <v>0</v>
      </c>
      <c r="J36" s="130">
        <f>AO36/(SUM(K36:R36)*1000)</f>
        <v>0</v>
      </c>
      <c r="K36" s="104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34">
        <v>1.52</v>
      </c>
      <c r="R36" s="77">
        <v>12.28</v>
      </c>
      <c r="S36" s="104">
        <v>0</v>
      </c>
      <c r="T36" s="116">
        <v>0</v>
      </c>
      <c r="U36" s="116">
        <v>0</v>
      </c>
      <c r="V36" s="116">
        <v>0</v>
      </c>
      <c r="W36" s="125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0</v>
      </c>
      <c r="AC36" s="116">
        <v>0</v>
      </c>
      <c r="AD36" s="34">
        <v>0</v>
      </c>
      <c r="AE36" s="77">
        <v>0</v>
      </c>
      <c r="AF36" s="109">
        <v>0</v>
      </c>
      <c r="AG36" s="122">
        <v>0</v>
      </c>
      <c r="AH36" s="73">
        <v>0</v>
      </c>
      <c r="AI36" s="120">
        <v>0</v>
      </c>
      <c r="AJ36" s="75">
        <v>0</v>
      </c>
      <c r="AK36" s="124">
        <v>8</v>
      </c>
      <c r="AL36" s="120">
        <v>1922</v>
      </c>
      <c r="AM36" s="123">
        <v>0</v>
      </c>
      <c r="AN36" s="120">
        <v>0</v>
      </c>
      <c r="AO36" s="119">
        <v>0</v>
      </c>
      <c r="AP36" s="219">
        <v>5151000</v>
      </c>
    </row>
    <row r="37" spans="1:62" s="42" customFormat="1" x14ac:dyDescent="0.25">
      <c r="A37" s="79" t="s">
        <v>66</v>
      </c>
      <c r="B37" s="78">
        <f t="shared" si="22"/>
        <v>0</v>
      </c>
      <c r="C37" s="129">
        <f t="shared" si="21"/>
        <v>0</v>
      </c>
      <c r="D37" s="129">
        <f t="shared" si="16"/>
        <v>0</v>
      </c>
      <c r="E37" s="129">
        <f t="shared" si="17"/>
        <v>19029.359999999997</v>
      </c>
      <c r="F37" s="129">
        <f>VLOOKUP(A37,Renseanlæg!$I$1:$K$66,3,FALSE)</f>
        <v>6354692.9117957158</v>
      </c>
      <c r="G37" s="129">
        <f t="shared" si="18"/>
        <v>3442082.5</v>
      </c>
      <c r="H37" s="129">
        <f t="shared" si="19"/>
        <v>0</v>
      </c>
      <c r="I37" s="136">
        <f t="shared" si="20"/>
        <v>724.8</v>
      </c>
      <c r="J37" s="130">
        <v>0</v>
      </c>
      <c r="K37" s="104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20">
        <v>0</v>
      </c>
      <c r="S37" s="104">
        <v>0</v>
      </c>
      <c r="T37" s="116">
        <v>0</v>
      </c>
      <c r="U37" s="116">
        <v>0</v>
      </c>
      <c r="V37" s="116">
        <v>0</v>
      </c>
      <c r="W37" s="125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20">
        <v>0</v>
      </c>
      <c r="AF37" s="109">
        <v>0</v>
      </c>
      <c r="AG37" s="122">
        <v>0</v>
      </c>
      <c r="AH37" s="73">
        <v>1</v>
      </c>
      <c r="AI37" s="120">
        <v>964</v>
      </c>
      <c r="AJ37" s="75">
        <v>0</v>
      </c>
      <c r="AK37" s="124">
        <v>725</v>
      </c>
      <c r="AL37" s="211">
        <v>0</v>
      </c>
      <c r="AM37" s="123">
        <v>0</v>
      </c>
      <c r="AN37" s="120">
        <v>0</v>
      </c>
      <c r="AO37" s="119">
        <v>6</v>
      </c>
      <c r="AP37" s="219">
        <v>2162000</v>
      </c>
    </row>
    <row r="38" spans="1:62" s="42" customFormat="1" x14ac:dyDescent="0.25">
      <c r="A38" s="79" t="s">
        <v>67</v>
      </c>
      <c r="B38" s="78">
        <f t="shared" si="22"/>
        <v>2999578.9999999995</v>
      </c>
      <c r="C38" s="129">
        <f t="shared" si="21"/>
        <v>2504294</v>
      </c>
      <c r="D38" s="129">
        <f t="shared" si="16"/>
        <v>459782</v>
      </c>
      <c r="E38" s="129">
        <f t="shared" si="17"/>
        <v>0</v>
      </c>
      <c r="F38" s="129">
        <f>VLOOKUP(A38,Renseanlæg!$I$1:$K$66,3,FALSE)</f>
        <v>9790664.0312543996</v>
      </c>
      <c r="G38" s="129">
        <f t="shared" si="18"/>
        <v>2379240</v>
      </c>
      <c r="H38" s="129">
        <f t="shared" si="19"/>
        <v>0</v>
      </c>
      <c r="I38" s="136">
        <f t="shared" si="20"/>
        <v>1458901.5999999999</v>
      </c>
      <c r="J38" s="130">
        <f t="shared" ref="J38:J51" si="23">AO38/(SUM(K38:R38)*1000)</f>
        <v>1.7228245363766048E-2</v>
      </c>
      <c r="K38" s="121">
        <v>232</v>
      </c>
      <c r="L38" s="34">
        <v>72</v>
      </c>
      <c r="M38" s="34">
        <v>298</v>
      </c>
      <c r="N38" s="34">
        <v>99</v>
      </c>
      <c r="O38" s="34">
        <v>0</v>
      </c>
      <c r="P38" s="34">
        <v>0</v>
      </c>
      <c r="Q38" s="34">
        <v>0</v>
      </c>
      <c r="R38" s="77">
        <v>0</v>
      </c>
      <c r="S38" s="121">
        <v>187</v>
      </c>
      <c r="T38" s="34">
        <v>42</v>
      </c>
      <c r="U38" s="34">
        <v>296</v>
      </c>
      <c r="V38" s="34">
        <v>28</v>
      </c>
      <c r="W38" s="127">
        <v>720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77">
        <v>0</v>
      </c>
      <c r="AF38" s="95">
        <v>34</v>
      </c>
      <c r="AG38" s="74">
        <v>100360</v>
      </c>
      <c r="AH38" s="100">
        <v>0</v>
      </c>
      <c r="AI38" s="74">
        <v>0</v>
      </c>
      <c r="AJ38" s="84">
        <v>600</v>
      </c>
      <c r="AK38" s="34">
        <v>0</v>
      </c>
      <c r="AL38" s="77">
        <v>0</v>
      </c>
      <c r="AM38" s="84">
        <v>0</v>
      </c>
      <c r="AN38" s="77">
        <v>0</v>
      </c>
      <c r="AO38" s="36">
        <v>12077</v>
      </c>
      <c r="AP38" s="217">
        <v>2121455</v>
      </c>
    </row>
    <row r="39" spans="1:62" s="42" customFormat="1" x14ac:dyDescent="0.25">
      <c r="A39" s="79" t="s">
        <v>68</v>
      </c>
      <c r="B39" s="78">
        <f t="shared" si="22"/>
        <v>10666170</v>
      </c>
      <c r="C39" s="129">
        <f t="shared" si="21"/>
        <v>12583469</v>
      </c>
      <c r="D39" s="129">
        <f t="shared" si="16"/>
        <v>1108886</v>
      </c>
      <c r="E39" s="129">
        <f t="shared" si="17"/>
        <v>392332.49999999994</v>
      </c>
      <c r="F39" s="129">
        <f>VLOOKUP(A39,Renseanlæg!$I$1:$K$66,3,FALSE)</f>
        <v>15764614.093213849</v>
      </c>
      <c r="G39" s="129">
        <f t="shared" si="18"/>
        <v>7742038.9000000004</v>
      </c>
      <c r="H39" s="129">
        <f t="shared" si="19"/>
        <v>0</v>
      </c>
      <c r="I39" s="136">
        <f t="shared" si="20"/>
        <v>2944983.1999999997</v>
      </c>
      <c r="J39" s="130">
        <f t="shared" si="23"/>
        <v>1.6618268575323791E-2</v>
      </c>
      <c r="K39" s="104">
        <v>429</v>
      </c>
      <c r="L39" s="116">
        <v>216</v>
      </c>
      <c r="M39" s="34">
        <v>422</v>
      </c>
      <c r="N39" s="34">
        <v>347</v>
      </c>
      <c r="O39" s="34">
        <v>12</v>
      </c>
      <c r="P39" s="34">
        <v>41</v>
      </c>
      <c r="Q39" s="34">
        <v>0</v>
      </c>
      <c r="R39" s="77">
        <v>0</v>
      </c>
      <c r="S39" s="121">
        <v>170</v>
      </c>
      <c r="T39" s="34">
        <v>23</v>
      </c>
      <c r="U39" s="34">
        <v>138</v>
      </c>
      <c r="V39" s="34">
        <v>103</v>
      </c>
      <c r="W39" s="127">
        <v>5472</v>
      </c>
      <c r="X39" s="34">
        <v>30</v>
      </c>
      <c r="Y39" s="34">
        <v>5475</v>
      </c>
      <c r="Z39" s="34">
        <v>8</v>
      </c>
      <c r="AA39" s="34">
        <v>3492</v>
      </c>
      <c r="AB39" s="34">
        <v>1</v>
      </c>
      <c r="AC39" s="34">
        <v>700</v>
      </c>
      <c r="AD39" s="116">
        <v>4</v>
      </c>
      <c r="AE39" s="120">
        <v>7209</v>
      </c>
      <c r="AF39" s="95">
        <v>82</v>
      </c>
      <c r="AG39" s="74">
        <v>520830</v>
      </c>
      <c r="AH39" s="103">
        <v>20</v>
      </c>
      <c r="AI39" s="76">
        <v>19875</v>
      </c>
      <c r="AJ39" s="84">
        <v>366</v>
      </c>
      <c r="AK39" s="34">
        <v>1325</v>
      </c>
      <c r="AL39" s="120">
        <v>0</v>
      </c>
      <c r="AM39" s="84">
        <v>0</v>
      </c>
      <c r="AN39" s="77">
        <v>0</v>
      </c>
      <c r="AO39" s="119">
        <v>24379</v>
      </c>
      <c r="AP39" s="218">
        <v>6428802</v>
      </c>
    </row>
    <row r="40" spans="1:62" s="42" customFormat="1" x14ac:dyDescent="0.25">
      <c r="A40" s="79" t="s">
        <v>69</v>
      </c>
      <c r="B40" s="78">
        <f>4.279*SUM(K40:N40)*1000+87.088*SUM(O40:R40)*1000</f>
        <v>2909720</v>
      </c>
      <c r="C40" s="129">
        <f>6628*S40+13891*T40+24337*V40+102864*(X40+Z40)+597*(AC40+AE40)</f>
        <v>3489857</v>
      </c>
      <c r="D40" s="129">
        <f>13523*AF40</f>
        <v>540920</v>
      </c>
      <c r="E40" s="129">
        <f>19.74*AI40</f>
        <v>0</v>
      </c>
      <c r="F40" s="129">
        <f>VLOOKUP(A40,Renseanlæg!$I$1:$K$66,3,FALSE)</f>
        <v>3603357.2239353405</v>
      </c>
      <c r="G40" s="129">
        <f>3965.4*AJ40+4747.7*(AK40+AL40)</f>
        <v>1210663.5</v>
      </c>
      <c r="H40" s="129">
        <f>2540*AM40</f>
        <v>0</v>
      </c>
      <c r="I40" s="136">
        <f>120.8*AO40</f>
        <v>1146754.3999999999</v>
      </c>
      <c r="J40" s="130">
        <f>AO40/(SUM(K40:R40)*1000)</f>
        <v>1.3960294117647059E-2</v>
      </c>
      <c r="K40" s="121">
        <v>157</v>
      </c>
      <c r="L40" s="34">
        <v>75</v>
      </c>
      <c r="M40" s="34">
        <v>310</v>
      </c>
      <c r="N40" s="34">
        <v>138</v>
      </c>
      <c r="O40" s="34">
        <v>0</v>
      </c>
      <c r="P40" s="34">
        <v>0</v>
      </c>
      <c r="Q40" s="34">
        <v>0</v>
      </c>
      <c r="R40" s="77">
        <v>0</v>
      </c>
      <c r="S40" s="121">
        <v>23</v>
      </c>
      <c r="T40" s="34">
        <v>23</v>
      </c>
      <c r="U40" s="34">
        <v>275</v>
      </c>
      <c r="V40" s="34">
        <v>40</v>
      </c>
      <c r="W40" s="127">
        <v>750</v>
      </c>
      <c r="X40" s="34">
        <v>15</v>
      </c>
      <c r="Y40" s="34">
        <v>0</v>
      </c>
      <c r="Z40" s="34">
        <v>0</v>
      </c>
      <c r="AA40" s="34">
        <v>0</v>
      </c>
      <c r="AB40" s="34">
        <v>1</v>
      </c>
      <c r="AC40" s="34">
        <v>840</v>
      </c>
      <c r="AD40" s="34">
        <v>0</v>
      </c>
      <c r="AE40" s="77">
        <v>0</v>
      </c>
      <c r="AF40" s="95">
        <v>40</v>
      </c>
      <c r="AG40" s="74">
        <v>114760</v>
      </c>
      <c r="AH40" s="100">
        <v>0</v>
      </c>
      <c r="AI40" s="74">
        <v>0</v>
      </c>
      <c r="AJ40" s="84">
        <v>0</v>
      </c>
      <c r="AK40" s="34">
        <v>0</v>
      </c>
      <c r="AL40" s="77">
        <v>255</v>
      </c>
      <c r="AM40" s="84">
        <v>0</v>
      </c>
      <c r="AN40" s="77">
        <v>0</v>
      </c>
      <c r="AO40" s="36">
        <v>9493</v>
      </c>
      <c r="AP40" s="217">
        <v>1251753</v>
      </c>
    </row>
    <row r="41" spans="1:62" s="283" customFormat="1" x14ac:dyDescent="0.25">
      <c r="A41" s="297" t="s">
        <v>161</v>
      </c>
      <c r="B41" s="305">
        <f>4.279*SUM(K41:N41)*1000+87.088*SUM(O41:R41)*1000</f>
        <v>0</v>
      </c>
      <c r="C41" s="306">
        <f>6628*S41+13891*T41+24337*V41+102864*(X41+Z41)+597*(AC41+AE41)</f>
        <v>0</v>
      </c>
      <c r="D41" s="306">
        <f>13523*AF41</f>
        <v>0</v>
      </c>
      <c r="E41" s="306">
        <f>19.74*AI41</f>
        <v>0</v>
      </c>
      <c r="F41" s="306">
        <f>VLOOKUP(A41,Renseanlæg!$I$1:$K$66,3,FALSE)</f>
        <v>23389431.966303773</v>
      </c>
      <c r="G41" s="306">
        <f>3965.4*AJ41+4747.7*(AK41+AL41)</f>
        <v>5739912.4000000004</v>
      </c>
      <c r="H41" s="306">
        <f>2540*AM41</f>
        <v>0</v>
      </c>
      <c r="I41" s="307">
        <f>120.8*AO41</f>
        <v>241.6</v>
      </c>
      <c r="J41" s="308">
        <v>0</v>
      </c>
      <c r="K41" s="292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309">
        <v>0</v>
      </c>
      <c r="S41" s="292">
        <v>0</v>
      </c>
      <c r="T41" s="293">
        <v>0</v>
      </c>
      <c r="U41" s="293">
        <v>0</v>
      </c>
      <c r="V41" s="293">
        <v>0</v>
      </c>
      <c r="W41" s="310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/>
      <c r="AE41" s="309">
        <v>0</v>
      </c>
      <c r="AF41" s="311">
        <v>0</v>
      </c>
      <c r="AG41" s="312">
        <v>0</v>
      </c>
      <c r="AH41" s="313">
        <v>0</v>
      </c>
      <c r="AI41" s="312">
        <v>0</v>
      </c>
      <c r="AJ41" s="314">
        <v>346</v>
      </c>
      <c r="AK41" s="293">
        <v>920</v>
      </c>
      <c r="AL41" s="309">
        <v>0</v>
      </c>
      <c r="AM41" s="314">
        <v>0</v>
      </c>
      <c r="AN41" s="309">
        <v>0</v>
      </c>
      <c r="AO41" s="315">
        <v>2</v>
      </c>
      <c r="AP41" s="316" t="s">
        <v>162</v>
      </c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</row>
    <row r="42" spans="1:62" s="284" customFormat="1" x14ac:dyDescent="0.25">
      <c r="A42" s="297" t="s">
        <v>70</v>
      </c>
      <c r="B42" s="305">
        <f t="shared" si="22"/>
        <v>5789487</v>
      </c>
      <c r="C42" s="306">
        <f t="shared" si="21"/>
        <v>6443484</v>
      </c>
      <c r="D42" s="306">
        <f t="shared" si="16"/>
        <v>649104</v>
      </c>
      <c r="E42" s="306">
        <f t="shared" si="17"/>
        <v>762872.03999999992</v>
      </c>
      <c r="F42" s="306">
        <f>VLOOKUP(A42,Renseanlæg!$I$1:$K$66,3,FALSE)</f>
        <v>0</v>
      </c>
      <c r="G42" s="306">
        <f t="shared" si="18"/>
        <v>0</v>
      </c>
      <c r="H42" s="306">
        <f t="shared" si="19"/>
        <v>0</v>
      </c>
      <c r="I42" s="307">
        <f t="shared" si="20"/>
        <v>2688524.8</v>
      </c>
      <c r="J42" s="308">
        <f t="shared" si="23"/>
        <v>1.6449371766444936E-2</v>
      </c>
      <c r="K42" s="292">
        <v>349</v>
      </c>
      <c r="L42" s="293">
        <v>288</v>
      </c>
      <c r="M42" s="293">
        <v>345</v>
      </c>
      <c r="N42" s="293">
        <v>371</v>
      </c>
      <c r="O42" s="293">
        <v>0</v>
      </c>
      <c r="P42" s="293">
        <v>0</v>
      </c>
      <c r="Q42" s="293">
        <v>0</v>
      </c>
      <c r="R42" s="309">
        <v>0</v>
      </c>
      <c r="S42" s="292">
        <v>9</v>
      </c>
      <c r="T42" s="293">
        <v>56</v>
      </c>
      <c r="U42" s="293">
        <v>280</v>
      </c>
      <c r="V42" s="293">
        <v>112</v>
      </c>
      <c r="W42" s="310">
        <v>6160</v>
      </c>
      <c r="X42" s="293">
        <v>24</v>
      </c>
      <c r="Y42" s="293">
        <v>4800</v>
      </c>
      <c r="Z42" s="293">
        <v>4</v>
      </c>
      <c r="AA42" s="293">
        <v>1800</v>
      </c>
      <c r="AB42" s="293">
        <v>0</v>
      </c>
      <c r="AC42" s="293">
        <v>0</v>
      </c>
      <c r="AD42" s="293">
        <v>0</v>
      </c>
      <c r="AE42" s="309">
        <v>0</v>
      </c>
      <c r="AF42" s="311">
        <v>48</v>
      </c>
      <c r="AG42" s="312">
        <v>138900</v>
      </c>
      <c r="AH42" s="313">
        <v>58</v>
      </c>
      <c r="AI42" s="312">
        <v>38646</v>
      </c>
      <c r="AJ42" s="314">
        <v>0</v>
      </c>
      <c r="AK42" s="293">
        <v>0</v>
      </c>
      <c r="AL42" s="309">
        <v>0</v>
      </c>
      <c r="AM42" s="314">
        <v>0</v>
      </c>
      <c r="AN42" s="309">
        <v>0</v>
      </c>
      <c r="AO42" s="315">
        <v>22256</v>
      </c>
      <c r="AP42" s="318">
        <v>5160993</v>
      </c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</row>
    <row r="43" spans="1:62" x14ac:dyDescent="0.25">
      <c r="A43" s="297" t="s">
        <v>71</v>
      </c>
      <c r="B43" s="305">
        <f t="shared" si="22"/>
        <v>4279</v>
      </c>
      <c r="C43" s="306">
        <f t="shared" si="21"/>
        <v>0</v>
      </c>
      <c r="D43" s="306">
        <f t="shared" si="16"/>
        <v>0</v>
      </c>
      <c r="E43" s="306">
        <f t="shared" si="17"/>
        <v>63167.999999999993</v>
      </c>
      <c r="F43" s="306">
        <f>VLOOKUP(A43,Renseanlæg!$I$1:$K$66,3,FALSE)</f>
        <v>10653749.459629983</v>
      </c>
      <c r="G43" s="306">
        <f t="shared" si="18"/>
        <v>5472252</v>
      </c>
      <c r="H43" s="306">
        <f t="shared" si="19"/>
        <v>0</v>
      </c>
      <c r="I43" s="307">
        <f t="shared" si="20"/>
        <v>120.8</v>
      </c>
      <c r="J43" s="308">
        <f t="shared" si="23"/>
        <v>1E-3</v>
      </c>
      <c r="K43" s="320">
        <v>0</v>
      </c>
      <c r="L43" s="321">
        <v>0</v>
      </c>
      <c r="M43" s="321">
        <v>0</v>
      </c>
      <c r="N43" s="321">
        <v>1</v>
      </c>
      <c r="O43" s="321">
        <v>0</v>
      </c>
      <c r="P43" s="321">
        <v>0</v>
      </c>
      <c r="Q43" s="321">
        <v>0</v>
      </c>
      <c r="R43" s="322">
        <v>0</v>
      </c>
      <c r="S43" s="320">
        <v>0</v>
      </c>
      <c r="T43" s="321"/>
      <c r="U43" s="321">
        <v>0</v>
      </c>
      <c r="V43" s="321"/>
      <c r="W43" s="323">
        <v>0</v>
      </c>
      <c r="X43" s="321"/>
      <c r="Y43" s="321">
        <v>0</v>
      </c>
      <c r="Z43" s="321"/>
      <c r="AA43" s="321">
        <v>0</v>
      </c>
      <c r="AB43" s="321">
        <v>0</v>
      </c>
      <c r="AC43" s="321">
        <v>0</v>
      </c>
      <c r="AD43" s="321">
        <v>0</v>
      </c>
      <c r="AE43" s="322">
        <v>0</v>
      </c>
      <c r="AF43" s="324">
        <v>0</v>
      </c>
      <c r="AG43" s="325">
        <v>0</v>
      </c>
      <c r="AH43" s="326">
        <v>1</v>
      </c>
      <c r="AI43" s="327">
        <v>3200</v>
      </c>
      <c r="AJ43" s="328">
        <v>1380</v>
      </c>
      <c r="AK43" s="321">
        <v>0</v>
      </c>
      <c r="AL43" s="322">
        <v>0</v>
      </c>
      <c r="AM43" s="326">
        <v>0</v>
      </c>
      <c r="AN43" s="322">
        <v>0</v>
      </c>
      <c r="AO43" s="329">
        <v>1</v>
      </c>
      <c r="AP43" s="330">
        <v>2051752</v>
      </c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</row>
    <row r="44" spans="1:62" x14ac:dyDescent="0.25">
      <c r="A44" s="79" t="s">
        <v>87</v>
      </c>
      <c r="B44" s="78">
        <f t="shared" si="22"/>
        <v>2387682</v>
      </c>
      <c r="C44" s="129">
        <f t="shared" si="21"/>
        <v>4898894</v>
      </c>
      <c r="D44" s="129">
        <f t="shared" si="16"/>
        <v>567966</v>
      </c>
      <c r="E44" s="129">
        <f t="shared" si="17"/>
        <v>461461.98</v>
      </c>
      <c r="F44" s="129">
        <f>VLOOKUP(A44,Renseanlæg!$I$1:$K$66,3,FALSE)</f>
        <v>887320.57461545838</v>
      </c>
      <c r="G44" s="129">
        <f t="shared" si="18"/>
        <v>0</v>
      </c>
      <c r="H44" s="129">
        <f t="shared" si="19"/>
        <v>0</v>
      </c>
      <c r="I44" s="136">
        <f t="shared" si="20"/>
        <v>1045161.6</v>
      </c>
      <c r="J44" s="130">
        <f t="shared" si="23"/>
        <v>1.5505376344086021E-2</v>
      </c>
      <c r="K44" s="121">
        <v>147.30000000000001</v>
      </c>
      <c r="L44" s="34">
        <v>49.7</v>
      </c>
      <c r="M44" s="34">
        <v>204.1</v>
      </c>
      <c r="N44" s="34">
        <v>156.9</v>
      </c>
      <c r="O44" s="34" t="s">
        <v>123</v>
      </c>
      <c r="P44" s="34" t="s">
        <v>123</v>
      </c>
      <c r="Q44" s="34" t="s">
        <v>123</v>
      </c>
      <c r="R44" s="77" t="s">
        <v>123</v>
      </c>
      <c r="S44" s="121">
        <v>373</v>
      </c>
      <c r="T44" s="34">
        <v>82</v>
      </c>
      <c r="U44" s="34">
        <v>375</v>
      </c>
      <c r="V44" s="34">
        <v>36</v>
      </c>
      <c r="W44" s="127">
        <v>1262</v>
      </c>
      <c r="X44" s="34">
        <v>2</v>
      </c>
      <c r="Y44" s="34">
        <v>402</v>
      </c>
      <c r="Z44" s="34">
        <v>2</v>
      </c>
      <c r="AA44" s="34">
        <v>850</v>
      </c>
      <c r="AB44" s="34">
        <v>0</v>
      </c>
      <c r="AC44" s="34">
        <v>0</v>
      </c>
      <c r="AD44" s="34">
        <v>0</v>
      </c>
      <c r="AE44" s="77">
        <v>0</v>
      </c>
      <c r="AF44" s="95">
        <v>42</v>
      </c>
      <c r="AG44" s="74">
        <v>144130</v>
      </c>
      <c r="AH44" s="100">
        <v>21</v>
      </c>
      <c r="AI44" s="74">
        <v>23377</v>
      </c>
      <c r="AJ44" s="84">
        <v>0</v>
      </c>
      <c r="AK44" s="34">
        <v>0</v>
      </c>
      <c r="AL44" s="77">
        <v>0</v>
      </c>
      <c r="AM44" s="84"/>
      <c r="AN44" s="77"/>
      <c r="AO44" s="36">
        <v>8652</v>
      </c>
      <c r="AP44" s="217">
        <v>978068</v>
      </c>
    </row>
    <row r="45" spans="1:62" x14ac:dyDescent="0.25">
      <c r="A45" s="79" t="s">
        <v>72</v>
      </c>
      <c r="B45" s="78">
        <f t="shared" si="22"/>
        <v>7059256</v>
      </c>
      <c r="C45" s="129">
        <f t="shared" si="21"/>
        <v>8809779</v>
      </c>
      <c r="D45" s="129">
        <f t="shared" si="16"/>
        <v>865472</v>
      </c>
      <c r="E45" s="129">
        <f t="shared" si="17"/>
        <v>659770.0199999999</v>
      </c>
      <c r="F45" s="129">
        <f>VLOOKUP(A45,Renseanlæg!$I$1:$K$66,3,FALSE)</f>
        <v>17779270.666418996</v>
      </c>
      <c r="G45" s="129">
        <f t="shared" si="18"/>
        <v>6201885.6000000006</v>
      </c>
      <c r="H45" s="129">
        <f t="shared" si="19"/>
        <v>0</v>
      </c>
      <c r="I45" s="136">
        <f t="shared" si="20"/>
        <v>2710510.4</v>
      </c>
      <c r="J45" s="130">
        <f t="shared" si="23"/>
        <v>2.5070391061452514E-2</v>
      </c>
      <c r="K45" s="121">
        <v>141</v>
      </c>
      <c r="L45" s="34">
        <v>62</v>
      </c>
      <c r="M45" s="34">
        <v>358</v>
      </c>
      <c r="N45" s="34">
        <v>295</v>
      </c>
      <c r="O45" s="34">
        <v>15</v>
      </c>
      <c r="P45" s="34">
        <v>24</v>
      </c>
      <c r="Q45" s="34">
        <v>0</v>
      </c>
      <c r="R45" s="77">
        <v>0</v>
      </c>
      <c r="S45" s="121">
        <v>56</v>
      </c>
      <c r="T45" s="34">
        <v>185</v>
      </c>
      <c r="U45" s="34">
        <v>1090</v>
      </c>
      <c r="V45" s="34">
        <v>173</v>
      </c>
      <c r="W45" s="127">
        <v>5980</v>
      </c>
      <c r="X45" s="34">
        <v>8</v>
      </c>
      <c r="Y45" s="34">
        <v>570</v>
      </c>
      <c r="Z45" s="34">
        <v>2</v>
      </c>
      <c r="AA45" s="34">
        <v>880</v>
      </c>
      <c r="AB45" s="34">
        <v>0</v>
      </c>
      <c r="AC45" s="34">
        <v>0</v>
      </c>
      <c r="AD45" s="34">
        <v>1</v>
      </c>
      <c r="AE45" s="77">
        <v>1055</v>
      </c>
      <c r="AF45" s="95">
        <v>64</v>
      </c>
      <c r="AG45" s="74">
        <v>244921</v>
      </c>
      <c r="AH45" s="100">
        <v>22</v>
      </c>
      <c r="AI45" s="74">
        <v>33423</v>
      </c>
      <c r="AJ45" s="84">
        <v>1564</v>
      </c>
      <c r="AK45" s="34">
        <v>0</v>
      </c>
      <c r="AL45" s="77">
        <v>0</v>
      </c>
      <c r="AM45" s="84">
        <v>0</v>
      </c>
      <c r="AN45" s="77">
        <v>0</v>
      </c>
      <c r="AO45" s="36">
        <v>22438</v>
      </c>
      <c r="AP45" s="217">
        <v>6795199</v>
      </c>
    </row>
    <row r="46" spans="1:62" x14ac:dyDescent="0.25">
      <c r="A46" s="79" t="s">
        <v>88</v>
      </c>
      <c r="B46" s="78">
        <f t="shared" si="22"/>
        <v>13518394.299999999</v>
      </c>
      <c r="C46" s="129">
        <f t="shared" si="21"/>
        <v>7611360</v>
      </c>
      <c r="D46" s="129">
        <f t="shared" si="16"/>
        <v>1054794</v>
      </c>
      <c r="E46" s="129">
        <f t="shared" si="17"/>
        <v>428496.18</v>
      </c>
      <c r="F46" s="129">
        <f>VLOOKUP(A46,Renseanlæg!$I$1:$K$66,3,FALSE)</f>
        <v>21722432.510492504</v>
      </c>
      <c r="G46" s="129">
        <f t="shared" si="18"/>
        <v>6812557.2000000002</v>
      </c>
      <c r="H46" s="129">
        <f t="shared" si="19"/>
        <v>10160</v>
      </c>
      <c r="I46" s="136">
        <f t="shared" si="20"/>
        <v>3100936</v>
      </c>
      <c r="J46" s="130">
        <f t="shared" si="23"/>
        <v>1.7986266816143497E-2</v>
      </c>
      <c r="K46" s="121">
        <v>318</v>
      </c>
      <c r="L46" s="34">
        <v>117.8</v>
      </c>
      <c r="M46" s="34">
        <v>674.4</v>
      </c>
      <c r="N46" s="34">
        <v>227.5</v>
      </c>
      <c r="O46" s="34">
        <v>66.599999999999994</v>
      </c>
      <c r="P46" s="34">
        <v>22.9</v>
      </c>
      <c r="Q46" s="34">
        <v>0</v>
      </c>
      <c r="R46" s="77">
        <v>0</v>
      </c>
      <c r="S46" s="121">
        <v>237</v>
      </c>
      <c r="T46" s="34">
        <v>6</v>
      </c>
      <c r="U46" s="34">
        <v>35</v>
      </c>
      <c r="V46" s="34">
        <v>168</v>
      </c>
      <c r="W46" s="127">
        <v>3774</v>
      </c>
      <c r="X46" s="34">
        <v>12</v>
      </c>
      <c r="Y46" s="34">
        <v>2473</v>
      </c>
      <c r="Z46" s="34">
        <v>1</v>
      </c>
      <c r="AA46" s="34">
        <v>560</v>
      </c>
      <c r="AB46" s="34">
        <v>1</v>
      </c>
      <c r="AC46" s="34">
        <v>890</v>
      </c>
      <c r="AD46" s="34">
        <v>0</v>
      </c>
      <c r="AE46" s="77">
        <v>0</v>
      </c>
      <c r="AF46" s="95">
        <v>78</v>
      </c>
      <c r="AG46" s="74">
        <v>252886</v>
      </c>
      <c r="AH46" s="100">
        <v>21</v>
      </c>
      <c r="AI46" s="74">
        <v>21707</v>
      </c>
      <c r="AJ46" s="84">
        <v>1718</v>
      </c>
      <c r="AK46" s="34">
        <v>0</v>
      </c>
      <c r="AL46" s="77">
        <v>0</v>
      </c>
      <c r="AM46" s="84">
        <v>4</v>
      </c>
      <c r="AN46" s="77">
        <v>85</v>
      </c>
      <c r="AO46" s="36">
        <v>25670</v>
      </c>
      <c r="AP46" s="217">
        <v>5451097</v>
      </c>
    </row>
    <row r="47" spans="1:62" x14ac:dyDescent="0.25">
      <c r="A47" s="79" t="s">
        <v>73</v>
      </c>
      <c r="B47" s="78">
        <f t="shared" si="22"/>
        <v>1681647</v>
      </c>
      <c r="C47" s="129">
        <f t="shared" si="21"/>
        <v>2775583</v>
      </c>
      <c r="D47" s="129">
        <f t="shared" si="16"/>
        <v>283983</v>
      </c>
      <c r="E47" s="129">
        <f t="shared" si="17"/>
        <v>161808.78</v>
      </c>
      <c r="F47" s="129">
        <f>VLOOKUP(A47,Renseanlæg!$I$1:$K$66,3,FALSE)</f>
        <v>7380322.7401163215</v>
      </c>
      <c r="G47" s="129">
        <f t="shared" si="18"/>
        <v>416367</v>
      </c>
      <c r="H47" s="129">
        <f t="shared" si="19"/>
        <v>0</v>
      </c>
      <c r="I47" s="136">
        <f t="shared" si="20"/>
        <v>897664.79999999993</v>
      </c>
      <c r="J47" s="130">
        <f t="shared" si="23"/>
        <v>1.8908396946564886E-2</v>
      </c>
      <c r="K47" s="121">
        <v>130</v>
      </c>
      <c r="L47" s="34">
        <v>121</v>
      </c>
      <c r="M47" s="34">
        <v>94</v>
      </c>
      <c r="N47" s="34">
        <v>48</v>
      </c>
      <c r="O47" s="34">
        <v>0</v>
      </c>
      <c r="P47" s="34">
        <v>0</v>
      </c>
      <c r="Q47" s="34">
        <v>0</v>
      </c>
      <c r="R47" s="77">
        <v>0</v>
      </c>
      <c r="S47" s="121">
        <v>4</v>
      </c>
      <c r="T47" s="34">
        <v>11</v>
      </c>
      <c r="U47" s="34">
        <v>55</v>
      </c>
      <c r="V47" s="34">
        <v>94</v>
      </c>
      <c r="W47" s="127">
        <v>3290</v>
      </c>
      <c r="X47" s="34">
        <v>3</v>
      </c>
      <c r="Y47" s="34">
        <v>1400</v>
      </c>
      <c r="Z47" s="34"/>
      <c r="AA47" s="34">
        <v>0</v>
      </c>
      <c r="AB47" s="34">
        <v>0</v>
      </c>
      <c r="AC47" s="34">
        <v>0</v>
      </c>
      <c r="AD47" s="34">
        <v>0</v>
      </c>
      <c r="AE47" s="77">
        <v>0</v>
      </c>
      <c r="AF47" s="95">
        <v>21</v>
      </c>
      <c r="AG47" s="74">
        <v>23995</v>
      </c>
      <c r="AH47" s="100">
        <v>14</v>
      </c>
      <c r="AI47" s="74">
        <v>8197</v>
      </c>
      <c r="AJ47" s="84">
        <v>105</v>
      </c>
      <c r="AK47" s="34">
        <v>0</v>
      </c>
      <c r="AL47" s="77">
        <v>0</v>
      </c>
      <c r="AM47" s="84">
        <v>0</v>
      </c>
      <c r="AN47" s="77">
        <v>0</v>
      </c>
      <c r="AO47" s="210">
        <v>7431</v>
      </c>
      <c r="AP47" s="217">
        <v>2570916</v>
      </c>
    </row>
    <row r="48" spans="1:62" x14ac:dyDescent="0.25">
      <c r="A48" s="79" t="s">
        <v>75</v>
      </c>
      <c r="B48" s="78">
        <f t="shared" si="22"/>
        <v>2456145.9999999995</v>
      </c>
      <c r="C48" s="129">
        <f t="shared" si="21"/>
        <v>5318523</v>
      </c>
      <c r="D48" s="129">
        <f t="shared" si="16"/>
        <v>229891</v>
      </c>
      <c r="E48" s="129">
        <f t="shared" si="17"/>
        <v>141239.69999999998</v>
      </c>
      <c r="F48" s="129">
        <f>VLOOKUP(A48,Renseanlæg!$I$1:$K$66,3,FALSE)</f>
        <v>6308510.2307803696</v>
      </c>
      <c r="G48" s="129">
        <f t="shared" si="18"/>
        <v>1804257</v>
      </c>
      <c r="H48" s="129">
        <f t="shared" si="19"/>
        <v>0</v>
      </c>
      <c r="I48" s="136">
        <f t="shared" si="20"/>
        <v>1008800.7999999999</v>
      </c>
      <c r="J48" s="130">
        <f t="shared" si="23"/>
        <v>1.4548780487804879E-2</v>
      </c>
      <c r="K48" s="121">
        <v>297</v>
      </c>
      <c r="L48" s="34">
        <v>30</v>
      </c>
      <c r="M48" s="34">
        <v>189</v>
      </c>
      <c r="N48" s="34">
        <v>58</v>
      </c>
      <c r="O48" s="34">
        <v>0</v>
      </c>
      <c r="P48" s="34">
        <v>0</v>
      </c>
      <c r="Q48" s="34">
        <v>0</v>
      </c>
      <c r="R48" s="77">
        <v>0</v>
      </c>
      <c r="S48" s="121">
        <v>484</v>
      </c>
      <c r="T48" s="34">
        <v>25</v>
      </c>
      <c r="U48" s="34">
        <v>176</v>
      </c>
      <c r="V48" s="34">
        <v>64</v>
      </c>
      <c r="W48" s="127">
        <v>2478</v>
      </c>
      <c r="X48" s="34">
        <v>2</v>
      </c>
      <c r="Y48" s="34">
        <v>445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77">
        <v>0</v>
      </c>
      <c r="AF48" s="95">
        <v>17</v>
      </c>
      <c r="AG48" s="74">
        <v>55809</v>
      </c>
      <c r="AH48" s="100">
        <v>15</v>
      </c>
      <c r="AI48" s="74">
        <v>7155</v>
      </c>
      <c r="AJ48" s="84">
        <v>455</v>
      </c>
      <c r="AK48" s="34">
        <v>0</v>
      </c>
      <c r="AL48" s="77">
        <v>0</v>
      </c>
      <c r="AM48" s="84">
        <v>0</v>
      </c>
      <c r="AN48" s="77">
        <v>0</v>
      </c>
      <c r="AO48" s="36">
        <v>8351</v>
      </c>
      <c r="AP48" s="217">
        <v>1737606</v>
      </c>
    </row>
    <row r="49" spans="1:42" x14ac:dyDescent="0.25">
      <c r="A49" s="79" t="s">
        <v>76</v>
      </c>
      <c r="B49" s="78">
        <f t="shared" si="22"/>
        <v>1987509.92</v>
      </c>
      <c r="C49" s="129">
        <f t="shared" si="21"/>
        <v>1311842</v>
      </c>
      <c r="D49" s="129">
        <f t="shared" si="16"/>
        <v>162276</v>
      </c>
      <c r="E49" s="129">
        <f t="shared" si="17"/>
        <v>9573.9</v>
      </c>
      <c r="F49" s="129">
        <f>VLOOKUP(A49,Renseanlæg!$I$1:$K$66,3,FALSE)</f>
        <v>8700869.1845265646</v>
      </c>
      <c r="G49" s="129">
        <f t="shared" si="18"/>
        <v>5963961.6000000006</v>
      </c>
      <c r="H49" s="129">
        <f t="shared" si="19"/>
        <v>0</v>
      </c>
      <c r="I49" s="136">
        <f t="shared" si="20"/>
        <v>989110.4</v>
      </c>
      <c r="J49" s="130">
        <f t="shared" si="23"/>
        <v>1.7628315535652774E-2</v>
      </c>
      <c r="K49" s="121">
        <v>137.47999999999999</v>
      </c>
      <c r="L49" s="34">
        <v>36</v>
      </c>
      <c r="M49" s="34">
        <v>180</v>
      </c>
      <c r="N49" s="34">
        <v>111</v>
      </c>
      <c r="O49" s="34">
        <v>0</v>
      </c>
      <c r="P49" s="34">
        <v>0</v>
      </c>
      <c r="Q49" s="34">
        <v>0</v>
      </c>
      <c r="R49" s="77">
        <v>0</v>
      </c>
      <c r="S49" s="121">
        <v>37</v>
      </c>
      <c r="T49" s="34">
        <v>47</v>
      </c>
      <c r="U49" s="34">
        <v>278</v>
      </c>
      <c r="V49" s="34">
        <v>17</v>
      </c>
      <c r="W49" s="127">
        <v>448</v>
      </c>
      <c r="X49" s="34"/>
      <c r="Y49" s="34">
        <v>0</v>
      </c>
      <c r="Z49" s="34"/>
      <c r="AA49" s="34">
        <v>0</v>
      </c>
      <c r="AB49" s="34">
        <v>0</v>
      </c>
      <c r="AC49" s="34">
        <v>0</v>
      </c>
      <c r="AD49" s="34">
        <v>0</v>
      </c>
      <c r="AE49" s="77">
        <v>0</v>
      </c>
      <c r="AF49" s="95">
        <v>12</v>
      </c>
      <c r="AG49" s="74">
        <v>10570</v>
      </c>
      <c r="AH49" s="100">
        <v>2</v>
      </c>
      <c r="AI49" s="74">
        <v>485</v>
      </c>
      <c r="AJ49" s="84">
        <v>1504</v>
      </c>
      <c r="AK49" s="34">
        <v>0</v>
      </c>
      <c r="AL49" s="77">
        <v>0</v>
      </c>
      <c r="AM49" s="84">
        <v>0</v>
      </c>
      <c r="AN49" s="77">
        <v>0</v>
      </c>
      <c r="AO49" s="36">
        <v>8188</v>
      </c>
      <c r="AP49" s="217">
        <v>1924955</v>
      </c>
    </row>
    <row r="50" spans="1:42" x14ac:dyDescent="0.25">
      <c r="A50" s="79" t="s">
        <v>89</v>
      </c>
      <c r="B50" s="78">
        <f t="shared" si="22"/>
        <v>5972082.9000000004</v>
      </c>
      <c r="C50" s="129">
        <f t="shared" si="21"/>
        <v>3753725</v>
      </c>
      <c r="D50" s="129">
        <f t="shared" si="16"/>
        <v>676150</v>
      </c>
      <c r="E50" s="129">
        <f t="shared" si="17"/>
        <v>840785.82</v>
      </c>
      <c r="F50" s="129">
        <f>VLOOKUP(A50,Renseanlæg!$I$1:$K$66,3,FALSE)</f>
        <v>15424258.474911202</v>
      </c>
      <c r="G50" s="129">
        <f t="shared" si="18"/>
        <v>5530172.9000000004</v>
      </c>
      <c r="H50" s="129">
        <f t="shared" si="19"/>
        <v>45720</v>
      </c>
      <c r="I50" s="136">
        <f t="shared" si="20"/>
        <v>2446441.6</v>
      </c>
      <c r="J50" s="130">
        <f t="shared" si="23"/>
        <v>2.4846031161820634E-2</v>
      </c>
      <c r="K50" s="121">
        <v>206.1</v>
      </c>
      <c r="L50" s="34">
        <v>109.4</v>
      </c>
      <c r="M50" s="34">
        <v>222.2</v>
      </c>
      <c r="N50" s="34">
        <v>247.4</v>
      </c>
      <c r="O50" s="34">
        <v>5.8</v>
      </c>
      <c r="P50" s="34">
        <v>24.2</v>
      </c>
      <c r="Q50" s="34">
        <v>0</v>
      </c>
      <c r="R50" s="77">
        <v>0</v>
      </c>
      <c r="S50" s="121">
        <v>22</v>
      </c>
      <c r="T50" s="34">
        <v>96</v>
      </c>
      <c r="U50" s="34">
        <v>564</v>
      </c>
      <c r="V50" s="34">
        <v>85</v>
      </c>
      <c r="W50" s="127">
        <v>2654</v>
      </c>
      <c r="X50" s="34">
        <v>1</v>
      </c>
      <c r="Y50" s="34">
        <v>124</v>
      </c>
      <c r="Z50" s="34">
        <v>1</v>
      </c>
      <c r="AA50" s="34">
        <v>582</v>
      </c>
      <c r="AB50" s="34">
        <v>0</v>
      </c>
      <c r="AC50" s="34">
        <v>0</v>
      </c>
      <c r="AD50" s="34">
        <v>0</v>
      </c>
      <c r="AE50" s="77">
        <v>0</v>
      </c>
      <c r="AF50" s="95">
        <v>50</v>
      </c>
      <c r="AG50" s="74">
        <v>166613</v>
      </c>
      <c r="AH50" s="100">
        <v>30</v>
      </c>
      <c r="AI50" s="74">
        <v>42593</v>
      </c>
      <c r="AJ50" s="84">
        <v>869</v>
      </c>
      <c r="AK50" s="34">
        <v>0</v>
      </c>
      <c r="AL50" s="77">
        <v>439</v>
      </c>
      <c r="AM50" s="84">
        <v>18</v>
      </c>
      <c r="AN50" s="77">
        <v>90</v>
      </c>
      <c r="AO50" s="212">
        <v>20252</v>
      </c>
      <c r="AP50" s="217">
        <v>5247219</v>
      </c>
    </row>
    <row r="51" spans="1:42" x14ac:dyDescent="0.25">
      <c r="A51" s="79" t="s">
        <v>78</v>
      </c>
      <c r="B51" s="78">
        <f t="shared" si="22"/>
        <v>5130521</v>
      </c>
      <c r="C51" s="129">
        <f t="shared" si="21"/>
        <v>14075204</v>
      </c>
      <c r="D51" s="129">
        <f t="shared" si="16"/>
        <v>743765</v>
      </c>
      <c r="E51" s="129">
        <f t="shared" si="17"/>
        <v>245407.68</v>
      </c>
      <c r="F51" s="129">
        <f>VLOOKUP(A51,Renseanlæg!$I$1:$K$66,3,FALSE)</f>
        <v>17681147.346592806</v>
      </c>
      <c r="G51" s="129">
        <f t="shared" si="18"/>
        <v>7193421.6959999995</v>
      </c>
      <c r="H51" s="129">
        <f t="shared" si="19"/>
        <v>30480</v>
      </c>
      <c r="I51" s="136">
        <f t="shared" si="20"/>
        <v>3835400</v>
      </c>
      <c r="J51" s="130">
        <f t="shared" si="23"/>
        <v>2.6480400333611341E-2</v>
      </c>
      <c r="K51" s="121">
        <v>120</v>
      </c>
      <c r="L51" s="34">
        <v>365</v>
      </c>
      <c r="M51" s="34">
        <v>420</v>
      </c>
      <c r="N51" s="34">
        <v>294</v>
      </c>
      <c r="O51" s="34">
        <v>0</v>
      </c>
      <c r="P51" s="34">
        <v>0</v>
      </c>
      <c r="Q51" s="34">
        <v>0</v>
      </c>
      <c r="R51" s="77">
        <v>0</v>
      </c>
      <c r="S51" s="121">
        <v>311</v>
      </c>
      <c r="T51" s="34">
        <v>263</v>
      </c>
      <c r="U51" s="34">
        <v>3174</v>
      </c>
      <c r="V51" s="34">
        <v>259</v>
      </c>
      <c r="W51" s="127">
        <v>9198</v>
      </c>
      <c r="X51" s="34">
        <v>17</v>
      </c>
      <c r="Y51" s="34">
        <v>2261</v>
      </c>
      <c r="Z51" s="34">
        <v>3</v>
      </c>
      <c r="AA51" s="34">
        <v>1122</v>
      </c>
      <c r="AB51" s="34">
        <v>0</v>
      </c>
      <c r="AC51" s="34">
        <v>0</v>
      </c>
      <c r="AD51" s="34">
        <v>0</v>
      </c>
      <c r="AE51" s="77">
        <v>0</v>
      </c>
      <c r="AF51" s="95">
        <v>55</v>
      </c>
      <c r="AG51" s="74">
        <v>80609</v>
      </c>
      <c r="AH51" s="100">
        <v>15</v>
      </c>
      <c r="AI51" s="74">
        <v>12432</v>
      </c>
      <c r="AJ51" s="84">
        <v>1438.34</v>
      </c>
      <c r="AK51" s="34">
        <v>313.8</v>
      </c>
      <c r="AL51" s="77">
        <v>0</v>
      </c>
      <c r="AM51" s="84">
        <v>12</v>
      </c>
      <c r="AN51" s="77">
        <v>65</v>
      </c>
      <c r="AO51" s="210">
        <v>31750</v>
      </c>
      <c r="AP51" s="217">
        <v>4839892</v>
      </c>
    </row>
    <row r="52" spans="1:42" x14ac:dyDescent="0.25">
      <c r="A52" s="79" t="s">
        <v>160</v>
      </c>
      <c r="B52" s="78">
        <f t="shared" si="22"/>
        <v>0</v>
      </c>
      <c r="C52" s="129">
        <f t="shared" si="21"/>
        <v>0</v>
      </c>
      <c r="D52" s="129">
        <f t="shared" si="16"/>
        <v>0</v>
      </c>
      <c r="E52" s="129">
        <f t="shared" si="17"/>
        <v>0</v>
      </c>
      <c r="F52" s="129">
        <f>VLOOKUP(A52,Renseanlæg!$I$1:$K$66,3,FALSE)</f>
        <v>24853435.887068227</v>
      </c>
      <c r="G52" s="129">
        <f t="shared" si="18"/>
        <v>14895704.48</v>
      </c>
      <c r="H52" s="129">
        <f t="shared" si="19"/>
        <v>0</v>
      </c>
      <c r="I52" s="136">
        <f t="shared" si="20"/>
        <v>0</v>
      </c>
      <c r="J52" s="130">
        <v>0</v>
      </c>
      <c r="K52" s="121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77">
        <v>0</v>
      </c>
      <c r="S52" s="121">
        <v>0</v>
      </c>
      <c r="T52" s="34">
        <v>0</v>
      </c>
      <c r="U52" s="34">
        <v>0</v>
      </c>
      <c r="V52" s="34">
        <v>0</v>
      </c>
      <c r="W52" s="127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77">
        <v>0</v>
      </c>
      <c r="AF52" s="95">
        <v>0</v>
      </c>
      <c r="AG52" s="74">
        <v>0</v>
      </c>
      <c r="AH52" s="100">
        <v>0</v>
      </c>
      <c r="AI52" s="74">
        <v>0</v>
      </c>
      <c r="AJ52" s="84">
        <v>3077.8</v>
      </c>
      <c r="AK52" s="34">
        <v>566.79999999999995</v>
      </c>
      <c r="AL52" s="77">
        <v>0</v>
      </c>
      <c r="AM52" s="84">
        <v>0</v>
      </c>
      <c r="AN52" s="77">
        <v>0</v>
      </c>
      <c r="AO52" s="36">
        <v>0</v>
      </c>
      <c r="AP52" s="217">
        <v>4341667</v>
      </c>
    </row>
    <row r="53" spans="1:42" x14ac:dyDescent="0.25">
      <c r="A53" s="79" t="s">
        <v>79</v>
      </c>
      <c r="B53" s="78">
        <f t="shared" si="22"/>
        <v>3968631</v>
      </c>
      <c r="C53" s="129">
        <f t="shared" si="21"/>
        <v>15660523</v>
      </c>
      <c r="D53" s="129">
        <f t="shared" si="16"/>
        <v>432736</v>
      </c>
      <c r="E53" s="129">
        <f t="shared" si="17"/>
        <v>357234.77999999997</v>
      </c>
      <c r="F53" s="129">
        <f>VLOOKUP(A53,Renseanlæg!$I$1:$K$66,3,FALSE)</f>
        <v>0</v>
      </c>
      <c r="G53" s="129">
        <f t="shared" si="18"/>
        <v>0</v>
      </c>
      <c r="H53" s="129">
        <f t="shared" si="19"/>
        <v>0</v>
      </c>
      <c r="I53" s="136">
        <f t="shared" si="20"/>
        <v>1876628</v>
      </c>
      <c r="J53" s="130">
        <f t="shared" ref="J53:J58" si="24">AO53/(SUM(K53:R53)*1000)</f>
        <v>1.9614898989898991E-2</v>
      </c>
      <c r="K53" s="121">
        <v>225</v>
      </c>
      <c r="L53" s="34">
        <v>167</v>
      </c>
      <c r="M53" s="34">
        <v>211</v>
      </c>
      <c r="N53" s="34">
        <v>182</v>
      </c>
      <c r="O53" s="34">
        <v>1</v>
      </c>
      <c r="P53" s="34">
        <v>6</v>
      </c>
      <c r="Q53" s="34">
        <v>0</v>
      </c>
      <c r="R53" s="77">
        <v>0</v>
      </c>
      <c r="S53" s="121">
        <v>179</v>
      </c>
      <c r="T53" s="34">
        <v>207</v>
      </c>
      <c r="U53" s="34">
        <v>455</v>
      </c>
      <c r="V53" s="34">
        <v>194</v>
      </c>
      <c r="W53" s="127">
        <v>3221</v>
      </c>
      <c r="X53" s="34">
        <v>39</v>
      </c>
      <c r="Y53" s="34">
        <v>4426</v>
      </c>
      <c r="Z53" s="34">
        <v>0</v>
      </c>
      <c r="AA53" s="34">
        <v>0</v>
      </c>
      <c r="AB53" s="34">
        <v>0</v>
      </c>
      <c r="AC53" s="34">
        <v>0</v>
      </c>
      <c r="AD53" s="34">
        <v>4</v>
      </c>
      <c r="AE53" s="77">
        <v>4800</v>
      </c>
      <c r="AF53" s="95">
        <v>32</v>
      </c>
      <c r="AG53" s="74">
        <v>37046</v>
      </c>
      <c r="AH53" s="100">
        <v>20</v>
      </c>
      <c r="AI53" s="74">
        <v>18097</v>
      </c>
      <c r="AJ53" s="84">
        <v>0</v>
      </c>
      <c r="AK53" s="34">
        <v>0</v>
      </c>
      <c r="AL53" s="77">
        <v>0</v>
      </c>
      <c r="AM53" s="84">
        <v>0</v>
      </c>
      <c r="AN53" s="77">
        <v>0</v>
      </c>
      <c r="AO53" s="36">
        <v>15535</v>
      </c>
      <c r="AP53" s="217">
        <v>2124959</v>
      </c>
    </row>
    <row r="54" spans="1:42" x14ac:dyDescent="0.25">
      <c r="A54" s="79" t="s">
        <v>90</v>
      </c>
      <c r="B54" s="78">
        <f t="shared" si="22"/>
        <v>3341899</v>
      </c>
      <c r="C54" s="129">
        <f t="shared" si="21"/>
        <v>4898773</v>
      </c>
      <c r="D54" s="129">
        <f t="shared" si="16"/>
        <v>365121</v>
      </c>
      <c r="E54" s="129">
        <f t="shared" si="17"/>
        <v>93567.599999999991</v>
      </c>
      <c r="F54" s="129">
        <f>VLOOKUP(A54,Renseanlæg!$I$1:$K$66,3,FALSE)</f>
        <v>13093394.813804345</v>
      </c>
      <c r="G54" s="129">
        <f t="shared" si="18"/>
        <v>1127759.76</v>
      </c>
      <c r="H54" s="129">
        <f t="shared" si="19"/>
        <v>2540</v>
      </c>
      <c r="I54" s="136">
        <f t="shared" si="20"/>
        <v>2406215.1999999997</v>
      </c>
      <c r="J54" s="130">
        <f t="shared" si="24"/>
        <v>2.5504481434058899E-2</v>
      </c>
      <c r="K54" s="121">
        <v>281.10000000000002</v>
      </c>
      <c r="L54" s="34">
        <v>66.900000000000006</v>
      </c>
      <c r="M54" s="34">
        <v>252.3</v>
      </c>
      <c r="N54" s="34">
        <v>180.7</v>
      </c>
      <c r="O54" s="34"/>
      <c r="P54" s="34"/>
      <c r="Q54" s="34"/>
      <c r="R54" s="77"/>
      <c r="S54" s="121">
        <v>141</v>
      </c>
      <c r="T54" s="34">
        <v>80</v>
      </c>
      <c r="U54" s="34">
        <v>435.6</v>
      </c>
      <c r="V54" s="34">
        <v>113</v>
      </c>
      <c r="W54" s="127">
        <v>3404</v>
      </c>
      <c r="X54" s="34">
        <v>1</v>
      </c>
      <c r="Y54" s="34">
        <v>200</v>
      </c>
      <c r="Z54" s="34"/>
      <c r="AA54" s="34"/>
      <c r="AB54" s="34"/>
      <c r="AC54" s="34"/>
      <c r="AD54" s="34"/>
      <c r="AE54" s="77"/>
      <c r="AF54" s="95">
        <v>27</v>
      </c>
      <c r="AG54" s="74">
        <v>55490</v>
      </c>
      <c r="AH54" s="100">
        <v>9</v>
      </c>
      <c r="AI54" s="74">
        <v>4740</v>
      </c>
      <c r="AJ54" s="84">
        <v>284.39999999999998</v>
      </c>
      <c r="AK54" s="34">
        <v>0</v>
      </c>
      <c r="AL54" s="77">
        <v>0</v>
      </c>
      <c r="AM54" s="84">
        <v>1</v>
      </c>
      <c r="AN54" s="120">
        <v>25</v>
      </c>
      <c r="AO54" s="119">
        <v>19919</v>
      </c>
      <c r="AP54" s="217">
        <v>3832710</v>
      </c>
    </row>
    <row r="55" spans="1:42" x14ac:dyDescent="0.25">
      <c r="A55" s="79" t="s">
        <v>91</v>
      </c>
      <c r="B55" s="78">
        <f t="shared" si="22"/>
        <v>4846194.8</v>
      </c>
      <c r="C55" s="129">
        <f t="shared" si="21"/>
        <v>6286869</v>
      </c>
      <c r="D55" s="129">
        <f t="shared" si="16"/>
        <v>27046</v>
      </c>
      <c r="E55" s="129">
        <f t="shared" si="17"/>
        <v>78960</v>
      </c>
      <c r="F55" s="129">
        <f>VLOOKUP(A55,Renseanlæg!$I$1:$K$66,3,FALSE)</f>
        <v>7430391.2456864882</v>
      </c>
      <c r="G55" s="129">
        <f t="shared" si="18"/>
        <v>2611235</v>
      </c>
      <c r="H55" s="129">
        <f t="shared" si="19"/>
        <v>0</v>
      </c>
      <c r="I55" s="136">
        <f t="shared" si="20"/>
        <v>1166807.2</v>
      </c>
      <c r="J55" s="130">
        <f t="shared" si="24"/>
        <v>3.610841121495327E-2</v>
      </c>
      <c r="K55" s="121">
        <v>5.6</v>
      </c>
      <c r="L55" s="34">
        <v>8.1</v>
      </c>
      <c r="M55" s="34">
        <v>144.19999999999999</v>
      </c>
      <c r="N55" s="34">
        <v>64.900000000000006</v>
      </c>
      <c r="O55" s="34">
        <v>19.7</v>
      </c>
      <c r="P55" s="34">
        <v>25</v>
      </c>
      <c r="Q55" s="34">
        <v>0</v>
      </c>
      <c r="R55" s="77">
        <v>0</v>
      </c>
      <c r="S55" s="121">
        <v>0</v>
      </c>
      <c r="T55" s="34">
        <v>1</v>
      </c>
      <c r="U55" s="34">
        <v>6.4</v>
      </c>
      <c r="V55" s="34">
        <v>38</v>
      </c>
      <c r="W55" s="127">
        <v>1933</v>
      </c>
      <c r="X55" s="34">
        <v>3</v>
      </c>
      <c r="Y55" s="34">
        <v>632</v>
      </c>
      <c r="Z55" s="34">
        <v>5</v>
      </c>
      <c r="AA55" s="34">
        <v>2110</v>
      </c>
      <c r="AB55" s="34">
        <v>3</v>
      </c>
      <c r="AC55" s="34">
        <v>2630</v>
      </c>
      <c r="AD55" s="34">
        <v>3</v>
      </c>
      <c r="AE55" s="77">
        <v>4950</v>
      </c>
      <c r="AF55" s="95">
        <v>2</v>
      </c>
      <c r="AG55" s="74">
        <v>6072</v>
      </c>
      <c r="AH55" s="100">
        <v>1</v>
      </c>
      <c r="AI55" s="74">
        <v>4000</v>
      </c>
      <c r="AJ55" s="84">
        <v>0</v>
      </c>
      <c r="AK55" s="34">
        <v>550</v>
      </c>
      <c r="AL55" s="77">
        <v>0</v>
      </c>
      <c r="AM55" s="84"/>
      <c r="AN55" s="77"/>
      <c r="AO55" s="36">
        <v>9659</v>
      </c>
      <c r="AP55" s="217">
        <v>3048463</v>
      </c>
    </row>
    <row r="56" spans="1:42" x14ac:dyDescent="0.25">
      <c r="A56" s="79" t="s">
        <v>80</v>
      </c>
      <c r="B56" s="78">
        <f t="shared" si="22"/>
        <v>573386</v>
      </c>
      <c r="C56" s="129">
        <f t="shared" si="21"/>
        <v>260706</v>
      </c>
      <c r="D56" s="129">
        <f t="shared" si="16"/>
        <v>94661</v>
      </c>
      <c r="E56" s="129">
        <f t="shared" si="17"/>
        <v>0</v>
      </c>
      <c r="F56" s="129">
        <f>VLOOKUP(A56,Renseanlæg!$I$1:$K$66,3,FALSE)</f>
        <v>0</v>
      </c>
      <c r="G56" s="129">
        <f t="shared" si="18"/>
        <v>0</v>
      </c>
      <c r="H56" s="129">
        <f t="shared" si="19"/>
        <v>0</v>
      </c>
      <c r="I56" s="136">
        <f t="shared" si="20"/>
        <v>454570.39999999997</v>
      </c>
      <c r="J56" s="130">
        <f t="shared" si="24"/>
        <v>2.8082089552238804E-2</v>
      </c>
      <c r="K56" s="121">
        <v>2</v>
      </c>
      <c r="L56" s="34">
        <v>10</v>
      </c>
      <c r="M56" s="34">
        <v>25</v>
      </c>
      <c r="N56" s="34">
        <v>97</v>
      </c>
      <c r="O56" s="34">
        <v>0</v>
      </c>
      <c r="P56" s="34">
        <v>0</v>
      </c>
      <c r="Q56" s="34">
        <v>0</v>
      </c>
      <c r="R56" s="77">
        <v>0</v>
      </c>
      <c r="S56" s="121">
        <v>0</v>
      </c>
      <c r="T56" s="34">
        <v>3</v>
      </c>
      <c r="U56" s="34">
        <v>20</v>
      </c>
      <c r="V56" s="34">
        <v>9</v>
      </c>
      <c r="W56" s="127">
        <v>432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77">
        <v>0</v>
      </c>
      <c r="AF56" s="95">
        <v>7</v>
      </c>
      <c r="AG56" s="74">
        <v>83625</v>
      </c>
      <c r="AH56" s="100">
        <v>0</v>
      </c>
      <c r="AI56" s="74">
        <v>0</v>
      </c>
      <c r="AJ56" s="84">
        <v>0</v>
      </c>
      <c r="AK56" s="34">
        <v>0</v>
      </c>
      <c r="AL56" s="77">
        <v>0</v>
      </c>
      <c r="AM56" s="84">
        <v>0</v>
      </c>
      <c r="AN56" s="77">
        <v>0</v>
      </c>
      <c r="AO56" s="36">
        <v>3763</v>
      </c>
      <c r="AP56" s="217">
        <v>55305</v>
      </c>
    </row>
    <row r="57" spans="1:42" x14ac:dyDescent="0.25">
      <c r="A57" s="79" t="s">
        <v>81</v>
      </c>
      <c r="B57" s="78">
        <f t="shared" ref="B57:B63" si="25">4.279*SUM(K57:N57)*1000+87.088*SUM(O57:R57)*1000</f>
        <v>8898208</v>
      </c>
      <c r="C57" s="129">
        <f t="shared" si="21"/>
        <v>6118926</v>
      </c>
      <c r="D57" s="129">
        <f t="shared" si="16"/>
        <v>1108886</v>
      </c>
      <c r="E57" s="129">
        <f t="shared" si="17"/>
        <v>128191.55999999998</v>
      </c>
      <c r="F57" s="129">
        <f>VLOOKUP(A57,Renseanlæg!$I$1:$K$66,3,FALSE)</f>
        <v>19627866.970998093</v>
      </c>
      <c r="G57" s="129">
        <f t="shared" si="18"/>
        <v>9751485.2999999989</v>
      </c>
      <c r="H57" s="129">
        <f t="shared" si="19"/>
        <v>0</v>
      </c>
      <c r="I57" s="136">
        <f t="shared" si="20"/>
        <v>2363693.6</v>
      </c>
      <c r="J57" s="130">
        <f t="shared" si="24"/>
        <v>1.5934039087947882E-2</v>
      </c>
      <c r="K57" s="121">
        <v>203</v>
      </c>
      <c r="L57" s="34">
        <v>63</v>
      </c>
      <c r="M57" s="34">
        <v>606</v>
      </c>
      <c r="N57" s="34">
        <v>312</v>
      </c>
      <c r="O57" s="34">
        <v>21</v>
      </c>
      <c r="P57" s="34">
        <v>23</v>
      </c>
      <c r="Q57" s="34">
        <v>0</v>
      </c>
      <c r="R57" s="77">
        <v>0</v>
      </c>
      <c r="S57" s="121">
        <v>70</v>
      </c>
      <c r="T57" s="34">
        <v>87</v>
      </c>
      <c r="U57" s="34">
        <v>482</v>
      </c>
      <c r="V57" s="34">
        <v>125</v>
      </c>
      <c r="W57" s="127">
        <v>2637</v>
      </c>
      <c r="X57" s="34">
        <v>1</v>
      </c>
      <c r="Y57" s="34">
        <v>200</v>
      </c>
      <c r="Z57" s="34">
        <v>0</v>
      </c>
      <c r="AA57" s="34">
        <v>0</v>
      </c>
      <c r="AB57" s="34">
        <v>0</v>
      </c>
      <c r="AC57" s="34">
        <v>0</v>
      </c>
      <c r="AD57" s="34">
        <v>2</v>
      </c>
      <c r="AE57" s="77">
        <v>2180</v>
      </c>
      <c r="AF57" s="95">
        <v>82</v>
      </c>
      <c r="AG57" s="74">
        <v>226850</v>
      </c>
      <c r="AH57" s="100">
        <v>19</v>
      </c>
      <c r="AI57" s="74">
        <v>6494</v>
      </c>
      <c r="AJ57" s="84">
        <v>2434</v>
      </c>
      <c r="AK57" s="34">
        <v>21</v>
      </c>
      <c r="AL57" s="77">
        <v>0</v>
      </c>
      <c r="AM57" s="84">
        <v>0</v>
      </c>
      <c r="AN57" s="77">
        <v>0</v>
      </c>
      <c r="AO57" s="36">
        <v>19567</v>
      </c>
      <c r="AP57" s="217">
        <v>5308281</v>
      </c>
    </row>
    <row r="58" spans="1:42" x14ac:dyDescent="0.25">
      <c r="A58" s="79" t="s">
        <v>82</v>
      </c>
      <c r="B58" s="78">
        <f t="shared" si="25"/>
        <v>3641429</v>
      </c>
      <c r="C58" s="129">
        <f t="shared" si="21"/>
        <v>4748464</v>
      </c>
      <c r="D58" s="129">
        <f t="shared" si="16"/>
        <v>513874</v>
      </c>
      <c r="E58" s="129">
        <f t="shared" si="17"/>
        <v>512410.92</v>
      </c>
      <c r="F58" s="129">
        <f>VLOOKUP(A58,Renseanlæg!$I$1:$K$66,3,FALSE)</f>
        <v>19712622.004258912</v>
      </c>
      <c r="G58" s="129">
        <f t="shared" si="18"/>
        <v>10879871.800000001</v>
      </c>
      <c r="H58" s="129">
        <f t="shared" si="19"/>
        <v>0</v>
      </c>
      <c r="I58" s="136">
        <f t="shared" si="20"/>
        <v>1578976.8</v>
      </c>
      <c r="J58" s="130">
        <f t="shared" si="24"/>
        <v>1.535957696827262E-2</v>
      </c>
      <c r="K58" s="121">
        <v>95</v>
      </c>
      <c r="L58" s="34">
        <v>64</v>
      </c>
      <c r="M58" s="34">
        <v>409</v>
      </c>
      <c r="N58" s="34">
        <v>283</v>
      </c>
      <c r="O58" s="34">
        <v>0</v>
      </c>
      <c r="P58" s="34">
        <v>0</v>
      </c>
      <c r="Q58" s="34">
        <v>0</v>
      </c>
      <c r="R58" s="77">
        <v>0</v>
      </c>
      <c r="S58" s="121">
        <v>18</v>
      </c>
      <c r="T58" s="34">
        <v>35</v>
      </c>
      <c r="U58" s="34">
        <v>177</v>
      </c>
      <c r="V58" s="34">
        <v>77</v>
      </c>
      <c r="W58" s="127">
        <v>2738</v>
      </c>
      <c r="X58" s="34">
        <v>8</v>
      </c>
      <c r="Y58" s="34">
        <v>1203</v>
      </c>
      <c r="Z58" s="34">
        <v>1</v>
      </c>
      <c r="AA58" s="34">
        <v>309</v>
      </c>
      <c r="AB58" s="34">
        <v>1</v>
      </c>
      <c r="AC58" s="34">
        <v>900</v>
      </c>
      <c r="AD58" s="34">
        <v>1</v>
      </c>
      <c r="AE58" s="77">
        <v>1350</v>
      </c>
      <c r="AF58" s="95">
        <v>38</v>
      </c>
      <c r="AG58" s="74">
        <v>182629</v>
      </c>
      <c r="AH58" s="100">
        <v>11</v>
      </c>
      <c r="AI58" s="74">
        <v>25958</v>
      </c>
      <c r="AJ58" s="84">
        <v>2612</v>
      </c>
      <c r="AK58" s="34">
        <v>0</v>
      </c>
      <c r="AL58" s="77">
        <v>110</v>
      </c>
      <c r="AM58" s="84">
        <v>0</v>
      </c>
      <c r="AN58" s="77">
        <v>0</v>
      </c>
      <c r="AO58" s="36">
        <v>13071</v>
      </c>
      <c r="AP58" s="217">
        <v>4331533</v>
      </c>
    </row>
    <row r="59" spans="1:42" x14ac:dyDescent="0.25">
      <c r="A59" s="79" t="s">
        <v>83</v>
      </c>
      <c r="B59" s="78">
        <f t="shared" si="25"/>
        <v>0</v>
      </c>
      <c r="C59" s="129">
        <f t="shared" si="21"/>
        <v>0</v>
      </c>
      <c r="D59" s="129">
        <f t="shared" si="16"/>
        <v>0</v>
      </c>
      <c r="E59" s="129">
        <f t="shared" si="17"/>
        <v>0</v>
      </c>
      <c r="F59" s="129">
        <f>VLOOKUP(A59,Renseanlæg!$I$1:$K$66,3,FALSE)</f>
        <v>4124871.4362312141</v>
      </c>
      <c r="G59" s="129">
        <f t="shared" si="18"/>
        <v>3156458.4</v>
      </c>
      <c r="H59" s="129">
        <f t="shared" si="19"/>
        <v>0</v>
      </c>
      <c r="I59" s="136">
        <f t="shared" si="20"/>
        <v>120.8</v>
      </c>
      <c r="J59" s="130">
        <v>0</v>
      </c>
      <c r="K59" s="121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77">
        <v>0</v>
      </c>
      <c r="S59" s="121">
        <v>0</v>
      </c>
      <c r="T59" s="34"/>
      <c r="U59" s="34">
        <v>0</v>
      </c>
      <c r="V59" s="34"/>
      <c r="W59" s="127">
        <v>0</v>
      </c>
      <c r="X59" s="34"/>
      <c r="Y59" s="34">
        <v>0</v>
      </c>
      <c r="Z59" s="34"/>
      <c r="AA59" s="34">
        <v>0</v>
      </c>
      <c r="AB59" s="34">
        <v>0</v>
      </c>
      <c r="AC59" s="34">
        <v>0</v>
      </c>
      <c r="AD59" s="34">
        <v>0</v>
      </c>
      <c r="AE59" s="77">
        <v>0</v>
      </c>
      <c r="AF59" s="95">
        <v>0</v>
      </c>
      <c r="AG59" s="74">
        <v>0</v>
      </c>
      <c r="AH59" s="100">
        <v>0</v>
      </c>
      <c r="AI59" s="74">
        <v>0</v>
      </c>
      <c r="AJ59" s="84">
        <v>796</v>
      </c>
      <c r="AK59" s="34">
        <v>0</v>
      </c>
      <c r="AL59" s="77">
        <v>0</v>
      </c>
      <c r="AM59" s="84">
        <v>0</v>
      </c>
      <c r="AN59" s="77">
        <v>0</v>
      </c>
      <c r="AO59" s="212">
        <v>1</v>
      </c>
      <c r="AP59" s="217"/>
    </row>
    <row r="60" spans="1:42" x14ac:dyDescent="0.25">
      <c r="A60" s="79" t="s">
        <v>84</v>
      </c>
      <c r="B60" s="78">
        <f t="shared" si="25"/>
        <v>3451522.7009999999</v>
      </c>
      <c r="C60" s="129">
        <f t="shared" si="21"/>
        <v>11442993</v>
      </c>
      <c r="D60" s="129">
        <f t="shared" si="16"/>
        <v>878995</v>
      </c>
      <c r="E60" s="129">
        <f t="shared" si="17"/>
        <v>0</v>
      </c>
      <c r="F60" s="129">
        <f>VLOOKUP(A60,Renseanlæg!$I$1:$K$66,3,FALSE)</f>
        <v>0</v>
      </c>
      <c r="G60" s="129">
        <f t="shared" si="18"/>
        <v>0</v>
      </c>
      <c r="H60" s="129">
        <f t="shared" si="19"/>
        <v>0</v>
      </c>
      <c r="I60" s="136">
        <f t="shared" si="20"/>
        <v>2309575.1999999997</v>
      </c>
      <c r="J60" s="130">
        <f>AO60/(SUM(K60:R60)*1000)</f>
        <v>2.3702640279983488E-2</v>
      </c>
      <c r="K60" s="104">
        <v>302.404</v>
      </c>
      <c r="L60" s="116">
        <v>100.14700000000001</v>
      </c>
      <c r="M60" s="116">
        <v>228.44300000000001</v>
      </c>
      <c r="N60" s="116">
        <v>175.625</v>
      </c>
      <c r="O60" s="116">
        <v>0</v>
      </c>
      <c r="P60" s="116">
        <v>0</v>
      </c>
      <c r="Q60" s="116">
        <v>0</v>
      </c>
      <c r="R60" s="120">
        <v>0</v>
      </c>
      <c r="S60" s="104">
        <v>0</v>
      </c>
      <c r="T60" s="116">
        <v>338</v>
      </c>
      <c r="U60" s="116">
        <v>0</v>
      </c>
      <c r="V60" s="116">
        <v>235</v>
      </c>
      <c r="W60" s="125">
        <v>0</v>
      </c>
      <c r="X60" s="116">
        <v>9</v>
      </c>
      <c r="Y60" s="116">
        <v>0</v>
      </c>
      <c r="Z60" s="116">
        <v>1</v>
      </c>
      <c r="AA60" s="116">
        <v>0</v>
      </c>
      <c r="AB60" s="116">
        <v>0</v>
      </c>
      <c r="AC60" s="116">
        <v>0</v>
      </c>
      <c r="AD60" s="116">
        <v>0</v>
      </c>
      <c r="AE60" s="120">
        <v>0</v>
      </c>
      <c r="AF60" s="109">
        <v>65</v>
      </c>
      <c r="AG60" s="76">
        <v>184507</v>
      </c>
      <c r="AH60" s="73">
        <v>0</v>
      </c>
      <c r="AI60" s="120">
        <v>0</v>
      </c>
      <c r="AJ60" s="75">
        <v>0</v>
      </c>
      <c r="AK60" s="124">
        <v>0</v>
      </c>
      <c r="AL60" s="77">
        <v>0</v>
      </c>
      <c r="AM60" s="84">
        <v>0</v>
      </c>
      <c r="AN60" s="77">
        <v>0</v>
      </c>
      <c r="AO60" s="119">
        <v>19119</v>
      </c>
      <c r="AP60" s="218">
        <v>4516897</v>
      </c>
    </row>
    <row r="61" spans="1:42" x14ac:dyDescent="0.25">
      <c r="A61" s="79" t="s">
        <v>92</v>
      </c>
      <c r="B61" s="78">
        <f t="shared" si="25"/>
        <v>667524</v>
      </c>
      <c r="C61" s="129">
        <f t="shared" si="21"/>
        <v>1093942</v>
      </c>
      <c r="D61" s="129">
        <f t="shared" si="16"/>
        <v>13523</v>
      </c>
      <c r="E61" s="129">
        <f t="shared" si="17"/>
        <v>27635.999999999996</v>
      </c>
      <c r="F61" s="129">
        <f>VLOOKUP(A61,Renseanlæg!$I$1:$K$66,3,FALSE)</f>
        <v>3200447.4730958957</v>
      </c>
      <c r="G61" s="129">
        <f t="shared" si="18"/>
        <v>951696</v>
      </c>
      <c r="H61" s="129">
        <f t="shared" si="19"/>
        <v>22860</v>
      </c>
      <c r="I61" s="136">
        <f t="shared" si="20"/>
        <v>468945.6</v>
      </c>
      <c r="J61" s="130">
        <f>AO61/(SUM(K61:R61)*1000)</f>
        <v>2.4884615384615383E-2</v>
      </c>
      <c r="K61" s="121">
        <v>45.6</v>
      </c>
      <c r="L61" s="34">
        <v>8.5</v>
      </c>
      <c r="M61" s="34">
        <v>76.5</v>
      </c>
      <c r="N61" s="34">
        <v>25.4</v>
      </c>
      <c r="O61" s="34">
        <v>0</v>
      </c>
      <c r="P61" s="34">
        <v>0</v>
      </c>
      <c r="Q61" s="34">
        <v>0</v>
      </c>
      <c r="R61" s="77">
        <v>0</v>
      </c>
      <c r="S61" s="121">
        <v>26</v>
      </c>
      <c r="T61" s="34">
        <v>20</v>
      </c>
      <c r="U61" s="34">
        <v>106</v>
      </c>
      <c r="V61" s="34">
        <v>18</v>
      </c>
      <c r="W61" s="127">
        <v>577</v>
      </c>
      <c r="X61" s="34">
        <v>2</v>
      </c>
      <c r="Y61" s="34">
        <v>230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77">
        <v>0</v>
      </c>
      <c r="AF61" s="95">
        <v>1</v>
      </c>
      <c r="AG61" s="74">
        <v>1870</v>
      </c>
      <c r="AH61" s="100">
        <v>3</v>
      </c>
      <c r="AI61" s="74">
        <v>1400</v>
      </c>
      <c r="AJ61" s="84">
        <v>240</v>
      </c>
      <c r="AK61" s="34">
        <v>0</v>
      </c>
      <c r="AL61" s="77">
        <v>0</v>
      </c>
      <c r="AM61" s="84">
        <v>9</v>
      </c>
      <c r="AN61" s="77">
        <v>45</v>
      </c>
      <c r="AO61" s="36">
        <v>3882</v>
      </c>
      <c r="AP61" s="217">
        <v>664077</v>
      </c>
    </row>
    <row r="62" spans="1:42" x14ac:dyDescent="0.25">
      <c r="A62" s="79" t="s">
        <v>85</v>
      </c>
      <c r="B62" s="78">
        <f t="shared" si="25"/>
        <v>0</v>
      </c>
      <c r="C62" s="129">
        <f t="shared" si="21"/>
        <v>0</v>
      </c>
      <c r="D62" s="129">
        <f t="shared" si="16"/>
        <v>0</v>
      </c>
      <c r="E62" s="129">
        <f t="shared" si="17"/>
        <v>0</v>
      </c>
      <c r="F62" s="129">
        <f>VLOOKUP(A62,Renseanlæg!$I$1:$K$66,3,FALSE)</f>
        <v>0</v>
      </c>
      <c r="G62" s="129">
        <f t="shared" si="18"/>
        <v>1479094.2</v>
      </c>
      <c r="H62" s="129">
        <f t="shared" si="19"/>
        <v>0</v>
      </c>
      <c r="I62" s="136">
        <f t="shared" si="20"/>
        <v>0</v>
      </c>
      <c r="J62" s="130">
        <v>0</v>
      </c>
      <c r="K62" s="121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77">
        <v>0</v>
      </c>
      <c r="S62" s="121">
        <v>0</v>
      </c>
      <c r="T62" s="34">
        <v>0</v>
      </c>
      <c r="U62" s="34">
        <v>0</v>
      </c>
      <c r="V62" s="34">
        <v>0</v>
      </c>
      <c r="W62" s="127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77">
        <v>0</v>
      </c>
      <c r="AF62" s="95">
        <v>0</v>
      </c>
      <c r="AG62" s="74">
        <v>0</v>
      </c>
      <c r="AH62" s="100">
        <v>0</v>
      </c>
      <c r="AI62" s="74">
        <v>0</v>
      </c>
      <c r="AJ62" s="84">
        <v>373</v>
      </c>
      <c r="AK62" s="34">
        <v>0</v>
      </c>
      <c r="AL62" s="77">
        <v>0</v>
      </c>
      <c r="AM62" s="84">
        <v>0</v>
      </c>
      <c r="AN62" s="77">
        <v>0</v>
      </c>
      <c r="AO62" s="36"/>
      <c r="AP62" s="217">
        <v>1347477</v>
      </c>
    </row>
    <row r="63" spans="1:42" ht="15.75" thickBot="1" x14ac:dyDescent="0.3">
      <c r="A63" s="79" t="s">
        <v>86</v>
      </c>
      <c r="B63" s="78">
        <f t="shared" si="25"/>
        <v>27184276</v>
      </c>
      <c r="C63" s="129">
        <f t="shared" si="21"/>
        <v>11539302</v>
      </c>
      <c r="D63" s="129">
        <f t="shared" si="16"/>
        <v>1162978</v>
      </c>
      <c r="E63" s="129">
        <f t="shared" si="17"/>
        <v>332224.19999999995</v>
      </c>
      <c r="F63" s="129">
        <f>VLOOKUP(A63,Renseanlæg!$I$1:$K$66,3,FALSE)</f>
        <v>27991496.454583526</v>
      </c>
      <c r="G63" s="129">
        <f t="shared" si="18"/>
        <v>18027016.899999999</v>
      </c>
      <c r="H63" s="129">
        <f t="shared" si="19"/>
        <v>35560</v>
      </c>
      <c r="I63" s="136">
        <f t="shared" si="20"/>
        <v>5868343.2000000002</v>
      </c>
      <c r="J63" s="130">
        <f>AO63/(SUM(K63:R63)*1000)</f>
        <v>2.0698338304218151E-2</v>
      </c>
      <c r="K63" s="121">
        <v>260</v>
      </c>
      <c r="L63" s="34">
        <v>182</v>
      </c>
      <c r="M63" s="34">
        <v>879</v>
      </c>
      <c r="N63" s="34">
        <v>819</v>
      </c>
      <c r="O63" s="34">
        <v>27</v>
      </c>
      <c r="P63" s="34">
        <v>45</v>
      </c>
      <c r="Q63" s="34">
        <v>64</v>
      </c>
      <c r="R63" s="77">
        <v>71</v>
      </c>
      <c r="S63" s="121">
        <v>0</v>
      </c>
      <c r="T63" s="34">
        <v>82</v>
      </c>
      <c r="U63" s="34">
        <v>320</v>
      </c>
      <c r="V63" s="34">
        <v>128</v>
      </c>
      <c r="W63" s="127">
        <v>5597</v>
      </c>
      <c r="X63" s="34">
        <v>30</v>
      </c>
      <c r="Y63" s="34">
        <v>4898</v>
      </c>
      <c r="Z63" s="34">
        <v>6</v>
      </c>
      <c r="AA63" s="34">
        <v>2259</v>
      </c>
      <c r="AB63" s="34">
        <v>2</v>
      </c>
      <c r="AC63" s="34">
        <v>1560</v>
      </c>
      <c r="AD63" s="34">
        <v>2</v>
      </c>
      <c r="AE63" s="77">
        <v>4440</v>
      </c>
      <c r="AF63" s="95">
        <v>86</v>
      </c>
      <c r="AG63" s="74">
        <v>680503</v>
      </c>
      <c r="AH63" s="100">
        <v>11</v>
      </c>
      <c r="AI63" s="74">
        <v>16830</v>
      </c>
      <c r="AJ63" s="84">
        <v>0</v>
      </c>
      <c r="AK63" s="34">
        <v>0</v>
      </c>
      <c r="AL63" s="77">
        <v>3797</v>
      </c>
      <c r="AM63" s="84">
        <v>14</v>
      </c>
      <c r="AN63" s="77">
        <v>70</v>
      </c>
      <c r="AO63" s="36">
        <v>48579</v>
      </c>
      <c r="AP63" s="221">
        <v>14430894</v>
      </c>
    </row>
    <row r="74" ht="14.25" customHeight="1" x14ac:dyDescent="0.25"/>
  </sheetData>
  <sortState ref="A3:AP111">
    <sortCondition ref="A3"/>
  </sortState>
  <customSheetViews>
    <customSheetView guid="{CA125778-F8FD-4378-B746-C94ABF8D8556}">
      <pane xSplit="1" ySplit="2" topLeftCell="B42" activePane="bottomRight" state="frozen"/>
      <selection pane="bottomRight" activeCell="D25" sqref="D25"/>
      <pageMargins left="0.7" right="0.7" top="0.75" bottom="0.75" header="0.3" footer="0.3"/>
      <pageSetup paperSize="9" orientation="portrait" r:id="rId1"/>
    </customSheetView>
    <customSheetView guid="{630A50AD-37E0-4B13-8A0F-82608C065D57}">
      <pane xSplit="1" ySplit="2" topLeftCell="B48" activePane="bottomRight" state="frozen"/>
      <selection pane="bottomRight" activeCell="G57" sqref="G57"/>
      <pageMargins left="0.7" right="0.7" top="0.75" bottom="0.75" header="0.3" footer="0.3"/>
      <pageSetup paperSize="9" orientation="portrait" r:id="rId2"/>
    </customSheetView>
    <customSheetView guid="{80E426B4-B9D0-45E3-ACA1-6AA797532F97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3"/>
    </customSheetView>
    <customSheetView guid="{A178F800-3B7E-4511-BF10-5AA233FDE985}">
      <pane xSplit="1" ySplit="2" topLeftCell="D86" activePane="bottomRight" state="frozen"/>
      <selection pane="bottomRight" activeCell="M88" sqref="M88"/>
      <pageMargins left="0.7" right="0.7" top="0.75" bottom="0.75" header="0.3" footer="0.3"/>
      <pageSetup paperSize="9" orientation="portrait" r:id="rId4"/>
    </customSheetView>
    <customSheetView guid="{1AAC2EB3-B963-4CB8-8604-06326666FF8C}">
      <pane xSplit="1" ySplit="2" topLeftCell="B28" activePane="bottomRight" state="frozen"/>
      <selection pane="bottomRight" activeCell="G30" sqref="G30"/>
      <pageMargins left="0.7" right="0.7" top="0.75" bottom="0.75" header="0.3" footer="0.3"/>
      <pageSetup paperSize="9" orientation="portrait" r:id="rId5"/>
    </customSheetView>
    <customSheetView guid="{898A57C7-EA84-4A1C-AA42-8284F31DD32C}">
      <pane xSplit="1" ySplit="2" topLeftCell="S18" activePane="bottomRight" state="frozen"/>
      <selection pane="bottomRight" activeCell="A27" sqref="A27"/>
      <pageMargins left="0.7" right="0.7" top="0.75" bottom="0.75" header="0.3" footer="0.3"/>
      <pageSetup paperSize="9" orientation="portrait" r:id="rId6"/>
    </customSheetView>
    <customSheetView guid="{88D7A6C6-1D77-4300-8600-F7BD640C7FF4}">
      <pane xSplit="1" ySplit="2" topLeftCell="X42" activePane="bottomRight" state="frozen"/>
      <selection pane="bottomRight" activeCell="AO54" sqref="AO54"/>
      <pageMargins left="0.7" right="0.7" top="0.75" bottom="0.75" header="0.3" footer="0.3"/>
      <pageSetup paperSize="9" orientation="portrait" r:id="rId7"/>
    </customSheetView>
    <customSheetView guid="{15973B62-11BC-4FDE-92B3-1DF2358CDD3E}">
      <pane xSplit="1" ySplit="2" topLeftCell="B42" activePane="bottomRight" state="frozen"/>
      <selection pane="bottomRight" activeCell="D25" sqref="D25"/>
      <pageMargins left="0.7" right="0.7" top="0.75" bottom="0.75" header="0.3" footer="0.3"/>
      <pageSetup paperSize="9" orientation="portrait" r:id="rId8"/>
    </customSheetView>
  </customSheetViews>
  <mergeCells count="8">
    <mergeCell ref="AM1:AN1"/>
    <mergeCell ref="A1:A2"/>
    <mergeCell ref="K1:R1"/>
    <mergeCell ref="S1:AE1"/>
    <mergeCell ref="AF1:AG1"/>
    <mergeCell ref="AH1:AI1"/>
    <mergeCell ref="AJ1:AL1"/>
    <mergeCell ref="B1:I1"/>
  </mergeCells>
  <pageMargins left="0.7" right="0.7" top="0.75" bottom="0.75" header="0.3" footer="0.3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3"/>
  <sheetViews>
    <sheetView workbookViewId="0">
      <selection activeCell="I39" sqref="I39"/>
    </sheetView>
  </sheetViews>
  <sheetFormatPr defaultRowHeight="15" x14ac:dyDescent="0.25"/>
  <cols>
    <col min="1" max="1" width="36.42578125" style="139" bestFit="1" customWidth="1"/>
    <col min="2" max="2" width="11.140625" style="139" customWidth="1"/>
    <col min="3" max="3" width="19.85546875" style="139" customWidth="1"/>
    <col min="4" max="4" width="12.42578125" style="139" customWidth="1"/>
    <col min="5" max="5" width="14.7109375" style="139" customWidth="1"/>
    <col min="6" max="6" width="13.5703125" style="138" bestFit="1" customWidth="1"/>
    <col min="7" max="7" width="12.42578125" style="138" customWidth="1"/>
    <col min="8" max="8" width="4.85546875" style="138" customWidth="1"/>
    <col min="9" max="9" width="36.85546875" style="139" customWidth="1"/>
    <col min="10" max="10" width="17.5703125" style="139" customWidth="1"/>
    <col min="11" max="11" width="17.140625" style="139" customWidth="1"/>
    <col min="12" max="12" width="10.7109375" style="139" customWidth="1"/>
    <col min="13" max="16384" width="9.140625" style="139"/>
  </cols>
  <sheetData>
    <row r="1" spans="1:11" ht="60.75" thickBot="1" x14ac:dyDescent="0.3">
      <c r="A1" s="222" t="s">
        <v>0</v>
      </c>
      <c r="B1" s="223" t="s">
        <v>93</v>
      </c>
      <c r="C1" s="223" t="s">
        <v>94</v>
      </c>
      <c r="D1" s="223" t="s">
        <v>95</v>
      </c>
      <c r="E1" s="224" t="s">
        <v>96</v>
      </c>
      <c r="F1" s="54" t="s">
        <v>117</v>
      </c>
      <c r="G1" s="54" t="s">
        <v>116</v>
      </c>
      <c r="H1" s="10"/>
      <c r="I1" s="225" t="s">
        <v>0</v>
      </c>
      <c r="J1" s="181" t="s">
        <v>118</v>
      </c>
      <c r="K1" s="182" t="s">
        <v>119</v>
      </c>
    </row>
    <row r="2" spans="1:11" x14ac:dyDescent="0.25">
      <c r="A2" s="226" t="s">
        <v>40</v>
      </c>
      <c r="B2" s="148">
        <v>1</v>
      </c>
      <c r="C2" s="149">
        <v>5</v>
      </c>
      <c r="D2" s="149">
        <v>69704</v>
      </c>
      <c r="E2" s="150">
        <v>35694</v>
      </c>
      <c r="F2" s="227">
        <f>(D2+E2)/2</f>
        <v>52699</v>
      </c>
      <c r="G2" s="228">
        <f>IF(C2=1,1581.92*(F2^0.6798),IF(C2=2,2991.14*(F2^0.6798),IF(C2=3,3113.49*(F2^0.6798),IF(C2=4,3279.19*(F2^0.6798),IF(C2=5, IF(B2=1,3891.82*(F2^0.6798),IF(B2=2,4076.24*(F2^0.6798),0)),0)))))</f>
        <v>6310067.4213451957</v>
      </c>
      <c r="H2" s="59"/>
      <c r="I2" s="229" t="s">
        <v>39</v>
      </c>
      <c r="J2" s="230">
        <f>SUMIF($A$2:$A$350,I2,$G$2:$G$350)</f>
        <v>0</v>
      </c>
      <c r="K2" s="231">
        <f t="shared" ref="K2:K33" si="0">IF(J2&gt;0,J2+373.65,0)</f>
        <v>0</v>
      </c>
    </row>
    <row r="3" spans="1:11" x14ac:dyDescent="0.25">
      <c r="A3" s="232" t="s">
        <v>40</v>
      </c>
      <c r="B3" s="2">
        <v>2</v>
      </c>
      <c r="C3" s="3">
        <v>1</v>
      </c>
      <c r="D3" s="3">
        <v>0</v>
      </c>
      <c r="E3" s="102">
        <v>0</v>
      </c>
      <c r="F3" s="233">
        <f t="shared" ref="F3:F26" si="1">(D3+E3)/2</f>
        <v>0</v>
      </c>
      <c r="G3" s="234">
        <f t="shared" ref="G3:G26" si="2">IF(C3=1,1581.92*(F3^0.6798),IF(C3=2,2991.14*(F3^0.6798),IF(C3=3,3113.49*(F3^0.6798),IF(C3=4,3279.19*(F3^0.6798),IF(C3=5, IF(B3=1,3891.82*(F3^0.6798),IF(B3=2,4076.24*(F3^0.6798),0)),0)))))</f>
        <v>0</v>
      </c>
      <c r="H3" s="59"/>
      <c r="I3" s="44" t="s">
        <v>40</v>
      </c>
      <c r="J3" s="59">
        <f t="shared" ref="J3:J39" si="3">SUMIF($A$2:$A$350,I3,$G$2:$G$350)</f>
        <v>8437145.3051864523</v>
      </c>
      <c r="K3" s="165">
        <f t="shared" si="0"/>
        <v>8437518.9551864527</v>
      </c>
    </row>
    <row r="4" spans="1:11" x14ac:dyDescent="0.25">
      <c r="A4" s="232" t="s">
        <v>40</v>
      </c>
      <c r="B4" s="2">
        <v>1</v>
      </c>
      <c r="C4" s="3">
        <v>5</v>
      </c>
      <c r="D4" s="3">
        <v>4810</v>
      </c>
      <c r="E4" s="102">
        <v>1161</v>
      </c>
      <c r="F4" s="233">
        <f t="shared" si="1"/>
        <v>2985.5</v>
      </c>
      <c r="G4" s="234">
        <f t="shared" si="2"/>
        <v>896332.93294686126</v>
      </c>
      <c r="H4" s="59"/>
      <c r="I4" s="44" t="s">
        <v>41</v>
      </c>
      <c r="J4" s="59">
        <f t="shared" si="3"/>
        <v>15873532.247699326</v>
      </c>
      <c r="K4" s="165">
        <f t="shared" si="0"/>
        <v>15873905.897699326</v>
      </c>
    </row>
    <row r="5" spans="1:11" x14ac:dyDescent="0.25">
      <c r="A5" s="232" t="s">
        <v>40</v>
      </c>
      <c r="B5" s="2">
        <v>1</v>
      </c>
      <c r="C5" s="3">
        <v>4</v>
      </c>
      <c r="D5" s="3">
        <v>65</v>
      </c>
      <c r="E5" s="102">
        <v>34</v>
      </c>
      <c r="F5" s="233">
        <f t="shared" si="1"/>
        <v>49.5</v>
      </c>
      <c r="G5" s="234">
        <f t="shared" si="2"/>
        <v>46532.800985540547</v>
      </c>
      <c r="H5" s="59"/>
      <c r="I5" s="44" t="s">
        <v>42</v>
      </c>
      <c r="J5" s="59">
        <f t="shared" si="3"/>
        <v>0</v>
      </c>
      <c r="K5" s="165">
        <f t="shared" si="0"/>
        <v>0</v>
      </c>
    </row>
    <row r="6" spans="1:11" x14ac:dyDescent="0.25">
      <c r="A6" s="232" t="s">
        <v>40</v>
      </c>
      <c r="B6" s="2">
        <v>1</v>
      </c>
      <c r="C6" s="3">
        <v>3</v>
      </c>
      <c r="D6" s="3">
        <v>170</v>
      </c>
      <c r="E6" s="102">
        <v>102</v>
      </c>
      <c r="F6" s="233">
        <f t="shared" si="1"/>
        <v>136</v>
      </c>
      <c r="G6" s="234">
        <f t="shared" si="2"/>
        <v>87826.833513313264</v>
      </c>
      <c r="H6" s="59"/>
      <c r="I6" s="44" t="s">
        <v>43</v>
      </c>
      <c r="J6" s="59">
        <f t="shared" si="3"/>
        <v>8251029.2146298885</v>
      </c>
      <c r="K6" s="165">
        <f t="shared" si="0"/>
        <v>8251402.8646298889</v>
      </c>
    </row>
    <row r="7" spans="1:11" x14ac:dyDescent="0.25">
      <c r="A7" s="232" t="s">
        <v>40</v>
      </c>
      <c r="B7" s="2"/>
      <c r="C7" s="3"/>
      <c r="D7" s="3"/>
      <c r="E7" s="102"/>
      <c r="F7" s="233">
        <f t="shared" si="1"/>
        <v>0</v>
      </c>
      <c r="G7" s="234">
        <f t="shared" si="2"/>
        <v>0</v>
      </c>
      <c r="H7" s="59"/>
      <c r="I7" s="44" t="s">
        <v>46</v>
      </c>
      <c r="J7" s="59">
        <f t="shared" si="3"/>
        <v>6091839.6559917703</v>
      </c>
      <c r="K7" s="165">
        <f t="shared" si="0"/>
        <v>6092213.3059917707</v>
      </c>
    </row>
    <row r="8" spans="1:11" x14ac:dyDescent="0.25">
      <c r="A8" s="232" t="s">
        <v>40</v>
      </c>
      <c r="B8" s="2">
        <v>1</v>
      </c>
      <c r="C8" s="3">
        <v>5</v>
      </c>
      <c r="D8" s="3">
        <v>5510</v>
      </c>
      <c r="E8" s="102">
        <v>1131</v>
      </c>
      <c r="F8" s="233">
        <f t="shared" si="1"/>
        <v>3320.5</v>
      </c>
      <c r="G8" s="234">
        <f t="shared" si="2"/>
        <v>963533.62344231294</v>
      </c>
      <c r="H8" s="59"/>
      <c r="I8" s="44" t="s">
        <v>44</v>
      </c>
      <c r="J8" s="59">
        <f t="shared" si="3"/>
        <v>13930539.755917585</v>
      </c>
      <c r="K8" s="165">
        <f t="shared" si="0"/>
        <v>13930913.405917585</v>
      </c>
    </row>
    <row r="9" spans="1:11" ht="15.75" thickBot="1" x14ac:dyDescent="0.3">
      <c r="A9" s="235" t="s">
        <v>40</v>
      </c>
      <c r="B9" s="140">
        <v>1</v>
      </c>
      <c r="C9" s="141">
        <v>3</v>
      </c>
      <c r="D9" s="141">
        <v>500</v>
      </c>
      <c r="E9" s="142">
        <v>0</v>
      </c>
      <c r="F9" s="236">
        <f t="shared" si="1"/>
        <v>250</v>
      </c>
      <c r="G9" s="237">
        <f t="shared" si="2"/>
        <v>132851.69295322962</v>
      </c>
      <c r="H9" s="59"/>
      <c r="I9" s="44" t="s">
        <v>45</v>
      </c>
      <c r="J9" s="59">
        <f t="shared" si="3"/>
        <v>19447110.169912633</v>
      </c>
      <c r="K9" s="165">
        <f t="shared" si="0"/>
        <v>19447483.819912631</v>
      </c>
    </row>
    <row r="10" spans="1:11" x14ac:dyDescent="0.25">
      <c r="A10" s="226" t="s">
        <v>41</v>
      </c>
      <c r="B10" s="148">
        <v>2</v>
      </c>
      <c r="C10" s="149">
        <v>5</v>
      </c>
      <c r="D10" s="149">
        <v>35000</v>
      </c>
      <c r="E10" s="150">
        <v>40219</v>
      </c>
      <c r="F10" s="227">
        <f t="shared" si="1"/>
        <v>37609.5</v>
      </c>
      <c r="G10" s="228">
        <f t="shared" si="2"/>
        <v>5254689.1232250975</v>
      </c>
      <c r="H10" s="59"/>
      <c r="I10" s="44" t="s">
        <v>47</v>
      </c>
      <c r="J10" s="59">
        <f t="shared" si="3"/>
        <v>0</v>
      </c>
      <c r="K10" s="165">
        <f t="shared" si="0"/>
        <v>0</v>
      </c>
    </row>
    <row r="11" spans="1:11" x14ac:dyDescent="0.25">
      <c r="A11" s="232" t="s">
        <v>41</v>
      </c>
      <c r="B11" s="2">
        <v>1</v>
      </c>
      <c r="C11" s="3">
        <v>5</v>
      </c>
      <c r="D11" s="3">
        <v>9130</v>
      </c>
      <c r="E11" s="102">
        <v>3327</v>
      </c>
      <c r="F11" s="233">
        <f t="shared" si="1"/>
        <v>6228.5</v>
      </c>
      <c r="G11" s="234">
        <f t="shared" si="2"/>
        <v>1477660.3757821417</v>
      </c>
      <c r="H11" s="59"/>
      <c r="I11" s="44" t="s">
        <v>48</v>
      </c>
      <c r="J11" s="59">
        <f t="shared" si="3"/>
        <v>12088401.272219233</v>
      </c>
      <c r="K11" s="165">
        <f t="shared" si="0"/>
        <v>12088774.922219234</v>
      </c>
    </row>
    <row r="12" spans="1:11" x14ac:dyDescent="0.25">
      <c r="A12" s="232" t="s">
        <v>41</v>
      </c>
      <c r="B12" s="2">
        <v>2</v>
      </c>
      <c r="C12" s="3">
        <v>5</v>
      </c>
      <c r="D12" s="3">
        <v>8000</v>
      </c>
      <c r="E12" s="102">
        <v>4043</v>
      </c>
      <c r="F12" s="233">
        <f t="shared" si="1"/>
        <v>6021.5</v>
      </c>
      <c r="G12" s="234">
        <f t="shared" si="2"/>
        <v>1512526.5095161102</v>
      </c>
      <c r="H12" s="59"/>
      <c r="I12" s="44" t="s">
        <v>113</v>
      </c>
      <c r="J12" s="59">
        <f t="shared" si="3"/>
        <v>3859526.334385654</v>
      </c>
      <c r="K12" s="165">
        <f t="shared" si="0"/>
        <v>3859899.9843856539</v>
      </c>
    </row>
    <row r="13" spans="1:11" x14ac:dyDescent="0.25">
      <c r="A13" s="232" t="s">
        <v>41</v>
      </c>
      <c r="B13" s="2">
        <v>2</v>
      </c>
      <c r="C13" s="3">
        <v>5</v>
      </c>
      <c r="D13" s="3">
        <v>7800</v>
      </c>
      <c r="E13" s="102">
        <v>11455</v>
      </c>
      <c r="F13" s="233">
        <f t="shared" si="1"/>
        <v>9627.5</v>
      </c>
      <c r="G13" s="234">
        <f t="shared" si="2"/>
        <v>2080904.9449731281</v>
      </c>
      <c r="H13" s="59"/>
      <c r="I13" s="44" t="s">
        <v>49</v>
      </c>
      <c r="J13" s="59">
        <f t="shared" si="3"/>
        <v>0</v>
      </c>
      <c r="K13" s="165">
        <f t="shared" si="0"/>
        <v>0</v>
      </c>
    </row>
    <row r="14" spans="1:11" x14ac:dyDescent="0.25">
      <c r="A14" s="232" t="s">
        <v>41</v>
      </c>
      <c r="B14" s="2">
        <v>1</v>
      </c>
      <c r="C14" s="3">
        <v>5</v>
      </c>
      <c r="D14" s="3">
        <v>6500</v>
      </c>
      <c r="E14" s="102">
        <v>5875</v>
      </c>
      <c r="F14" s="233">
        <f t="shared" si="1"/>
        <v>6187.5</v>
      </c>
      <c r="G14" s="234">
        <f t="shared" si="2"/>
        <v>1471041.0316642874</v>
      </c>
      <c r="H14" s="59"/>
      <c r="I14" s="44" t="s">
        <v>50</v>
      </c>
      <c r="J14" s="59">
        <f t="shared" si="3"/>
        <v>0</v>
      </c>
      <c r="K14" s="165">
        <f t="shared" si="0"/>
        <v>0</v>
      </c>
    </row>
    <row r="15" spans="1:11" x14ac:dyDescent="0.25">
      <c r="A15" s="232" t="s">
        <v>41</v>
      </c>
      <c r="B15" s="2">
        <v>1</v>
      </c>
      <c r="C15" s="3">
        <v>5</v>
      </c>
      <c r="D15" s="3">
        <v>6000</v>
      </c>
      <c r="E15" s="102">
        <v>5980</v>
      </c>
      <c r="F15" s="233">
        <f t="shared" si="1"/>
        <v>5990</v>
      </c>
      <c r="G15" s="234">
        <f t="shared" si="2"/>
        <v>1438955.9503915948</v>
      </c>
      <c r="H15" s="59"/>
      <c r="I15" s="44" t="s">
        <v>55</v>
      </c>
      <c r="J15" s="59">
        <f t="shared" si="3"/>
        <v>6725144.8799016988</v>
      </c>
      <c r="K15" s="165">
        <f t="shared" si="0"/>
        <v>6725518.5299016992</v>
      </c>
    </row>
    <row r="16" spans="1:11" x14ac:dyDescent="0.25">
      <c r="A16" s="232" t="s">
        <v>41</v>
      </c>
      <c r="B16" s="2">
        <v>2</v>
      </c>
      <c r="C16" s="3">
        <v>5</v>
      </c>
      <c r="D16" s="3">
        <v>6000</v>
      </c>
      <c r="E16" s="102">
        <v>4770</v>
      </c>
      <c r="F16" s="233">
        <f t="shared" si="1"/>
        <v>5385</v>
      </c>
      <c r="G16" s="234">
        <f t="shared" si="2"/>
        <v>1401908.892156957</v>
      </c>
      <c r="H16" s="59"/>
      <c r="I16" s="44" t="s">
        <v>51</v>
      </c>
      <c r="J16" s="59">
        <f t="shared" si="3"/>
        <v>19769751.290150441</v>
      </c>
      <c r="K16" s="165">
        <f t="shared" si="0"/>
        <v>19770124.94015044</v>
      </c>
    </row>
    <row r="17" spans="1:11" x14ac:dyDescent="0.25">
      <c r="A17" s="232" t="s">
        <v>41</v>
      </c>
      <c r="B17" s="2">
        <v>2</v>
      </c>
      <c r="C17" s="3">
        <v>5</v>
      </c>
      <c r="D17" s="3">
        <v>3200</v>
      </c>
      <c r="E17" s="102">
        <v>2564</v>
      </c>
      <c r="F17" s="233">
        <f t="shared" si="1"/>
        <v>2882</v>
      </c>
      <c r="G17" s="234">
        <f t="shared" si="2"/>
        <v>916557.49174802541</v>
      </c>
      <c r="H17" s="59"/>
      <c r="I17" s="44" t="s">
        <v>52</v>
      </c>
      <c r="J17" s="59">
        <f t="shared" si="3"/>
        <v>0</v>
      </c>
      <c r="K17" s="165">
        <f t="shared" si="0"/>
        <v>0</v>
      </c>
    </row>
    <row r="18" spans="1:11" ht="15.75" thickBot="1" x14ac:dyDescent="0.3">
      <c r="A18" s="238" t="s">
        <v>41</v>
      </c>
      <c r="B18" s="239">
        <v>1</v>
      </c>
      <c r="C18" s="240">
        <v>5</v>
      </c>
      <c r="D18" s="240">
        <v>1100</v>
      </c>
      <c r="E18" s="241">
        <v>208</v>
      </c>
      <c r="F18" s="242">
        <f t="shared" si="1"/>
        <v>654</v>
      </c>
      <c r="G18" s="243">
        <f t="shared" si="2"/>
        <v>319287.92824198509</v>
      </c>
      <c r="H18" s="59"/>
      <c r="I18" s="44" t="s">
        <v>59</v>
      </c>
      <c r="J18" s="59">
        <f t="shared" si="3"/>
        <v>13015838.036745906</v>
      </c>
      <c r="K18" s="165">
        <f t="shared" si="0"/>
        <v>13016211.686745906</v>
      </c>
    </row>
    <row r="19" spans="1:11" x14ac:dyDescent="0.25">
      <c r="A19" s="244" t="s">
        <v>43</v>
      </c>
      <c r="B19" s="144">
        <v>1</v>
      </c>
      <c r="C19" s="145">
        <v>5</v>
      </c>
      <c r="D19" s="145">
        <v>36125</v>
      </c>
      <c r="E19" s="245">
        <v>33645</v>
      </c>
      <c r="F19" s="227">
        <f t="shared" si="1"/>
        <v>34885</v>
      </c>
      <c r="G19" s="228">
        <f t="shared" si="2"/>
        <v>4766927.5613361765</v>
      </c>
      <c r="H19" s="59"/>
      <c r="I19" s="44" t="s">
        <v>53</v>
      </c>
      <c r="J19" s="59">
        <f t="shared" si="3"/>
        <v>13803273.0696052</v>
      </c>
      <c r="K19" s="165">
        <f t="shared" si="0"/>
        <v>13803646.7196052</v>
      </c>
    </row>
    <row r="20" spans="1:11" x14ac:dyDescent="0.25">
      <c r="A20" s="246" t="s">
        <v>43</v>
      </c>
      <c r="B20" s="143">
        <v>1</v>
      </c>
      <c r="C20" s="1">
        <v>5</v>
      </c>
      <c r="D20" s="1">
        <v>6800</v>
      </c>
      <c r="E20" s="247">
        <v>5216</v>
      </c>
      <c r="F20" s="233">
        <f t="shared" si="1"/>
        <v>6008</v>
      </c>
      <c r="G20" s="234">
        <f t="shared" si="2"/>
        <v>1441894.0439985802</v>
      </c>
      <c r="H20" s="59"/>
      <c r="I20" s="44" t="s">
        <v>54</v>
      </c>
      <c r="J20" s="59">
        <f t="shared" si="3"/>
        <v>23679667.418199938</v>
      </c>
      <c r="K20" s="165">
        <f t="shared" si="0"/>
        <v>23680041.068199936</v>
      </c>
    </row>
    <row r="21" spans="1:11" x14ac:dyDescent="0.25">
      <c r="A21" s="246" t="s">
        <v>43</v>
      </c>
      <c r="B21" s="143">
        <v>1</v>
      </c>
      <c r="C21" s="1">
        <v>5</v>
      </c>
      <c r="D21" s="1">
        <v>10000</v>
      </c>
      <c r="E21" s="247">
        <v>8536</v>
      </c>
      <c r="F21" s="233">
        <f t="shared" si="1"/>
        <v>9268</v>
      </c>
      <c r="G21" s="234">
        <f t="shared" si="2"/>
        <v>1936020.026670024</v>
      </c>
      <c r="H21" s="59"/>
      <c r="I21" s="44" t="s">
        <v>61</v>
      </c>
      <c r="J21" s="59">
        <f t="shared" si="3"/>
        <v>27772150.078707807</v>
      </c>
      <c r="K21" s="165">
        <f t="shared" si="0"/>
        <v>27772523.728707805</v>
      </c>
    </row>
    <row r="22" spans="1:11" ht="15.75" thickBot="1" x14ac:dyDescent="0.3">
      <c r="A22" s="248" t="s">
        <v>43</v>
      </c>
      <c r="B22" s="146">
        <v>1</v>
      </c>
      <c r="C22" s="147">
        <v>5</v>
      </c>
      <c r="D22" s="147">
        <v>131</v>
      </c>
      <c r="E22" s="249">
        <v>128</v>
      </c>
      <c r="F22" s="236">
        <f t="shared" si="1"/>
        <v>129.5</v>
      </c>
      <c r="G22" s="237">
        <f t="shared" si="2"/>
        <v>106187.58262510828</v>
      </c>
      <c r="H22" s="59"/>
      <c r="I22" s="44" t="s">
        <v>121</v>
      </c>
      <c r="J22" s="59">
        <f t="shared" si="3"/>
        <v>0</v>
      </c>
      <c r="K22" s="165">
        <f t="shared" si="0"/>
        <v>0</v>
      </c>
    </row>
    <row r="23" spans="1:11" x14ac:dyDescent="0.25">
      <c r="A23" s="226" t="s">
        <v>46</v>
      </c>
      <c r="B23" s="145">
        <v>1</v>
      </c>
      <c r="C23" s="145">
        <v>5</v>
      </c>
      <c r="D23" s="145">
        <v>24000</v>
      </c>
      <c r="E23" s="245">
        <v>10594</v>
      </c>
      <c r="F23" s="227">
        <f t="shared" si="1"/>
        <v>17297</v>
      </c>
      <c r="G23" s="228">
        <f t="shared" si="2"/>
        <v>2958865.9186088797</v>
      </c>
      <c r="H23" s="59"/>
      <c r="I23" s="44" t="s">
        <v>122</v>
      </c>
      <c r="J23" s="59">
        <f t="shared" si="3"/>
        <v>0</v>
      </c>
      <c r="K23" s="165">
        <f t="shared" si="0"/>
        <v>0</v>
      </c>
    </row>
    <row r="24" spans="1:11" x14ac:dyDescent="0.25">
      <c r="A24" s="232" t="s">
        <v>46</v>
      </c>
      <c r="B24" s="1">
        <v>1</v>
      </c>
      <c r="C24" s="1">
        <v>5</v>
      </c>
      <c r="D24" s="1">
        <v>16000</v>
      </c>
      <c r="E24" s="247">
        <v>10073</v>
      </c>
      <c r="F24" s="233">
        <f t="shared" si="1"/>
        <v>13036.5</v>
      </c>
      <c r="G24" s="234">
        <f t="shared" si="2"/>
        <v>2441401.4573095851</v>
      </c>
      <c r="H24" s="59"/>
      <c r="I24" s="44" t="s">
        <v>56</v>
      </c>
      <c r="J24" s="59">
        <f t="shared" si="3"/>
        <v>16404721.050152671</v>
      </c>
      <c r="K24" s="165">
        <f t="shared" si="0"/>
        <v>16405094.700152671</v>
      </c>
    </row>
    <row r="25" spans="1:11" x14ac:dyDescent="0.25">
      <c r="A25" s="232" t="s">
        <v>46</v>
      </c>
      <c r="B25" s="1">
        <v>1</v>
      </c>
      <c r="C25" s="1">
        <v>5</v>
      </c>
      <c r="D25" s="1">
        <v>2200</v>
      </c>
      <c r="E25" s="247">
        <v>1190</v>
      </c>
      <c r="F25" s="233">
        <f t="shared" si="1"/>
        <v>1695</v>
      </c>
      <c r="G25" s="234">
        <f t="shared" si="2"/>
        <v>610017.52142895886</v>
      </c>
      <c r="H25" s="59"/>
      <c r="I25" s="44" t="s">
        <v>57</v>
      </c>
      <c r="J25" s="59">
        <f t="shared" si="3"/>
        <v>26936936.066275384</v>
      </c>
      <c r="K25" s="165">
        <f t="shared" si="0"/>
        <v>26937309.716275383</v>
      </c>
    </row>
    <row r="26" spans="1:11" ht="15.75" thickBot="1" x14ac:dyDescent="0.3">
      <c r="A26" s="235" t="s">
        <v>46</v>
      </c>
      <c r="B26" s="147">
        <v>1</v>
      </c>
      <c r="C26" s="147">
        <v>4</v>
      </c>
      <c r="D26" s="147">
        <v>150</v>
      </c>
      <c r="E26" s="249">
        <v>76</v>
      </c>
      <c r="F26" s="236">
        <f t="shared" si="1"/>
        <v>113</v>
      </c>
      <c r="G26" s="237">
        <f t="shared" si="2"/>
        <v>81554.758644347065</v>
      </c>
      <c r="H26" s="59"/>
      <c r="I26" s="44" t="s">
        <v>58</v>
      </c>
      <c r="J26" s="59">
        <f t="shared" si="3"/>
        <v>5445776.6667922633</v>
      </c>
      <c r="K26" s="165">
        <f t="shared" si="0"/>
        <v>5446150.3167922636</v>
      </c>
    </row>
    <row r="27" spans="1:11" x14ac:dyDescent="0.25">
      <c r="A27" s="226" t="s">
        <v>44</v>
      </c>
      <c r="B27" s="148">
        <v>1</v>
      </c>
      <c r="C27" s="149">
        <v>5</v>
      </c>
      <c r="D27" s="149">
        <v>10000</v>
      </c>
      <c r="E27" s="150">
        <v>5049</v>
      </c>
      <c r="F27" s="227">
        <f t="shared" ref="F27:F44" si="4">(D27+E27)/2</f>
        <v>7524.5</v>
      </c>
      <c r="G27" s="228">
        <f t="shared" ref="G27:G43" si="5">IF(C27=1,1581.92*(F27^0.6798),IF(C27=2,2991.14*(F27^0.6798),IF(C27=3,3113.49*(F27^0.6798),IF(C27=4,3279.19*(F27^0.6798),IF(C27=5, IF(B27=1,3891.82*(F27^0.6798),IF(B27=2,4076.24*(F27^0.6798),0)),0)))))</f>
        <v>1680282.2887917268</v>
      </c>
      <c r="H27" s="59"/>
      <c r="I27" s="44" t="s">
        <v>60</v>
      </c>
      <c r="J27" s="59">
        <f t="shared" si="3"/>
        <v>15734792.486542301</v>
      </c>
      <c r="K27" s="165">
        <f t="shared" si="0"/>
        <v>15735166.136542302</v>
      </c>
    </row>
    <row r="28" spans="1:11" x14ac:dyDescent="0.25">
      <c r="A28" s="232" t="s">
        <v>44</v>
      </c>
      <c r="B28" s="2">
        <v>2</v>
      </c>
      <c r="C28" s="3">
        <v>5</v>
      </c>
      <c r="D28" s="3">
        <v>21560</v>
      </c>
      <c r="E28" s="102">
        <v>13540</v>
      </c>
      <c r="F28" s="233">
        <f t="shared" si="4"/>
        <v>17550</v>
      </c>
      <c r="G28" s="234">
        <f t="shared" si="5"/>
        <v>3129819.7959106946</v>
      </c>
      <c r="H28" s="59"/>
      <c r="I28" s="44" t="s">
        <v>62</v>
      </c>
      <c r="J28" s="59">
        <f t="shared" si="3"/>
        <v>5834119.8095384073</v>
      </c>
      <c r="K28" s="165">
        <f t="shared" si="0"/>
        <v>5834493.4595384076</v>
      </c>
    </row>
    <row r="29" spans="1:11" x14ac:dyDescent="0.25">
      <c r="A29" s="232" t="s">
        <v>44</v>
      </c>
      <c r="B29" s="2">
        <v>1</v>
      </c>
      <c r="C29" s="3">
        <v>5</v>
      </c>
      <c r="D29" s="3">
        <v>48000</v>
      </c>
      <c r="E29" s="102">
        <v>13196</v>
      </c>
      <c r="F29" s="233">
        <f t="shared" si="4"/>
        <v>30598</v>
      </c>
      <c r="G29" s="234">
        <f t="shared" si="5"/>
        <v>4360405.4557448402</v>
      </c>
      <c r="H29" s="59"/>
      <c r="I29" s="44" t="s">
        <v>114</v>
      </c>
      <c r="J29" s="59">
        <f t="shared" si="3"/>
        <v>8146796.9689618433</v>
      </c>
      <c r="K29" s="165">
        <f t="shared" si="0"/>
        <v>8147170.6189618437</v>
      </c>
    </row>
    <row r="30" spans="1:11" x14ac:dyDescent="0.25">
      <c r="A30" s="232" t="s">
        <v>44</v>
      </c>
      <c r="B30" s="2">
        <v>1</v>
      </c>
      <c r="C30" s="3">
        <v>5</v>
      </c>
      <c r="D30" s="3">
        <v>24000</v>
      </c>
      <c r="E30" s="102">
        <v>10141</v>
      </c>
      <c r="F30" s="233">
        <f t="shared" si="4"/>
        <v>17070.5</v>
      </c>
      <c r="G30" s="234">
        <f t="shared" si="5"/>
        <v>2932471.1004113303</v>
      </c>
      <c r="H30" s="59"/>
      <c r="I30" s="44" t="s">
        <v>74</v>
      </c>
      <c r="J30" s="59">
        <f t="shared" si="3"/>
        <v>12632921.365374677</v>
      </c>
      <c r="K30" s="165">
        <f t="shared" si="0"/>
        <v>12633295.015374677</v>
      </c>
    </row>
    <row r="31" spans="1:11" x14ac:dyDescent="0.25">
      <c r="A31" s="232" t="s">
        <v>44</v>
      </c>
      <c r="B31" s="2">
        <v>1</v>
      </c>
      <c r="C31" s="3">
        <v>2</v>
      </c>
      <c r="D31" s="3">
        <v>100</v>
      </c>
      <c r="E31" s="102"/>
      <c r="F31" s="233">
        <f t="shared" si="4"/>
        <v>50</v>
      </c>
      <c r="G31" s="234">
        <f t="shared" si="5"/>
        <v>42736.263611964467</v>
      </c>
      <c r="H31" s="59"/>
      <c r="I31" s="250" t="s">
        <v>77</v>
      </c>
      <c r="J31" s="59">
        <f t="shared" si="3"/>
        <v>64461374.465588138</v>
      </c>
      <c r="K31" s="165">
        <f t="shared" si="0"/>
        <v>64461748.115588136</v>
      </c>
    </row>
    <row r="32" spans="1:11" x14ac:dyDescent="0.25">
      <c r="A32" s="232" t="s">
        <v>44</v>
      </c>
      <c r="B32" s="2">
        <v>1</v>
      </c>
      <c r="C32" s="3">
        <v>1</v>
      </c>
      <c r="D32" s="3">
        <v>35</v>
      </c>
      <c r="E32" s="102"/>
      <c r="F32" s="233">
        <f t="shared" si="4"/>
        <v>17.5</v>
      </c>
      <c r="G32" s="234">
        <f t="shared" si="5"/>
        <v>11071.380640201993</v>
      </c>
      <c r="H32" s="59"/>
      <c r="I32" s="44" t="s">
        <v>115</v>
      </c>
      <c r="J32" s="59">
        <f t="shared" si="3"/>
        <v>805753.41628227383</v>
      </c>
      <c r="K32" s="165">
        <f t="shared" si="0"/>
        <v>806127.06628227385</v>
      </c>
    </row>
    <row r="33" spans="1:11" x14ac:dyDescent="0.25">
      <c r="A33" s="232" t="s">
        <v>44</v>
      </c>
      <c r="B33" s="2">
        <v>1</v>
      </c>
      <c r="C33" s="3">
        <v>2</v>
      </c>
      <c r="D33" s="3">
        <v>50</v>
      </c>
      <c r="E33" s="102"/>
      <c r="F33" s="233">
        <f t="shared" si="4"/>
        <v>25</v>
      </c>
      <c r="G33" s="234">
        <f t="shared" si="5"/>
        <v>26678.189832436259</v>
      </c>
      <c r="H33" s="59"/>
      <c r="I33" s="44" t="s">
        <v>63</v>
      </c>
      <c r="J33" s="59">
        <f t="shared" si="3"/>
        <v>13851369.14027093</v>
      </c>
      <c r="K33" s="165">
        <f t="shared" si="0"/>
        <v>13851742.79027093</v>
      </c>
    </row>
    <row r="34" spans="1:11" x14ac:dyDescent="0.25">
      <c r="A34" s="232" t="s">
        <v>44</v>
      </c>
      <c r="B34" s="2">
        <v>1</v>
      </c>
      <c r="C34" s="3">
        <v>2</v>
      </c>
      <c r="D34" s="3">
        <v>50</v>
      </c>
      <c r="E34" s="102"/>
      <c r="F34" s="233">
        <f t="shared" si="4"/>
        <v>25</v>
      </c>
      <c r="G34" s="234">
        <f t="shared" si="5"/>
        <v>26678.189832436259</v>
      </c>
      <c r="H34" s="59"/>
      <c r="I34" s="44" t="s">
        <v>64</v>
      </c>
      <c r="J34" s="59">
        <f t="shared" si="3"/>
        <v>10718327.027019169</v>
      </c>
      <c r="K34" s="165">
        <f t="shared" ref="K34:K39" si="6">IF(J34&gt;0,J34+373.65,0)</f>
        <v>10718700.67701917</v>
      </c>
    </row>
    <row r="35" spans="1:11" x14ac:dyDescent="0.25">
      <c r="A35" s="232" t="s">
        <v>44</v>
      </c>
      <c r="B35" s="2">
        <v>1</v>
      </c>
      <c r="C35" s="3">
        <v>5</v>
      </c>
      <c r="D35" s="3">
        <v>5400</v>
      </c>
      <c r="E35" s="102">
        <v>2536</v>
      </c>
      <c r="F35" s="233">
        <f t="shared" si="4"/>
        <v>3968</v>
      </c>
      <c r="G35" s="234">
        <f t="shared" si="5"/>
        <v>1087581.376969497</v>
      </c>
      <c r="H35" s="59"/>
      <c r="I35" s="44" t="s">
        <v>65</v>
      </c>
      <c r="J35" s="59">
        <f t="shared" si="3"/>
        <v>10932951.536828352</v>
      </c>
      <c r="K35" s="165">
        <f t="shared" si="6"/>
        <v>10933325.186828353</v>
      </c>
    </row>
    <row r="36" spans="1:11" ht="15.75" thickBot="1" x14ac:dyDescent="0.3">
      <c r="A36" s="235" t="s">
        <v>44</v>
      </c>
      <c r="B36" s="140">
        <v>1</v>
      </c>
      <c r="C36" s="141">
        <v>5</v>
      </c>
      <c r="D36" s="141">
        <v>2540</v>
      </c>
      <c r="E36" s="142">
        <v>1038</v>
      </c>
      <c r="F36" s="236">
        <f t="shared" si="4"/>
        <v>1789</v>
      </c>
      <c r="G36" s="237">
        <f t="shared" si="5"/>
        <v>632815.71417245839</v>
      </c>
      <c r="H36" s="59"/>
      <c r="I36" s="44" t="s">
        <v>66</v>
      </c>
      <c r="J36" s="59">
        <f t="shared" si="3"/>
        <v>6354319.2617957154</v>
      </c>
      <c r="K36" s="165">
        <f t="shared" si="6"/>
        <v>6354692.9117957158</v>
      </c>
    </row>
    <row r="37" spans="1:11" x14ac:dyDescent="0.25">
      <c r="A37" s="226" t="s">
        <v>45</v>
      </c>
      <c r="B37" s="148">
        <v>2</v>
      </c>
      <c r="C37" s="149">
        <v>5</v>
      </c>
      <c r="D37" s="149">
        <v>110000</v>
      </c>
      <c r="E37" s="150">
        <v>120428</v>
      </c>
      <c r="F37" s="227">
        <f t="shared" si="4"/>
        <v>115214</v>
      </c>
      <c r="G37" s="228">
        <f t="shared" si="5"/>
        <v>11247888.91436596</v>
      </c>
      <c r="H37" s="59"/>
      <c r="I37" s="44" t="s">
        <v>67</v>
      </c>
      <c r="J37" s="59">
        <f t="shared" si="3"/>
        <v>9790290.3812543992</v>
      </c>
      <c r="K37" s="165">
        <f t="shared" si="6"/>
        <v>9790664.0312543996</v>
      </c>
    </row>
    <row r="38" spans="1:11" x14ac:dyDescent="0.25">
      <c r="A38" s="232" t="s">
        <v>45</v>
      </c>
      <c r="B38" s="2">
        <v>2</v>
      </c>
      <c r="C38" s="3">
        <v>5</v>
      </c>
      <c r="D38" s="3">
        <v>6300</v>
      </c>
      <c r="E38" s="102">
        <v>5972</v>
      </c>
      <c r="F38" s="233">
        <f t="shared" si="4"/>
        <v>6136</v>
      </c>
      <c r="G38" s="234">
        <f t="shared" si="5"/>
        <v>1532019.1994293409</v>
      </c>
      <c r="H38" s="59"/>
      <c r="I38" s="44" t="s">
        <v>68</v>
      </c>
      <c r="J38" s="59">
        <f t="shared" si="3"/>
        <v>15764240.443213848</v>
      </c>
      <c r="K38" s="165">
        <f t="shared" si="6"/>
        <v>15764614.093213849</v>
      </c>
    </row>
    <row r="39" spans="1:11" x14ac:dyDescent="0.25">
      <c r="A39" s="232" t="s">
        <v>45</v>
      </c>
      <c r="B39" s="2">
        <v>2</v>
      </c>
      <c r="C39" s="3">
        <v>5</v>
      </c>
      <c r="D39" s="3">
        <v>2610</v>
      </c>
      <c r="E39" s="102">
        <v>2144</v>
      </c>
      <c r="F39" s="233">
        <f t="shared" si="4"/>
        <v>2377</v>
      </c>
      <c r="G39" s="234">
        <f t="shared" si="5"/>
        <v>804052.45838229486</v>
      </c>
      <c r="H39" s="59"/>
      <c r="I39" s="44" t="s">
        <v>69</v>
      </c>
      <c r="J39" s="59">
        <f t="shared" si="3"/>
        <v>3602983.5739353406</v>
      </c>
      <c r="K39" s="165">
        <f t="shared" si="6"/>
        <v>3603357.2239353405</v>
      </c>
    </row>
    <row r="40" spans="1:11" x14ac:dyDescent="0.25">
      <c r="A40" s="232" t="s">
        <v>45</v>
      </c>
      <c r="B40" s="2">
        <v>1</v>
      </c>
      <c r="C40" s="3">
        <v>3</v>
      </c>
      <c r="D40" s="3">
        <v>750</v>
      </c>
      <c r="E40" s="102">
        <v>818</v>
      </c>
      <c r="F40" s="233">
        <f t="shared" si="4"/>
        <v>784</v>
      </c>
      <c r="G40" s="234">
        <f t="shared" si="5"/>
        <v>288937.24971998384</v>
      </c>
      <c r="H40" s="59"/>
      <c r="I40" s="285" t="s">
        <v>161</v>
      </c>
      <c r="J40" s="304">
        <f t="shared" ref="J40" si="7">SUMIF($A$2:$A$350,I40,$G$2:$G$350)</f>
        <v>23389058.316303775</v>
      </c>
      <c r="K40" s="177">
        <f t="shared" ref="K40" si="8">IF(J40&gt;0,J40+373.65,0)</f>
        <v>23389431.966303773</v>
      </c>
    </row>
    <row r="41" spans="1:11" x14ac:dyDescent="0.25">
      <c r="A41" s="232" t="s">
        <v>45</v>
      </c>
      <c r="B41" s="2">
        <v>1</v>
      </c>
      <c r="C41" s="3">
        <v>5</v>
      </c>
      <c r="D41" s="3">
        <v>7700</v>
      </c>
      <c r="E41" s="102">
        <v>2876</v>
      </c>
      <c r="F41" s="233">
        <f t="shared" si="4"/>
        <v>5288</v>
      </c>
      <c r="G41" s="234">
        <f t="shared" si="5"/>
        <v>1322045.1001282826</v>
      </c>
      <c r="H41" s="59"/>
      <c r="I41" s="285" t="s">
        <v>70</v>
      </c>
      <c r="J41" s="304">
        <f t="shared" ref="J41:J62" si="9">SUMIF($A$2:$A$350,I41,$G$2:$G$350)</f>
        <v>0</v>
      </c>
      <c r="K41" s="177">
        <f t="shared" ref="K41:K62" si="10">IF(J41&gt;0,J41+373.65,0)</f>
        <v>0</v>
      </c>
    </row>
    <row r="42" spans="1:11" x14ac:dyDescent="0.25">
      <c r="A42" s="232" t="s">
        <v>45</v>
      </c>
      <c r="B42" s="2">
        <v>2</v>
      </c>
      <c r="C42" s="3">
        <v>5</v>
      </c>
      <c r="D42" s="3">
        <v>7735</v>
      </c>
      <c r="E42" s="102">
        <v>2133</v>
      </c>
      <c r="F42" s="233">
        <f t="shared" si="4"/>
        <v>4934</v>
      </c>
      <c r="G42" s="234">
        <f t="shared" si="5"/>
        <v>1320980.860595227</v>
      </c>
      <c r="H42" s="59"/>
      <c r="I42" s="44" t="s">
        <v>71</v>
      </c>
      <c r="J42" s="59">
        <f t="shared" si="9"/>
        <v>10653375.809629982</v>
      </c>
      <c r="K42" s="165">
        <f t="shared" si="10"/>
        <v>10653749.459629983</v>
      </c>
    </row>
    <row r="43" spans="1:11" ht="15.75" thickBot="1" x14ac:dyDescent="0.3">
      <c r="A43" s="235" t="s">
        <v>45</v>
      </c>
      <c r="B43" s="140">
        <v>1</v>
      </c>
      <c r="C43" s="141">
        <v>5</v>
      </c>
      <c r="D43" s="141">
        <v>23000</v>
      </c>
      <c r="E43" s="142">
        <v>11119</v>
      </c>
      <c r="F43" s="236">
        <f t="shared" si="4"/>
        <v>17059.5</v>
      </c>
      <c r="G43" s="237">
        <f t="shared" si="5"/>
        <v>2931186.387291545</v>
      </c>
      <c r="H43" s="59"/>
      <c r="I43" s="44" t="s">
        <v>87</v>
      </c>
      <c r="J43" s="59">
        <f t="shared" si="9"/>
        <v>886946.92461545835</v>
      </c>
      <c r="K43" s="165">
        <f t="shared" si="10"/>
        <v>887320.57461545838</v>
      </c>
    </row>
    <row r="44" spans="1:11" x14ac:dyDescent="0.25">
      <c r="A44" s="226" t="s">
        <v>48</v>
      </c>
      <c r="B44" s="148">
        <v>1</v>
      </c>
      <c r="C44" s="149">
        <v>5</v>
      </c>
      <c r="D44" s="149">
        <v>6500</v>
      </c>
      <c r="E44" s="150">
        <v>3539</v>
      </c>
      <c r="F44" s="227">
        <f t="shared" si="4"/>
        <v>5019.5</v>
      </c>
      <c r="G44" s="228">
        <f t="shared" ref="G44:G68" si="11">IF(C44=1,1581.92*(F44^0.6798),IF(C44=2,2991.14*(F44^0.6798),IF(C44=3,3113.49*(F44^0.6798),IF(C44=4,3279.19*(F44^0.6798),IF(C44=5, IF(B44=1,3891.82*(F44^0.6798),IF(B44=2,4076.24*(F44^0.6798),0)),0)))))</f>
        <v>1276032.4691039084</v>
      </c>
      <c r="H44" s="59"/>
      <c r="I44" s="44" t="s">
        <v>72</v>
      </c>
      <c r="J44" s="59">
        <f t="shared" si="9"/>
        <v>17778897.016418997</v>
      </c>
      <c r="K44" s="165">
        <f t="shared" si="10"/>
        <v>17779270.666418996</v>
      </c>
    </row>
    <row r="45" spans="1:11" x14ac:dyDescent="0.25">
      <c r="A45" s="232" t="s">
        <v>48</v>
      </c>
      <c r="B45" s="2">
        <v>2</v>
      </c>
      <c r="C45" s="3">
        <v>5</v>
      </c>
      <c r="D45" s="3">
        <v>43000</v>
      </c>
      <c r="E45" s="102">
        <v>20457</v>
      </c>
      <c r="F45" s="233">
        <f t="shared" ref="F45:F68" si="12">(D45+E45)/2</f>
        <v>31728.5</v>
      </c>
      <c r="G45" s="234">
        <f t="shared" si="11"/>
        <v>4681070.0937251877</v>
      </c>
      <c r="H45" s="59"/>
      <c r="I45" s="44" t="s">
        <v>88</v>
      </c>
      <c r="J45" s="59">
        <f t="shared" si="9"/>
        <v>21722058.860492505</v>
      </c>
      <c r="K45" s="165">
        <f t="shared" si="10"/>
        <v>21722432.510492504</v>
      </c>
    </row>
    <row r="46" spans="1:11" x14ac:dyDescent="0.25">
      <c r="A46" s="232" t="s">
        <v>48</v>
      </c>
      <c r="B46" s="2">
        <v>2</v>
      </c>
      <c r="C46" s="3">
        <v>5</v>
      </c>
      <c r="D46" s="3">
        <v>12000</v>
      </c>
      <c r="E46" s="102">
        <v>6366</v>
      </c>
      <c r="F46" s="233">
        <f t="shared" si="12"/>
        <v>9183</v>
      </c>
      <c r="G46" s="234">
        <f t="shared" si="11"/>
        <v>2015100.2959656632</v>
      </c>
      <c r="H46" s="59"/>
      <c r="I46" s="44" t="s">
        <v>73</v>
      </c>
      <c r="J46" s="59">
        <f t="shared" si="9"/>
        <v>7379949.0901163211</v>
      </c>
      <c r="K46" s="165">
        <f t="shared" si="10"/>
        <v>7380322.7401163215</v>
      </c>
    </row>
    <row r="47" spans="1:11" x14ac:dyDescent="0.25">
      <c r="A47" s="232" t="s">
        <v>48</v>
      </c>
      <c r="B47" s="2">
        <v>1</v>
      </c>
      <c r="C47" s="3">
        <v>5</v>
      </c>
      <c r="D47" s="3">
        <v>13000</v>
      </c>
      <c r="E47" s="102">
        <v>4919</v>
      </c>
      <c r="F47" s="233">
        <f t="shared" si="12"/>
        <v>8959.5</v>
      </c>
      <c r="G47" s="234">
        <f t="shared" si="11"/>
        <v>1891974.3967938593</v>
      </c>
      <c r="H47" s="59"/>
      <c r="I47" s="44" t="s">
        <v>75</v>
      </c>
      <c r="J47" s="59">
        <f t="shared" si="9"/>
        <v>6308136.5807803692</v>
      </c>
      <c r="K47" s="165">
        <f t="shared" si="10"/>
        <v>6308510.2307803696</v>
      </c>
    </row>
    <row r="48" spans="1:11" x14ac:dyDescent="0.25">
      <c r="A48" s="232" t="s">
        <v>48</v>
      </c>
      <c r="B48" s="2">
        <v>1</v>
      </c>
      <c r="C48" s="3">
        <v>3</v>
      </c>
      <c r="D48" s="3">
        <v>100</v>
      </c>
      <c r="E48" s="102">
        <v>127</v>
      </c>
      <c r="F48" s="233">
        <f t="shared" si="12"/>
        <v>113.5</v>
      </c>
      <c r="G48" s="234">
        <f t="shared" si="11"/>
        <v>77666.487035317143</v>
      </c>
      <c r="H48" s="59"/>
      <c r="I48" s="44" t="s">
        <v>76</v>
      </c>
      <c r="J48" s="59">
        <f t="shared" si="9"/>
        <v>8700495.5345265642</v>
      </c>
      <c r="K48" s="165">
        <f t="shared" si="10"/>
        <v>8700869.1845265646</v>
      </c>
    </row>
    <row r="49" spans="1:11" x14ac:dyDescent="0.25">
      <c r="A49" s="232" t="s">
        <v>48</v>
      </c>
      <c r="B49" s="2">
        <v>1</v>
      </c>
      <c r="C49" s="3">
        <v>5</v>
      </c>
      <c r="D49" s="3">
        <v>7000</v>
      </c>
      <c r="E49" s="102">
        <v>4705</v>
      </c>
      <c r="F49" s="233">
        <f t="shared" si="12"/>
        <v>5852.5</v>
      </c>
      <c r="G49" s="234">
        <f t="shared" si="11"/>
        <v>1416418.0238465508</v>
      </c>
      <c r="H49" s="59"/>
      <c r="I49" s="44" t="s">
        <v>89</v>
      </c>
      <c r="J49" s="59">
        <f t="shared" si="9"/>
        <v>15423884.824911201</v>
      </c>
      <c r="K49" s="165">
        <f t="shared" si="10"/>
        <v>15424258.474911202</v>
      </c>
    </row>
    <row r="50" spans="1:11" x14ac:dyDescent="0.25">
      <c r="A50" s="232" t="s">
        <v>48</v>
      </c>
      <c r="B50" s="2">
        <v>1</v>
      </c>
      <c r="C50" s="3">
        <v>5</v>
      </c>
      <c r="D50" s="3">
        <v>2500</v>
      </c>
      <c r="E50" s="102">
        <v>1526</v>
      </c>
      <c r="F50" s="233">
        <f t="shared" si="12"/>
        <v>2013</v>
      </c>
      <c r="G50" s="234">
        <f t="shared" si="11"/>
        <v>685655.15216007491</v>
      </c>
      <c r="H50" s="59"/>
      <c r="I50" s="44" t="s">
        <v>78</v>
      </c>
      <c r="J50" s="59">
        <f t="shared" si="9"/>
        <v>17680773.696592808</v>
      </c>
      <c r="K50" s="165">
        <f t="shared" si="10"/>
        <v>17681147.346592806</v>
      </c>
    </row>
    <row r="51" spans="1:11" ht="15.75" thickBot="1" x14ac:dyDescent="0.3">
      <c r="A51" s="235" t="s">
        <v>48</v>
      </c>
      <c r="B51" s="140">
        <v>1</v>
      </c>
      <c r="C51" s="141">
        <v>3</v>
      </c>
      <c r="D51" s="141">
        <v>50</v>
      </c>
      <c r="E51" s="142">
        <v>50</v>
      </c>
      <c r="F51" s="236">
        <f t="shared" si="12"/>
        <v>50</v>
      </c>
      <c r="G51" s="237">
        <f t="shared" si="11"/>
        <v>44484.353588670288</v>
      </c>
      <c r="H51" s="59"/>
      <c r="I51" s="44" t="s">
        <v>160</v>
      </c>
      <c r="J51" s="59">
        <f t="shared" si="9"/>
        <v>24853062.237068228</v>
      </c>
      <c r="K51" s="165">
        <f t="shared" si="10"/>
        <v>24853435.887068227</v>
      </c>
    </row>
    <row r="52" spans="1:11" ht="15.75" thickBot="1" x14ac:dyDescent="0.3">
      <c r="A52" s="251" t="s">
        <v>113</v>
      </c>
      <c r="B52" s="252">
        <v>2</v>
      </c>
      <c r="C52" s="253">
        <v>5</v>
      </c>
      <c r="D52" s="253">
        <v>30000</v>
      </c>
      <c r="E52" s="254">
        <v>17774</v>
      </c>
      <c r="F52" s="255">
        <f t="shared" si="12"/>
        <v>23887</v>
      </c>
      <c r="G52" s="256">
        <f t="shared" si="11"/>
        <v>3859526.334385654</v>
      </c>
      <c r="H52" s="59"/>
      <c r="I52" s="44" t="s">
        <v>79</v>
      </c>
      <c r="J52" s="59">
        <f t="shared" si="9"/>
        <v>0</v>
      </c>
      <c r="K52" s="165">
        <f t="shared" si="10"/>
        <v>0</v>
      </c>
    </row>
    <row r="53" spans="1:11" ht="15.75" thickBot="1" x14ac:dyDescent="0.3">
      <c r="A53" s="257" t="s">
        <v>55</v>
      </c>
      <c r="B53" s="258">
        <v>2</v>
      </c>
      <c r="C53" s="258">
        <v>5</v>
      </c>
      <c r="D53" s="258">
        <v>60000</v>
      </c>
      <c r="E53" s="259">
        <v>48132</v>
      </c>
      <c r="F53" s="255">
        <f t="shared" si="12"/>
        <v>54066</v>
      </c>
      <c r="G53" s="256">
        <f t="shared" si="11"/>
        <v>6725144.8799016988</v>
      </c>
      <c r="H53" s="59"/>
      <c r="I53" s="44" t="s">
        <v>90</v>
      </c>
      <c r="J53" s="59">
        <f t="shared" si="9"/>
        <v>13093021.163804345</v>
      </c>
      <c r="K53" s="165">
        <f t="shared" si="10"/>
        <v>13093394.813804345</v>
      </c>
    </row>
    <row r="54" spans="1:11" x14ac:dyDescent="0.25">
      <c r="A54" s="226" t="s">
        <v>51</v>
      </c>
      <c r="B54" s="148">
        <v>2</v>
      </c>
      <c r="C54" s="149">
        <v>5</v>
      </c>
      <c r="D54" s="149">
        <v>100000</v>
      </c>
      <c r="E54" s="150">
        <v>48293</v>
      </c>
      <c r="F54" s="227">
        <f t="shared" si="12"/>
        <v>74146.5</v>
      </c>
      <c r="G54" s="228">
        <f t="shared" si="11"/>
        <v>8335801.6868181527</v>
      </c>
      <c r="H54" s="59"/>
      <c r="I54" s="44" t="s">
        <v>91</v>
      </c>
      <c r="J54" s="59">
        <f t="shared" si="9"/>
        <v>7430017.5956864879</v>
      </c>
      <c r="K54" s="165">
        <f t="shared" si="10"/>
        <v>7430391.2456864882</v>
      </c>
    </row>
    <row r="55" spans="1:11" x14ac:dyDescent="0.25">
      <c r="A55" s="232" t="s">
        <v>51</v>
      </c>
      <c r="B55" s="2">
        <v>2</v>
      </c>
      <c r="C55" s="3">
        <v>5</v>
      </c>
      <c r="D55" s="3">
        <v>65000</v>
      </c>
      <c r="E55" s="102">
        <v>9308</v>
      </c>
      <c r="F55" s="233">
        <f t="shared" si="12"/>
        <v>37154</v>
      </c>
      <c r="G55" s="234">
        <f t="shared" si="11"/>
        <v>5211341.5478329007</v>
      </c>
      <c r="H55" s="59"/>
      <c r="I55" s="44" t="s">
        <v>80</v>
      </c>
      <c r="J55" s="59">
        <f t="shared" si="9"/>
        <v>0</v>
      </c>
      <c r="K55" s="165">
        <f t="shared" si="10"/>
        <v>0</v>
      </c>
    </row>
    <row r="56" spans="1:11" x14ac:dyDescent="0.25">
      <c r="A56" s="232" t="s">
        <v>51</v>
      </c>
      <c r="B56" s="2">
        <v>2</v>
      </c>
      <c r="C56" s="3">
        <v>5</v>
      </c>
      <c r="D56" s="3">
        <v>10000</v>
      </c>
      <c r="E56" s="102">
        <v>5940</v>
      </c>
      <c r="F56" s="233">
        <f t="shared" si="12"/>
        <v>7970</v>
      </c>
      <c r="G56" s="234">
        <f t="shared" si="11"/>
        <v>1830084.3757542684</v>
      </c>
      <c r="H56" s="59"/>
      <c r="I56" s="44" t="s">
        <v>81</v>
      </c>
      <c r="J56" s="59">
        <f t="shared" si="9"/>
        <v>19627493.320998095</v>
      </c>
      <c r="K56" s="165">
        <f t="shared" si="10"/>
        <v>19627866.970998093</v>
      </c>
    </row>
    <row r="57" spans="1:11" x14ac:dyDescent="0.25">
      <c r="A57" s="232" t="s">
        <v>51</v>
      </c>
      <c r="B57" s="2">
        <v>1</v>
      </c>
      <c r="C57" s="3">
        <v>2</v>
      </c>
      <c r="D57" s="3">
        <v>3760</v>
      </c>
      <c r="E57" s="102">
        <v>641</v>
      </c>
      <c r="F57" s="233">
        <f t="shared" si="12"/>
        <v>2200.5</v>
      </c>
      <c r="G57" s="234">
        <f t="shared" si="11"/>
        <v>559864.29293328675</v>
      </c>
      <c r="H57" s="59"/>
      <c r="I57" s="44" t="s">
        <v>82</v>
      </c>
      <c r="J57" s="59">
        <f t="shared" si="9"/>
        <v>19712248.354258914</v>
      </c>
      <c r="K57" s="165">
        <f t="shared" si="10"/>
        <v>19712622.004258912</v>
      </c>
    </row>
    <row r="58" spans="1:11" x14ac:dyDescent="0.25">
      <c r="A58" s="232" t="s">
        <v>51</v>
      </c>
      <c r="B58" s="2">
        <v>1</v>
      </c>
      <c r="C58" s="3">
        <v>4</v>
      </c>
      <c r="D58" s="3">
        <v>2100</v>
      </c>
      <c r="E58" s="102">
        <v>1042</v>
      </c>
      <c r="F58" s="233">
        <f t="shared" si="12"/>
        <v>1571</v>
      </c>
      <c r="G58" s="234">
        <f t="shared" si="11"/>
        <v>488120.61693603842</v>
      </c>
      <c r="H58" s="59"/>
      <c r="I58" s="44" t="s">
        <v>83</v>
      </c>
      <c r="J58" s="59">
        <f t="shared" si="9"/>
        <v>4124497.7862312142</v>
      </c>
      <c r="K58" s="165">
        <f t="shared" si="10"/>
        <v>4124871.4362312141</v>
      </c>
    </row>
    <row r="59" spans="1:11" x14ac:dyDescent="0.25">
      <c r="A59" s="232" t="s">
        <v>51</v>
      </c>
      <c r="B59" s="2">
        <v>1</v>
      </c>
      <c r="C59" s="3">
        <v>4</v>
      </c>
      <c r="D59" s="3">
        <v>2700</v>
      </c>
      <c r="E59" s="102">
        <v>2458</v>
      </c>
      <c r="F59" s="233">
        <f t="shared" si="12"/>
        <v>2579</v>
      </c>
      <c r="G59" s="234">
        <f t="shared" si="11"/>
        <v>683708.85284930735</v>
      </c>
      <c r="H59" s="59"/>
      <c r="I59" s="44" t="s">
        <v>84</v>
      </c>
      <c r="J59" s="59">
        <f t="shared" si="9"/>
        <v>0</v>
      </c>
      <c r="K59" s="165">
        <f t="shared" si="10"/>
        <v>0</v>
      </c>
    </row>
    <row r="60" spans="1:11" x14ac:dyDescent="0.25">
      <c r="A60" s="232" t="s">
        <v>51</v>
      </c>
      <c r="B60" s="2">
        <v>1</v>
      </c>
      <c r="C60" s="3">
        <v>4</v>
      </c>
      <c r="D60" s="3">
        <v>2500</v>
      </c>
      <c r="E60" s="102">
        <v>1267</v>
      </c>
      <c r="F60" s="233">
        <f t="shared" si="12"/>
        <v>1883.5</v>
      </c>
      <c r="G60" s="234">
        <f t="shared" si="11"/>
        <v>552189.58683616109</v>
      </c>
      <c r="H60" s="59"/>
      <c r="I60" s="44" t="s">
        <v>92</v>
      </c>
      <c r="J60" s="59">
        <f t="shared" si="9"/>
        <v>3200073.8230958958</v>
      </c>
      <c r="K60" s="165">
        <f t="shared" si="10"/>
        <v>3200447.4730958957</v>
      </c>
    </row>
    <row r="61" spans="1:11" x14ac:dyDescent="0.25">
      <c r="A61" s="232" t="s">
        <v>51</v>
      </c>
      <c r="B61" s="2">
        <v>1</v>
      </c>
      <c r="C61" s="3">
        <v>4</v>
      </c>
      <c r="D61" s="3">
        <v>1200</v>
      </c>
      <c r="E61" s="102">
        <v>324</v>
      </c>
      <c r="F61" s="233">
        <f t="shared" si="12"/>
        <v>762</v>
      </c>
      <c r="G61" s="234">
        <f t="shared" si="11"/>
        <v>298482.97894135996</v>
      </c>
      <c r="H61" s="59"/>
      <c r="I61" s="44" t="s">
        <v>85</v>
      </c>
      <c r="J61" s="59">
        <f t="shared" si="9"/>
        <v>0</v>
      </c>
      <c r="K61" s="165">
        <f t="shared" si="10"/>
        <v>0</v>
      </c>
    </row>
    <row r="62" spans="1:11" ht="15.75" thickBot="1" x14ac:dyDescent="0.3">
      <c r="A62" s="232" t="s">
        <v>51</v>
      </c>
      <c r="B62" s="2">
        <v>1</v>
      </c>
      <c r="C62" s="3">
        <v>4</v>
      </c>
      <c r="D62" s="3">
        <v>1000</v>
      </c>
      <c r="E62" s="102">
        <v>467</v>
      </c>
      <c r="F62" s="233">
        <f t="shared" si="12"/>
        <v>733.5</v>
      </c>
      <c r="G62" s="234">
        <f t="shared" si="11"/>
        <v>290847.66482104041</v>
      </c>
      <c r="H62" s="59"/>
      <c r="I62" s="23" t="s">
        <v>86</v>
      </c>
      <c r="J62" s="260">
        <f t="shared" si="9"/>
        <v>27991122.804583527</v>
      </c>
      <c r="K62" s="167">
        <f t="shared" si="10"/>
        <v>27991496.454583526</v>
      </c>
    </row>
    <row r="63" spans="1:11" x14ac:dyDescent="0.25">
      <c r="A63" s="232" t="s">
        <v>51</v>
      </c>
      <c r="B63" s="2">
        <v>1</v>
      </c>
      <c r="C63" s="3">
        <v>4</v>
      </c>
      <c r="D63" s="3">
        <v>800</v>
      </c>
      <c r="E63" s="102">
        <v>222</v>
      </c>
      <c r="F63" s="233">
        <f t="shared" si="12"/>
        <v>511</v>
      </c>
      <c r="G63" s="234">
        <f t="shared" si="11"/>
        <v>227484.13236208545</v>
      </c>
      <c r="H63" s="59"/>
    </row>
    <row r="64" spans="1:11" x14ac:dyDescent="0.25">
      <c r="A64" s="232" t="s">
        <v>51</v>
      </c>
      <c r="B64" s="2">
        <v>1</v>
      </c>
      <c r="C64" s="3">
        <v>4</v>
      </c>
      <c r="D64" s="3">
        <v>400</v>
      </c>
      <c r="E64" s="102">
        <v>111</v>
      </c>
      <c r="F64" s="233">
        <f t="shared" si="12"/>
        <v>255.5</v>
      </c>
      <c r="G64" s="234">
        <f t="shared" si="11"/>
        <v>142007.38094763461</v>
      </c>
      <c r="H64" s="59"/>
    </row>
    <row r="65" spans="1:8" x14ac:dyDescent="0.25">
      <c r="A65" s="232" t="s">
        <v>51</v>
      </c>
      <c r="B65" s="2">
        <v>1</v>
      </c>
      <c r="C65" s="3">
        <v>4</v>
      </c>
      <c r="D65" s="3">
        <v>400</v>
      </c>
      <c r="E65" s="102">
        <v>155</v>
      </c>
      <c r="F65" s="233">
        <f t="shared" si="12"/>
        <v>277.5</v>
      </c>
      <c r="G65" s="234">
        <f t="shared" si="11"/>
        <v>150209.27840029541</v>
      </c>
      <c r="H65" s="59"/>
    </row>
    <row r="66" spans="1:8" x14ac:dyDescent="0.25">
      <c r="A66" s="232" t="s">
        <v>51</v>
      </c>
      <c r="B66" s="2">
        <v>1</v>
      </c>
      <c r="C66" s="3">
        <v>2</v>
      </c>
      <c r="D66" s="3">
        <v>4900</v>
      </c>
      <c r="E66" s="102">
        <v>1624</v>
      </c>
      <c r="F66" s="233">
        <f t="shared" si="12"/>
        <v>3262</v>
      </c>
      <c r="G66" s="234">
        <f t="shared" si="11"/>
        <v>731649.59137966507</v>
      </c>
      <c r="H66" s="59"/>
    </row>
    <row r="67" spans="1:8" x14ac:dyDescent="0.25">
      <c r="A67" s="232" t="s">
        <v>51</v>
      </c>
      <c r="B67" s="2">
        <v>1</v>
      </c>
      <c r="C67" s="3">
        <v>4</v>
      </c>
      <c r="D67" s="3">
        <v>160</v>
      </c>
      <c r="E67" s="102">
        <v>420</v>
      </c>
      <c r="F67" s="233">
        <f t="shared" si="12"/>
        <v>290</v>
      </c>
      <c r="G67" s="234">
        <f t="shared" si="11"/>
        <v>154776.39959268578</v>
      </c>
      <c r="H67" s="59"/>
    </row>
    <row r="68" spans="1:8" ht="15.75" thickBot="1" x14ac:dyDescent="0.3">
      <c r="A68" s="235" t="s">
        <v>51</v>
      </c>
      <c r="B68" s="140">
        <v>1</v>
      </c>
      <c r="C68" s="141">
        <v>4</v>
      </c>
      <c r="D68" s="141">
        <v>150</v>
      </c>
      <c r="E68" s="142">
        <v>216</v>
      </c>
      <c r="F68" s="236">
        <f t="shared" si="12"/>
        <v>183</v>
      </c>
      <c r="G68" s="237">
        <f t="shared" si="11"/>
        <v>113182.90374555896</v>
      </c>
      <c r="H68" s="59"/>
    </row>
    <row r="69" spans="1:8" ht="15.75" thickBot="1" x14ac:dyDescent="0.3">
      <c r="A69" s="44" t="s">
        <v>160</v>
      </c>
      <c r="B69" s="252">
        <v>2</v>
      </c>
      <c r="C69" s="253">
        <v>5</v>
      </c>
      <c r="D69" s="253">
        <v>130000</v>
      </c>
      <c r="E69" s="254">
        <v>4611</v>
      </c>
      <c r="F69" s="255">
        <f t="shared" ref="F69:F124" si="13">(D69+E69)/2</f>
        <v>67305.5</v>
      </c>
      <c r="G69" s="256">
        <f t="shared" ref="G69:G123" si="14">IF(C69=1,1581.92*(F69^0.6798),IF(C69=2,2991.14*(F69^0.6798),IF(C69=3,3113.49*(F69^0.6798),IF(C69=4,3279.19*(F69^0.6798),IF(C69=5, IF(B69=1,3891.82*(F69^0.6798),IF(B69=2,4076.24*(F69^0.6798),0)),0)))))</f>
        <v>7804921.0365237445</v>
      </c>
      <c r="H69" s="59"/>
    </row>
    <row r="70" spans="1:8" x14ac:dyDescent="0.25">
      <c r="A70" s="226" t="s">
        <v>59</v>
      </c>
      <c r="B70" s="145">
        <v>1</v>
      </c>
      <c r="C70" s="145">
        <v>5</v>
      </c>
      <c r="D70" s="145">
        <v>45000</v>
      </c>
      <c r="E70" s="245">
        <v>23182</v>
      </c>
      <c r="F70" s="227">
        <f t="shared" si="13"/>
        <v>34091</v>
      </c>
      <c r="G70" s="228">
        <f t="shared" si="14"/>
        <v>4692899.3653280148</v>
      </c>
      <c r="H70" s="59"/>
    </row>
    <row r="71" spans="1:8" x14ac:dyDescent="0.25">
      <c r="A71" s="232" t="s">
        <v>59</v>
      </c>
      <c r="B71" s="1">
        <v>1</v>
      </c>
      <c r="C71" s="1">
        <v>5</v>
      </c>
      <c r="D71" s="1">
        <v>22000</v>
      </c>
      <c r="E71" s="247">
        <v>20501</v>
      </c>
      <c r="F71" s="233">
        <f t="shared" si="13"/>
        <v>21250.5</v>
      </c>
      <c r="G71" s="234">
        <f t="shared" si="14"/>
        <v>3403284.8133059149</v>
      </c>
      <c r="H71" s="59"/>
    </row>
    <row r="72" spans="1:8" x14ac:dyDescent="0.25">
      <c r="A72" s="232" t="s">
        <v>59</v>
      </c>
      <c r="B72" s="1">
        <v>1</v>
      </c>
      <c r="C72" s="1">
        <v>5</v>
      </c>
      <c r="D72" s="1">
        <v>7500</v>
      </c>
      <c r="E72" s="247">
        <v>9586</v>
      </c>
      <c r="F72" s="233">
        <f t="shared" si="13"/>
        <v>8543</v>
      </c>
      <c r="G72" s="234">
        <f t="shared" si="14"/>
        <v>1831730.1749659146</v>
      </c>
      <c r="H72" s="59"/>
    </row>
    <row r="73" spans="1:8" x14ac:dyDescent="0.25">
      <c r="A73" s="232" t="s">
        <v>59</v>
      </c>
      <c r="B73" s="1">
        <v>1</v>
      </c>
      <c r="C73" s="1">
        <v>5</v>
      </c>
      <c r="D73" s="1">
        <v>6000</v>
      </c>
      <c r="E73" s="247">
        <v>4357</v>
      </c>
      <c r="F73" s="233">
        <f t="shared" si="13"/>
        <v>5178.5</v>
      </c>
      <c r="G73" s="234">
        <f t="shared" si="14"/>
        <v>1303372.674188368</v>
      </c>
      <c r="H73" s="59"/>
    </row>
    <row r="74" spans="1:8" x14ac:dyDescent="0.25">
      <c r="A74" s="232" t="s">
        <v>59</v>
      </c>
      <c r="B74" s="1">
        <v>1</v>
      </c>
      <c r="C74" s="1">
        <v>5</v>
      </c>
      <c r="D74" s="1">
        <v>7000</v>
      </c>
      <c r="E74" s="247">
        <v>5355</v>
      </c>
      <c r="F74" s="233">
        <f t="shared" si="13"/>
        <v>6177.5</v>
      </c>
      <c r="G74" s="234">
        <f t="shared" si="14"/>
        <v>1469424.4294363372</v>
      </c>
      <c r="H74" s="59"/>
    </row>
    <row r="75" spans="1:8" ht="15.75" thickBot="1" x14ac:dyDescent="0.3">
      <c r="A75" s="235" t="s">
        <v>59</v>
      </c>
      <c r="B75" s="147">
        <v>1</v>
      </c>
      <c r="C75" s="147">
        <v>5</v>
      </c>
      <c r="D75" s="147">
        <v>1000</v>
      </c>
      <c r="E75" s="249">
        <v>283</v>
      </c>
      <c r="F75" s="236">
        <f t="shared" si="13"/>
        <v>641.5</v>
      </c>
      <c r="G75" s="237">
        <f t="shared" si="14"/>
        <v>315126.57952135568</v>
      </c>
      <c r="H75" s="59"/>
    </row>
    <row r="76" spans="1:8" x14ac:dyDescent="0.25">
      <c r="A76" s="226" t="s">
        <v>53</v>
      </c>
      <c r="B76" s="148">
        <v>2</v>
      </c>
      <c r="C76" s="149">
        <v>5</v>
      </c>
      <c r="D76" s="149">
        <v>76300</v>
      </c>
      <c r="E76" s="150">
        <v>30650</v>
      </c>
      <c r="F76" s="227">
        <f t="shared" si="13"/>
        <v>53475</v>
      </c>
      <c r="G76" s="228">
        <f t="shared" si="14"/>
        <v>6675082.7758155307</v>
      </c>
      <c r="H76" s="59"/>
    </row>
    <row r="77" spans="1:8" x14ac:dyDescent="0.25">
      <c r="A77" s="232" t="s">
        <v>53</v>
      </c>
      <c r="B77" s="2">
        <v>2</v>
      </c>
      <c r="C77" s="3">
        <v>5</v>
      </c>
      <c r="D77" s="3">
        <v>25000</v>
      </c>
      <c r="E77" s="102">
        <v>12993</v>
      </c>
      <c r="F77" s="233">
        <f t="shared" si="13"/>
        <v>18996.5</v>
      </c>
      <c r="G77" s="234">
        <f t="shared" si="14"/>
        <v>3302950.4168280791</v>
      </c>
      <c r="H77" s="59"/>
    </row>
    <row r="78" spans="1:8" ht="15.75" thickBot="1" x14ac:dyDescent="0.3">
      <c r="A78" s="235" t="s">
        <v>53</v>
      </c>
      <c r="B78" s="140">
        <v>2</v>
      </c>
      <c r="C78" s="141">
        <v>5</v>
      </c>
      <c r="D78" s="141">
        <v>26000</v>
      </c>
      <c r="E78" s="142">
        <v>21151</v>
      </c>
      <c r="F78" s="236">
        <f t="shared" si="13"/>
        <v>23575.5</v>
      </c>
      <c r="G78" s="237">
        <f t="shared" si="14"/>
        <v>3825239.8769615907</v>
      </c>
      <c r="H78" s="59"/>
    </row>
    <row r="79" spans="1:8" x14ac:dyDescent="0.25">
      <c r="A79" s="226" t="s">
        <v>54</v>
      </c>
      <c r="B79" s="148">
        <v>2</v>
      </c>
      <c r="C79" s="149">
        <v>5</v>
      </c>
      <c r="D79" s="149">
        <v>175000</v>
      </c>
      <c r="E79" s="150">
        <v>212402</v>
      </c>
      <c r="F79" s="227">
        <f t="shared" si="13"/>
        <v>193701</v>
      </c>
      <c r="G79" s="228">
        <f t="shared" si="14"/>
        <v>16012236.158426877</v>
      </c>
      <c r="H79" s="59"/>
    </row>
    <row r="80" spans="1:8" x14ac:dyDescent="0.25">
      <c r="A80" s="232" t="s">
        <v>54</v>
      </c>
      <c r="B80" s="2">
        <v>1</v>
      </c>
      <c r="C80" s="3">
        <v>4</v>
      </c>
      <c r="D80" s="3">
        <v>7000</v>
      </c>
      <c r="E80" s="102">
        <v>5145</v>
      </c>
      <c r="F80" s="233">
        <f t="shared" si="13"/>
        <v>6072.5</v>
      </c>
      <c r="G80" s="234">
        <f t="shared" si="14"/>
        <v>1223770.0587706608</v>
      </c>
      <c r="H80" s="59"/>
    </row>
    <row r="81" spans="1:8" x14ac:dyDescent="0.25">
      <c r="A81" s="232" t="s">
        <v>54</v>
      </c>
      <c r="B81" s="2">
        <v>2</v>
      </c>
      <c r="C81" s="3">
        <v>5</v>
      </c>
      <c r="D81" s="3">
        <v>4500</v>
      </c>
      <c r="E81" s="102">
        <v>2120</v>
      </c>
      <c r="F81" s="233">
        <f t="shared" si="13"/>
        <v>3310</v>
      </c>
      <c r="G81" s="234">
        <f t="shared" si="14"/>
        <v>1007021.6708362149</v>
      </c>
      <c r="H81" s="59"/>
    </row>
    <row r="82" spans="1:8" x14ac:dyDescent="0.25">
      <c r="A82" s="232" t="s">
        <v>54</v>
      </c>
      <c r="B82" s="2">
        <v>1</v>
      </c>
      <c r="C82" s="3">
        <v>5</v>
      </c>
      <c r="D82" s="3">
        <v>1410</v>
      </c>
      <c r="E82" s="102">
        <v>2940</v>
      </c>
      <c r="F82" s="233">
        <f t="shared" si="13"/>
        <v>2175</v>
      </c>
      <c r="G82" s="234">
        <f t="shared" si="14"/>
        <v>722699.16243222996</v>
      </c>
      <c r="H82" s="59"/>
    </row>
    <row r="83" spans="1:8" x14ac:dyDescent="0.25">
      <c r="A83" s="232" t="s">
        <v>54</v>
      </c>
      <c r="B83" s="2">
        <v>1</v>
      </c>
      <c r="C83" s="3">
        <v>4</v>
      </c>
      <c r="D83" s="3">
        <v>460</v>
      </c>
      <c r="E83" s="102">
        <v>188</v>
      </c>
      <c r="F83" s="233">
        <f t="shared" si="13"/>
        <v>324</v>
      </c>
      <c r="G83" s="234">
        <f t="shared" si="14"/>
        <v>166891.83078656279</v>
      </c>
      <c r="H83" s="59"/>
    </row>
    <row r="84" spans="1:8" x14ac:dyDescent="0.25">
      <c r="A84" s="232" t="s">
        <v>54</v>
      </c>
      <c r="B84" s="2">
        <v>1</v>
      </c>
      <c r="C84" s="3">
        <v>5</v>
      </c>
      <c r="D84" s="3">
        <v>480</v>
      </c>
      <c r="E84" s="102">
        <v>256</v>
      </c>
      <c r="F84" s="233">
        <f t="shared" si="13"/>
        <v>368</v>
      </c>
      <c r="G84" s="234">
        <f t="shared" si="14"/>
        <v>215981.27106797631</v>
      </c>
      <c r="H84" s="59"/>
    </row>
    <row r="85" spans="1:8" x14ac:dyDescent="0.25">
      <c r="A85" s="232" t="s">
        <v>54</v>
      </c>
      <c r="B85" s="2">
        <v>1</v>
      </c>
      <c r="C85" s="3">
        <v>1</v>
      </c>
      <c r="D85" s="3">
        <v>200</v>
      </c>
      <c r="E85" s="102">
        <v>62</v>
      </c>
      <c r="F85" s="233">
        <f t="shared" si="13"/>
        <v>131</v>
      </c>
      <c r="G85" s="234">
        <f t="shared" si="14"/>
        <v>43501.631340800835</v>
      </c>
      <c r="H85" s="59"/>
    </row>
    <row r="86" spans="1:8" x14ac:dyDescent="0.25">
      <c r="A86" s="232" t="s">
        <v>54</v>
      </c>
      <c r="B86" s="2">
        <v>1</v>
      </c>
      <c r="C86" s="3">
        <v>5</v>
      </c>
      <c r="D86" s="3">
        <v>7000</v>
      </c>
      <c r="E86" s="102">
        <v>11260</v>
      </c>
      <c r="F86" s="233">
        <f t="shared" si="13"/>
        <v>9130</v>
      </c>
      <c r="G86" s="234">
        <f t="shared" si="14"/>
        <v>1916376.2509221113</v>
      </c>
      <c r="H86" s="59"/>
    </row>
    <row r="87" spans="1:8" x14ac:dyDescent="0.25">
      <c r="A87" s="232" t="s">
        <v>54</v>
      </c>
      <c r="B87" s="2">
        <v>1</v>
      </c>
      <c r="C87" s="3">
        <v>5</v>
      </c>
      <c r="D87" s="3">
        <v>1500</v>
      </c>
      <c r="E87" s="102">
        <v>2267</v>
      </c>
      <c r="F87" s="233">
        <f t="shared" si="13"/>
        <v>1883.5</v>
      </c>
      <c r="G87" s="234">
        <f t="shared" si="14"/>
        <v>655351.61971118127</v>
      </c>
      <c r="H87" s="59"/>
    </row>
    <row r="88" spans="1:8" x14ac:dyDescent="0.25">
      <c r="A88" s="232" t="s">
        <v>54</v>
      </c>
      <c r="B88" s="2">
        <v>1</v>
      </c>
      <c r="C88" s="3">
        <v>4</v>
      </c>
      <c r="D88" s="3">
        <v>130</v>
      </c>
      <c r="E88" s="102">
        <v>89</v>
      </c>
      <c r="F88" s="233">
        <f t="shared" si="13"/>
        <v>109.5</v>
      </c>
      <c r="G88" s="234">
        <f t="shared" si="14"/>
        <v>79828.928337817444</v>
      </c>
      <c r="H88" s="59"/>
    </row>
    <row r="89" spans="1:8" x14ac:dyDescent="0.25">
      <c r="A89" s="232" t="s">
        <v>54</v>
      </c>
      <c r="B89" s="2">
        <v>2</v>
      </c>
      <c r="C89" s="3">
        <v>4</v>
      </c>
      <c r="D89" s="3">
        <v>4464</v>
      </c>
      <c r="E89" s="102">
        <v>4866</v>
      </c>
      <c r="F89" s="233">
        <f t="shared" si="13"/>
        <v>4665</v>
      </c>
      <c r="G89" s="234">
        <f t="shared" si="14"/>
        <v>1022944.1693918406</v>
      </c>
      <c r="H89" s="59"/>
    </row>
    <row r="90" spans="1:8" x14ac:dyDescent="0.25">
      <c r="A90" s="232" t="s">
        <v>54</v>
      </c>
      <c r="B90" s="2">
        <v>1</v>
      </c>
      <c r="C90" s="3">
        <v>3</v>
      </c>
      <c r="D90" s="3">
        <v>480</v>
      </c>
      <c r="E90" s="102">
        <v>385</v>
      </c>
      <c r="F90" s="233">
        <f t="shared" si="13"/>
        <v>432.5</v>
      </c>
      <c r="G90" s="234">
        <f t="shared" si="14"/>
        <v>192837.20758824359</v>
      </c>
      <c r="H90" s="59"/>
    </row>
    <row r="91" spans="1:8" x14ac:dyDescent="0.25">
      <c r="A91" s="232" t="s">
        <v>54</v>
      </c>
      <c r="B91" s="2">
        <v>1</v>
      </c>
      <c r="C91" s="3">
        <v>3</v>
      </c>
      <c r="D91" s="3">
        <v>668</v>
      </c>
      <c r="E91" s="102">
        <v>215</v>
      </c>
      <c r="F91" s="233">
        <f t="shared" si="13"/>
        <v>441.5</v>
      </c>
      <c r="G91" s="234">
        <f t="shared" si="14"/>
        <v>195556.10131973485</v>
      </c>
      <c r="H91" s="59"/>
    </row>
    <row r="92" spans="1:8" ht="15.75" thickBot="1" x14ac:dyDescent="0.3">
      <c r="A92" s="235" t="s">
        <v>54</v>
      </c>
      <c r="B92" s="140">
        <v>1</v>
      </c>
      <c r="C92" s="141">
        <v>3</v>
      </c>
      <c r="D92" s="141">
        <v>645</v>
      </c>
      <c r="E92" s="142">
        <v>438</v>
      </c>
      <c r="F92" s="236">
        <f t="shared" si="13"/>
        <v>541.5</v>
      </c>
      <c r="G92" s="237">
        <f t="shared" si="14"/>
        <v>224671.35726768692</v>
      </c>
      <c r="H92" s="59"/>
    </row>
    <row r="93" spans="1:8" x14ac:dyDescent="0.25">
      <c r="A93" s="226" t="s">
        <v>61</v>
      </c>
      <c r="B93" s="145">
        <v>1</v>
      </c>
      <c r="C93" s="145">
        <v>5</v>
      </c>
      <c r="D93" s="145">
        <v>153000</v>
      </c>
      <c r="E93" s="245">
        <v>79562</v>
      </c>
      <c r="F93" s="227">
        <f t="shared" si="13"/>
        <v>116281</v>
      </c>
      <c r="G93" s="228">
        <f t="shared" si="14"/>
        <v>10806513.472792218</v>
      </c>
      <c r="H93" s="59"/>
    </row>
    <row r="94" spans="1:8" x14ac:dyDescent="0.25">
      <c r="A94" s="232" t="s">
        <v>61</v>
      </c>
      <c r="B94" s="1">
        <v>1</v>
      </c>
      <c r="C94" s="1">
        <v>5</v>
      </c>
      <c r="D94" s="1">
        <v>133000</v>
      </c>
      <c r="E94" s="247">
        <v>96096</v>
      </c>
      <c r="F94" s="233">
        <f t="shared" si="13"/>
        <v>114548</v>
      </c>
      <c r="G94" s="234">
        <f t="shared" si="14"/>
        <v>10696765.016215516</v>
      </c>
      <c r="H94" s="59"/>
    </row>
    <row r="95" spans="1:8" x14ac:dyDescent="0.25">
      <c r="A95" s="232" t="s">
        <v>61</v>
      </c>
      <c r="B95" s="1">
        <v>1</v>
      </c>
      <c r="C95" s="1">
        <v>5</v>
      </c>
      <c r="D95" s="1">
        <v>23000</v>
      </c>
      <c r="E95" s="247">
        <v>22320</v>
      </c>
      <c r="F95" s="233">
        <f t="shared" si="13"/>
        <v>22660</v>
      </c>
      <c r="G95" s="234">
        <f t="shared" si="14"/>
        <v>3555154.0930741364</v>
      </c>
      <c r="H95" s="59"/>
    </row>
    <row r="96" spans="1:8" x14ac:dyDescent="0.25">
      <c r="A96" s="232" t="s">
        <v>61</v>
      </c>
      <c r="B96" s="1">
        <v>1</v>
      </c>
      <c r="C96" s="1">
        <v>4</v>
      </c>
      <c r="D96" s="1">
        <v>10000</v>
      </c>
      <c r="E96" s="247">
        <v>4081</v>
      </c>
      <c r="F96" s="233">
        <f t="shared" si="13"/>
        <v>7040.5</v>
      </c>
      <c r="G96" s="234">
        <f t="shared" si="14"/>
        <v>1353216.99094223</v>
      </c>
      <c r="H96" s="59"/>
    </row>
    <row r="97" spans="1:8" x14ac:dyDescent="0.25">
      <c r="A97" s="232" t="s">
        <v>61</v>
      </c>
      <c r="B97" s="1">
        <v>1</v>
      </c>
      <c r="C97" s="1">
        <v>3</v>
      </c>
      <c r="D97" s="1">
        <v>7000</v>
      </c>
      <c r="E97" s="247">
        <v>380</v>
      </c>
      <c r="F97" s="233">
        <f t="shared" si="13"/>
        <v>3690</v>
      </c>
      <c r="G97" s="234">
        <f t="shared" si="14"/>
        <v>828155.70675465011</v>
      </c>
      <c r="H97" s="59"/>
    </row>
    <row r="98" spans="1:8" x14ac:dyDescent="0.25">
      <c r="A98" s="232" t="s">
        <v>61</v>
      </c>
      <c r="B98" s="1">
        <v>1</v>
      </c>
      <c r="C98" s="1">
        <v>3</v>
      </c>
      <c r="D98" s="1">
        <v>400</v>
      </c>
      <c r="E98" s="247">
        <v>249</v>
      </c>
      <c r="F98" s="233">
        <f t="shared" si="13"/>
        <v>324.5</v>
      </c>
      <c r="G98" s="234">
        <f t="shared" si="14"/>
        <v>158624.85167648675</v>
      </c>
      <c r="H98" s="59"/>
    </row>
    <row r="99" spans="1:8" x14ac:dyDescent="0.25">
      <c r="A99" s="232" t="s">
        <v>61</v>
      </c>
      <c r="B99" s="1">
        <v>1</v>
      </c>
      <c r="C99" s="1">
        <v>3</v>
      </c>
      <c r="D99" s="1">
        <v>100</v>
      </c>
      <c r="E99" s="247">
        <v>12</v>
      </c>
      <c r="F99" s="233">
        <f t="shared" si="13"/>
        <v>56</v>
      </c>
      <c r="G99" s="234">
        <f t="shared" si="14"/>
        <v>48046.935826734771</v>
      </c>
      <c r="H99" s="59"/>
    </row>
    <row r="100" spans="1:8" x14ac:dyDescent="0.25">
      <c r="A100" s="232" t="s">
        <v>61</v>
      </c>
      <c r="B100" s="1">
        <v>1</v>
      </c>
      <c r="C100" s="1">
        <v>3</v>
      </c>
      <c r="D100" s="1">
        <v>250</v>
      </c>
      <c r="E100" s="247">
        <v>154</v>
      </c>
      <c r="F100" s="233">
        <f t="shared" si="13"/>
        <v>202</v>
      </c>
      <c r="G100" s="234">
        <f t="shared" si="14"/>
        <v>114927.8642547818</v>
      </c>
      <c r="H100" s="59"/>
    </row>
    <row r="101" spans="1:8" x14ac:dyDescent="0.25">
      <c r="A101" s="232" t="s">
        <v>61</v>
      </c>
      <c r="B101" s="1">
        <v>1</v>
      </c>
      <c r="C101" s="1">
        <v>3</v>
      </c>
      <c r="D101" s="1">
        <v>150</v>
      </c>
      <c r="E101" s="247">
        <v>128</v>
      </c>
      <c r="F101" s="233">
        <f t="shared" si="13"/>
        <v>139</v>
      </c>
      <c r="G101" s="234">
        <f t="shared" si="14"/>
        <v>89139.241932555509</v>
      </c>
      <c r="H101" s="59"/>
    </row>
    <row r="102" spans="1:8" ht="15.75" thickBot="1" x14ac:dyDescent="0.3">
      <c r="A102" s="235" t="s">
        <v>61</v>
      </c>
      <c r="B102" s="147">
        <v>1</v>
      </c>
      <c r="C102" s="147">
        <v>3</v>
      </c>
      <c r="D102" s="147">
        <v>300</v>
      </c>
      <c r="E102" s="249">
        <v>139</v>
      </c>
      <c r="F102" s="236">
        <f t="shared" si="13"/>
        <v>219.5</v>
      </c>
      <c r="G102" s="237">
        <f t="shared" si="14"/>
        <v>121605.90523850282</v>
      </c>
      <c r="H102" s="59"/>
    </row>
    <row r="103" spans="1:8" x14ac:dyDescent="0.25">
      <c r="A103" s="226" t="s">
        <v>56</v>
      </c>
      <c r="B103" s="148">
        <v>2</v>
      </c>
      <c r="C103" s="149">
        <v>5</v>
      </c>
      <c r="D103" s="149">
        <v>60000</v>
      </c>
      <c r="E103" s="150">
        <v>61859</v>
      </c>
      <c r="F103" s="227">
        <f t="shared" si="13"/>
        <v>60929.5</v>
      </c>
      <c r="G103" s="228">
        <f t="shared" si="14"/>
        <v>7294332.5423181774</v>
      </c>
      <c r="H103" s="59"/>
    </row>
    <row r="104" spans="1:8" x14ac:dyDescent="0.25">
      <c r="A104" s="232" t="s">
        <v>56</v>
      </c>
      <c r="B104" s="2">
        <v>1</v>
      </c>
      <c r="C104" s="3">
        <v>5</v>
      </c>
      <c r="D104" s="3">
        <v>22500</v>
      </c>
      <c r="E104" s="102">
        <v>7722</v>
      </c>
      <c r="F104" s="233">
        <f t="shared" si="13"/>
        <v>15111</v>
      </c>
      <c r="G104" s="234">
        <f t="shared" si="14"/>
        <v>2699207.4673517467</v>
      </c>
      <c r="H104" s="59"/>
    </row>
    <row r="105" spans="1:8" x14ac:dyDescent="0.25">
      <c r="A105" s="232" t="s">
        <v>56</v>
      </c>
      <c r="B105" s="2">
        <v>1</v>
      </c>
      <c r="C105" s="3">
        <v>4</v>
      </c>
      <c r="D105" s="3">
        <v>10000</v>
      </c>
      <c r="E105" s="102">
        <v>3405</v>
      </c>
      <c r="F105" s="233">
        <f t="shared" si="13"/>
        <v>6702.5</v>
      </c>
      <c r="G105" s="234">
        <f t="shared" si="14"/>
        <v>1308706.8420565496</v>
      </c>
      <c r="H105" s="59"/>
    </row>
    <row r="106" spans="1:8" x14ac:dyDescent="0.25">
      <c r="A106" s="232" t="s">
        <v>56</v>
      </c>
      <c r="B106" s="2">
        <v>1</v>
      </c>
      <c r="C106" s="3">
        <v>5</v>
      </c>
      <c r="D106" s="3">
        <v>4800</v>
      </c>
      <c r="E106" s="102">
        <v>2012</v>
      </c>
      <c r="F106" s="233">
        <f t="shared" si="13"/>
        <v>3406</v>
      </c>
      <c r="G106" s="234">
        <f t="shared" si="14"/>
        <v>980330.81536236056</v>
      </c>
      <c r="H106" s="59"/>
    </row>
    <row r="107" spans="1:8" x14ac:dyDescent="0.25">
      <c r="A107" s="232" t="s">
        <v>56</v>
      </c>
      <c r="B107" s="2">
        <v>2</v>
      </c>
      <c r="C107" s="3">
        <v>5</v>
      </c>
      <c r="D107" s="3">
        <v>4000</v>
      </c>
      <c r="E107" s="102">
        <v>2993</v>
      </c>
      <c r="F107" s="233">
        <f t="shared" si="13"/>
        <v>3496.5</v>
      </c>
      <c r="G107" s="234">
        <f t="shared" si="14"/>
        <v>1045253.9606217066</v>
      </c>
      <c r="H107" s="59"/>
    </row>
    <row r="108" spans="1:8" x14ac:dyDescent="0.25">
      <c r="A108" s="232" t="s">
        <v>56</v>
      </c>
      <c r="B108" s="2">
        <v>1</v>
      </c>
      <c r="C108" s="3">
        <v>4</v>
      </c>
      <c r="D108" s="3">
        <v>2000</v>
      </c>
      <c r="E108" s="102">
        <v>866</v>
      </c>
      <c r="F108" s="233">
        <f t="shared" si="13"/>
        <v>1433</v>
      </c>
      <c r="G108" s="234">
        <f t="shared" si="14"/>
        <v>458545.8224046221</v>
      </c>
      <c r="H108" s="59"/>
    </row>
    <row r="109" spans="1:8" x14ac:dyDescent="0.25">
      <c r="A109" s="232" t="s">
        <v>56</v>
      </c>
      <c r="B109" s="2">
        <v>1</v>
      </c>
      <c r="C109" s="3">
        <v>4</v>
      </c>
      <c r="D109" s="3">
        <v>2000</v>
      </c>
      <c r="E109" s="102">
        <v>420</v>
      </c>
      <c r="F109" s="233">
        <f t="shared" si="13"/>
        <v>1210</v>
      </c>
      <c r="G109" s="234">
        <f t="shared" si="14"/>
        <v>408737.11541456473</v>
      </c>
      <c r="H109" s="59"/>
    </row>
    <row r="110" spans="1:8" x14ac:dyDescent="0.25">
      <c r="A110" s="232" t="s">
        <v>56</v>
      </c>
      <c r="B110" s="2">
        <v>1</v>
      </c>
      <c r="C110" s="3">
        <v>5</v>
      </c>
      <c r="D110" s="3">
        <v>5600</v>
      </c>
      <c r="E110" s="102">
        <v>1992</v>
      </c>
      <c r="F110" s="233">
        <f t="shared" si="13"/>
        <v>3796</v>
      </c>
      <c r="G110" s="234">
        <f t="shared" si="14"/>
        <v>1055306.7084011445</v>
      </c>
      <c r="H110" s="59"/>
    </row>
    <row r="111" spans="1:8" x14ac:dyDescent="0.25">
      <c r="A111" s="232" t="s">
        <v>56</v>
      </c>
      <c r="B111" s="2">
        <v>1</v>
      </c>
      <c r="C111" s="3">
        <v>3</v>
      </c>
      <c r="D111" s="3">
        <v>2600</v>
      </c>
      <c r="E111" s="102">
        <v>494</v>
      </c>
      <c r="F111" s="233">
        <f t="shared" si="13"/>
        <v>1547</v>
      </c>
      <c r="G111" s="234">
        <f t="shared" si="14"/>
        <v>458630.56070124358</v>
      </c>
      <c r="H111" s="59"/>
    </row>
    <row r="112" spans="1:8" x14ac:dyDescent="0.25">
      <c r="A112" s="232" t="s">
        <v>56</v>
      </c>
      <c r="B112" s="2">
        <v>1</v>
      </c>
      <c r="C112" s="3">
        <v>4</v>
      </c>
      <c r="D112" s="3">
        <v>65</v>
      </c>
      <c r="E112" s="102">
        <v>36</v>
      </c>
      <c r="F112" s="233">
        <f t="shared" si="13"/>
        <v>50.5</v>
      </c>
      <c r="G112" s="234">
        <f t="shared" si="14"/>
        <v>47169.80270655427</v>
      </c>
      <c r="H112" s="59"/>
    </row>
    <row r="113" spans="1:8" x14ac:dyDescent="0.25">
      <c r="A113" s="232" t="s">
        <v>56</v>
      </c>
      <c r="B113" s="2">
        <v>1</v>
      </c>
      <c r="C113" s="3">
        <v>3</v>
      </c>
      <c r="D113" s="3">
        <v>110</v>
      </c>
      <c r="E113" s="102">
        <v>18</v>
      </c>
      <c r="F113" s="233">
        <f t="shared" si="13"/>
        <v>64</v>
      </c>
      <c r="G113" s="234">
        <f t="shared" si="14"/>
        <v>52612.4615653691</v>
      </c>
      <c r="H113" s="59"/>
    </row>
    <row r="114" spans="1:8" x14ac:dyDescent="0.25">
      <c r="A114" s="232" t="s">
        <v>56</v>
      </c>
      <c r="B114" s="2">
        <v>1</v>
      </c>
      <c r="C114" s="3">
        <v>5</v>
      </c>
      <c r="D114" s="3">
        <v>1900</v>
      </c>
      <c r="E114" s="102">
        <v>517</v>
      </c>
      <c r="F114" s="233">
        <f t="shared" si="13"/>
        <v>1208.5</v>
      </c>
      <c r="G114" s="234">
        <f t="shared" si="14"/>
        <v>484689.95748122915</v>
      </c>
      <c r="H114" s="59"/>
    </row>
    <row r="115" spans="1:8" x14ac:dyDescent="0.25">
      <c r="A115" s="232" t="s">
        <v>56</v>
      </c>
      <c r="B115" s="2">
        <v>1</v>
      </c>
      <c r="C115" s="3">
        <v>2</v>
      </c>
      <c r="D115" s="3">
        <v>200</v>
      </c>
      <c r="E115" s="102">
        <v>27</v>
      </c>
      <c r="F115" s="233">
        <f t="shared" si="13"/>
        <v>113.5</v>
      </c>
      <c r="G115" s="234">
        <f t="shared" si="14"/>
        <v>74614.447462756754</v>
      </c>
      <c r="H115" s="59"/>
    </row>
    <row r="116" spans="1:8" ht="15.75" thickBot="1" x14ac:dyDescent="0.3">
      <c r="A116" s="235" t="s">
        <v>56</v>
      </c>
      <c r="B116" s="140">
        <v>1</v>
      </c>
      <c r="C116" s="141">
        <v>3</v>
      </c>
      <c r="D116" s="141">
        <v>50</v>
      </c>
      <c r="E116" s="142">
        <v>25</v>
      </c>
      <c r="F116" s="236">
        <f t="shared" si="13"/>
        <v>37.5</v>
      </c>
      <c r="G116" s="237">
        <f t="shared" si="14"/>
        <v>36582.546304643445</v>
      </c>
      <c r="H116" s="59"/>
    </row>
    <row r="117" spans="1:8" x14ac:dyDescent="0.25">
      <c r="A117" s="226" t="s">
        <v>57</v>
      </c>
      <c r="B117" s="148">
        <v>2</v>
      </c>
      <c r="C117" s="149">
        <v>5</v>
      </c>
      <c r="D117" s="149">
        <v>330000</v>
      </c>
      <c r="E117" s="150">
        <v>275588</v>
      </c>
      <c r="F117" s="227">
        <f t="shared" si="13"/>
        <v>302794</v>
      </c>
      <c r="G117" s="228">
        <f t="shared" si="14"/>
        <v>21694200.880491521</v>
      </c>
      <c r="H117" s="59"/>
    </row>
    <row r="118" spans="1:8" x14ac:dyDescent="0.25">
      <c r="A118" s="232" t="s">
        <v>57</v>
      </c>
      <c r="B118" s="2">
        <v>1</v>
      </c>
      <c r="C118" s="3">
        <v>5</v>
      </c>
      <c r="D118" s="3">
        <v>8000</v>
      </c>
      <c r="E118" s="102">
        <v>8022</v>
      </c>
      <c r="F118" s="233">
        <f t="shared" si="13"/>
        <v>8011</v>
      </c>
      <c r="G118" s="234">
        <f t="shared" si="14"/>
        <v>1753391.8590449302</v>
      </c>
      <c r="H118" s="59"/>
    </row>
    <row r="119" spans="1:8" x14ac:dyDescent="0.25">
      <c r="A119" s="232" t="s">
        <v>57</v>
      </c>
      <c r="B119" s="2"/>
      <c r="C119" s="3"/>
      <c r="D119" s="3"/>
      <c r="E119" s="102"/>
      <c r="F119" s="233">
        <f t="shared" si="13"/>
        <v>0</v>
      </c>
      <c r="G119" s="234">
        <f t="shared" si="14"/>
        <v>0</v>
      </c>
      <c r="H119" s="59"/>
    </row>
    <row r="120" spans="1:8" x14ac:dyDescent="0.25">
      <c r="A120" s="232" t="s">
        <v>57</v>
      </c>
      <c r="B120" s="2">
        <v>1</v>
      </c>
      <c r="C120" s="3">
        <v>4</v>
      </c>
      <c r="D120" s="3">
        <v>4900</v>
      </c>
      <c r="E120" s="102">
        <v>2793</v>
      </c>
      <c r="F120" s="233">
        <f t="shared" si="13"/>
        <v>3846.5</v>
      </c>
      <c r="G120" s="234">
        <f t="shared" si="14"/>
        <v>897210.33743622899</v>
      </c>
      <c r="H120" s="59"/>
    </row>
    <row r="121" spans="1:8" x14ac:dyDescent="0.25">
      <c r="A121" s="232" t="s">
        <v>57</v>
      </c>
      <c r="B121" s="2">
        <v>1</v>
      </c>
      <c r="C121" s="3">
        <v>4</v>
      </c>
      <c r="D121" s="3">
        <v>3500</v>
      </c>
      <c r="E121" s="102">
        <v>7253</v>
      </c>
      <c r="F121" s="233">
        <f t="shared" si="13"/>
        <v>5376.5</v>
      </c>
      <c r="G121" s="234">
        <f t="shared" si="14"/>
        <v>1126575.3464836788</v>
      </c>
      <c r="H121" s="59"/>
    </row>
    <row r="122" spans="1:8" x14ac:dyDescent="0.25">
      <c r="A122" s="232" t="s">
        <v>57</v>
      </c>
      <c r="B122" s="2">
        <v>1</v>
      </c>
      <c r="C122" s="3">
        <v>4</v>
      </c>
      <c r="D122" s="3">
        <v>3900</v>
      </c>
      <c r="E122" s="102">
        <v>2562</v>
      </c>
      <c r="F122" s="233">
        <f t="shared" si="13"/>
        <v>3231</v>
      </c>
      <c r="G122" s="234">
        <f t="shared" si="14"/>
        <v>796918.38281661668</v>
      </c>
      <c r="H122" s="59"/>
    </row>
    <row r="123" spans="1:8" x14ac:dyDescent="0.25">
      <c r="A123" s="232" t="s">
        <v>57</v>
      </c>
      <c r="B123" s="2">
        <v>1</v>
      </c>
      <c r="C123" s="3">
        <v>4</v>
      </c>
      <c r="D123" s="3">
        <v>1600</v>
      </c>
      <c r="E123" s="102">
        <v>2422</v>
      </c>
      <c r="F123" s="233">
        <f t="shared" si="13"/>
        <v>2011</v>
      </c>
      <c r="G123" s="234">
        <f t="shared" si="14"/>
        <v>577332.63348581328</v>
      </c>
      <c r="H123" s="59"/>
    </row>
    <row r="124" spans="1:8" x14ac:dyDescent="0.25">
      <c r="A124" s="232" t="s">
        <v>57</v>
      </c>
      <c r="B124" s="2"/>
      <c r="C124" s="3"/>
      <c r="D124" s="3"/>
      <c r="E124" s="102"/>
      <c r="F124" s="233">
        <f t="shared" si="13"/>
        <v>0</v>
      </c>
      <c r="G124" s="234">
        <f t="shared" ref="G124:G156" si="15">IF(C124=1,1581.92*(F124^0.6798),IF(C124=2,2991.14*(F124^0.6798),IF(C124=3,3113.49*(F124^0.6798),IF(C124=4,3279.19*(F124^0.6798),IF(C124=5, IF(B124=1,3891.82*(F124^0.6798),IF(B124=2,4076.24*(F124^0.6798),0)),0)))))</f>
        <v>0</v>
      </c>
      <c r="H124" s="59"/>
    </row>
    <row r="125" spans="1:8" ht="15.75" thickBot="1" x14ac:dyDescent="0.3">
      <c r="A125" s="235" t="s">
        <v>57</v>
      </c>
      <c r="B125" s="140">
        <v>1</v>
      </c>
      <c r="C125" s="141">
        <v>3</v>
      </c>
      <c r="D125" s="141">
        <v>150</v>
      </c>
      <c r="E125" s="142">
        <v>138</v>
      </c>
      <c r="F125" s="236">
        <f t="shared" ref="F125:F156" si="16">(D125+E125)/2</f>
        <v>144</v>
      </c>
      <c r="G125" s="237">
        <f t="shared" si="15"/>
        <v>91306.62651659704</v>
      </c>
      <c r="H125" s="59"/>
    </row>
    <row r="126" spans="1:8" ht="15.75" thickBot="1" x14ac:dyDescent="0.3">
      <c r="A126" s="251" t="s">
        <v>58</v>
      </c>
      <c r="B126" s="252">
        <v>2</v>
      </c>
      <c r="C126" s="253">
        <v>5</v>
      </c>
      <c r="D126" s="253">
        <v>50000</v>
      </c>
      <c r="E126" s="254">
        <v>29277</v>
      </c>
      <c r="F126" s="255">
        <f t="shared" si="16"/>
        <v>39638.5</v>
      </c>
      <c r="G126" s="256">
        <f t="shared" si="15"/>
        <v>5445776.6667922633</v>
      </c>
      <c r="H126" s="59"/>
    </row>
    <row r="127" spans="1:8" x14ac:dyDescent="0.25">
      <c r="A127" s="226" t="s">
        <v>60</v>
      </c>
      <c r="B127" s="148">
        <v>2</v>
      </c>
      <c r="C127" s="149">
        <v>5</v>
      </c>
      <c r="D127" s="149">
        <v>80000</v>
      </c>
      <c r="E127" s="150">
        <v>71034</v>
      </c>
      <c r="F127" s="227">
        <f t="shared" si="16"/>
        <v>75517</v>
      </c>
      <c r="G127" s="228">
        <f t="shared" si="15"/>
        <v>8440235.2766083013</v>
      </c>
      <c r="H127" s="59"/>
    </row>
    <row r="128" spans="1:8" x14ac:dyDescent="0.25">
      <c r="A128" s="232" t="s">
        <v>60</v>
      </c>
      <c r="B128" s="2">
        <v>1</v>
      </c>
      <c r="C128" s="3">
        <v>5</v>
      </c>
      <c r="D128" s="3">
        <v>16000</v>
      </c>
      <c r="E128" s="102">
        <v>7097</v>
      </c>
      <c r="F128" s="233">
        <f t="shared" si="16"/>
        <v>11548.5</v>
      </c>
      <c r="G128" s="234">
        <f t="shared" si="15"/>
        <v>2248317.4642487378</v>
      </c>
      <c r="H128" s="59"/>
    </row>
    <row r="129" spans="1:8" x14ac:dyDescent="0.25">
      <c r="A129" s="232" t="s">
        <v>60</v>
      </c>
      <c r="B129" s="2">
        <v>2</v>
      </c>
      <c r="C129" s="3">
        <v>5</v>
      </c>
      <c r="D129" s="3">
        <v>4200</v>
      </c>
      <c r="E129" s="102">
        <v>2826</v>
      </c>
      <c r="F129" s="233">
        <f t="shared" si="16"/>
        <v>3513</v>
      </c>
      <c r="G129" s="234">
        <f t="shared" si="15"/>
        <v>1048604.5857004179</v>
      </c>
      <c r="H129" s="59"/>
    </row>
    <row r="130" spans="1:8" x14ac:dyDescent="0.25">
      <c r="A130" s="232" t="s">
        <v>60</v>
      </c>
      <c r="B130" s="2">
        <v>1</v>
      </c>
      <c r="C130" s="3">
        <v>3</v>
      </c>
      <c r="D130" s="3">
        <v>4000</v>
      </c>
      <c r="E130" s="102">
        <v>2664</v>
      </c>
      <c r="F130" s="233">
        <f t="shared" si="16"/>
        <v>3332</v>
      </c>
      <c r="G130" s="234">
        <f t="shared" si="15"/>
        <v>772649.14657789771</v>
      </c>
      <c r="H130" s="59"/>
    </row>
    <row r="131" spans="1:8" x14ac:dyDescent="0.25">
      <c r="A131" s="232" t="s">
        <v>60</v>
      </c>
      <c r="B131" s="2">
        <v>1</v>
      </c>
      <c r="C131" s="3">
        <v>3</v>
      </c>
      <c r="D131" s="3">
        <v>4500</v>
      </c>
      <c r="E131" s="102">
        <v>5157</v>
      </c>
      <c r="F131" s="233">
        <f t="shared" si="16"/>
        <v>4828.5</v>
      </c>
      <c r="G131" s="234">
        <f t="shared" si="15"/>
        <v>994267.01771548879</v>
      </c>
      <c r="H131" s="59"/>
    </row>
    <row r="132" spans="1:8" x14ac:dyDescent="0.25">
      <c r="A132" s="232" t="s">
        <v>60</v>
      </c>
      <c r="B132" s="2">
        <v>2</v>
      </c>
      <c r="C132" s="3">
        <v>3</v>
      </c>
      <c r="D132" s="3">
        <v>3500</v>
      </c>
      <c r="E132" s="102">
        <v>2338</v>
      </c>
      <c r="F132" s="233">
        <f t="shared" si="16"/>
        <v>2919</v>
      </c>
      <c r="G132" s="234">
        <f t="shared" si="15"/>
        <v>706177.07211893471</v>
      </c>
      <c r="H132" s="59"/>
    </row>
    <row r="133" spans="1:8" x14ac:dyDescent="0.25">
      <c r="A133" s="232" t="s">
        <v>60</v>
      </c>
      <c r="B133" s="2">
        <v>1</v>
      </c>
      <c r="C133" s="3">
        <v>3</v>
      </c>
      <c r="D133" s="3">
        <v>1500</v>
      </c>
      <c r="E133" s="102">
        <v>691</v>
      </c>
      <c r="F133" s="233">
        <f t="shared" si="16"/>
        <v>1095.5</v>
      </c>
      <c r="G133" s="234">
        <f t="shared" si="15"/>
        <v>362723.73300970515</v>
      </c>
      <c r="H133" s="59"/>
    </row>
    <row r="134" spans="1:8" x14ac:dyDescent="0.25">
      <c r="A134" s="232" t="s">
        <v>60</v>
      </c>
      <c r="B134" s="2">
        <v>1</v>
      </c>
      <c r="C134" s="3">
        <v>4</v>
      </c>
      <c r="D134" s="3">
        <v>1000</v>
      </c>
      <c r="E134" s="102">
        <v>368</v>
      </c>
      <c r="F134" s="233">
        <f t="shared" si="16"/>
        <v>684</v>
      </c>
      <c r="G134" s="234">
        <f t="shared" si="15"/>
        <v>277356.09804434364</v>
      </c>
      <c r="H134" s="59"/>
    </row>
    <row r="135" spans="1:8" x14ac:dyDescent="0.25">
      <c r="A135" s="232" t="s">
        <v>60</v>
      </c>
      <c r="B135" s="2">
        <v>1</v>
      </c>
      <c r="C135" s="3">
        <v>3</v>
      </c>
      <c r="D135" s="3">
        <v>600</v>
      </c>
      <c r="E135" s="102">
        <v>357</v>
      </c>
      <c r="F135" s="233">
        <f t="shared" si="16"/>
        <v>478.5</v>
      </c>
      <c r="G135" s="234">
        <f t="shared" si="15"/>
        <v>206552.86318041981</v>
      </c>
      <c r="H135" s="59"/>
    </row>
    <row r="136" spans="1:8" x14ac:dyDescent="0.25">
      <c r="A136" s="232" t="s">
        <v>60</v>
      </c>
      <c r="B136" s="2">
        <v>1</v>
      </c>
      <c r="C136" s="3">
        <v>3</v>
      </c>
      <c r="D136" s="3">
        <v>150</v>
      </c>
      <c r="E136" s="102">
        <v>40</v>
      </c>
      <c r="F136" s="233">
        <f t="shared" si="16"/>
        <v>95</v>
      </c>
      <c r="G136" s="234">
        <f t="shared" si="15"/>
        <v>68818.306639108705</v>
      </c>
      <c r="H136" s="59"/>
    </row>
    <row r="137" spans="1:8" x14ac:dyDescent="0.25">
      <c r="A137" s="232" t="s">
        <v>60</v>
      </c>
      <c r="B137" s="2">
        <v>1</v>
      </c>
      <c r="C137" s="3">
        <v>3</v>
      </c>
      <c r="D137" s="3">
        <v>100</v>
      </c>
      <c r="E137" s="102">
        <v>279</v>
      </c>
      <c r="F137" s="233">
        <f t="shared" si="16"/>
        <v>189.5</v>
      </c>
      <c r="G137" s="234">
        <f t="shared" si="15"/>
        <v>110043.96220675431</v>
      </c>
      <c r="H137" s="59"/>
    </row>
    <row r="138" spans="1:8" x14ac:dyDescent="0.25">
      <c r="A138" s="232" t="s">
        <v>60</v>
      </c>
      <c r="B138" s="2">
        <v>1</v>
      </c>
      <c r="C138" s="3">
        <v>3</v>
      </c>
      <c r="D138" s="3">
        <v>2100</v>
      </c>
      <c r="E138" s="102">
        <v>43</v>
      </c>
      <c r="F138" s="233">
        <f t="shared" si="16"/>
        <v>1071.5</v>
      </c>
      <c r="G138" s="234">
        <f t="shared" si="15"/>
        <v>357302.58316494006</v>
      </c>
      <c r="H138" s="59"/>
    </row>
    <row r="139" spans="1:8" ht="15.75" thickBot="1" x14ac:dyDescent="0.3">
      <c r="A139" s="235" t="s">
        <v>60</v>
      </c>
      <c r="B139" s="140">
        <v>1</v>
      </c>
      <c r="C139" s="141">
        <v>3</v>
      </c>
      <c r="D139" s="141">
        <v>550</v>
      </c>
      <c r="E139" s="142">
        <v>0</v>
      </c>
      <c r="F139" s="236">
        <f t="shared" si="16"/>
        <v>275</v>
      </c>
      <c r="G139" s="237">
        <f t="shared" si="15"/>
        <v>141744.37732725061</v>
      </c>
      <c r="H139" s="59"/>
    </row>
    <row r="140" spans="1:8" x14ac:dyDescent="0.25">
      <c r="A140" s="226" t="s">
        <v>62</v>
      </c>
      <c r="B140" s="148">
        <v>1</v>
      </c>
      <c r="C140" s="149">
        <v>5</v>
      </c>
      <c r="D140" s="149">
        <v>1770</v>
      </c>
      <c r="E140" s="150">
        <v>590</v>
      </c>
      <c r="F140" s="227">
        <f t="shared" si="16"/>
        <v>1180</v>
      </c>
      <c r="G140" s="228">
        <f t="shared" si="15"/>
        <v>476889.91041158285</v>
      </c>
      <c r="H140" s="59"/>
    </row>
    <row r="141" spans="1:8" x14ac:dyDescent="0.25">
      <c r="A141" s="232" t="s">
        <v>62</v>
      </c>
      <c r="B141" s="2">
        <v>1</v>
      </c>
      <c r="C141" s="3">
        <v>5</v>
      </c>
      <c r="D141" s="3">
        <v>1200</v>
      </c>
      <c r="E141" s="102">
        <v>476</v>
      </c>
      <c r="F141" s="233">
        <f t="shared" si="16"/>
        <v>838</v>
      </c>
      <c r="G141" s="234">
        <f t="shared" si="15"/>
        <v>377897.50922819925</v>
      </c>
      <c r="H141" s="59"/>
    </row>
    <row r="142" spans="1:8" x14ac:dyDescent="0.25">
      <c r="A142" s="232" t="s">
        <v>62</v>
      </c>
      <c r="B142" s="2">
        <v>1</v>
      </c>
      <c r="C142" s="3">
        <v>5</v>
      </c>
      <c r="D142" s="3">
        <v>1200</v>
      </c>
      <c r="E142" s="102">
        <v>319</v>
      </c>
      <c r="F142" s="233">
        <f t="shared" si="16"/>
        <v>759.5</v>
      </c>
      <c r="G142" s="234">
        <f t="shared" si="15"/>
        <v>353456.13907049538</v>
      </c>
      <c r="H142" s="59"/>
    </row>
    <row r="143" spans="1:8" x14ac:dyDescent="0.25">
      <c r="A143" s="232" t="s">
        <v>62</v>
      </c>
      <c r="B143" s="2">
        <v>1</v>
      </c>
      <c r="C143" s="3">
        <v>5</v>
      </c>
      <c r="D143" s="3">
        <v>4300</v>
      </c>
      <c r="E143" s="102">
        <v>1370</v>
      </c>
      <c r="F143" s="233">
        <f t="shared" si="16"/>
        <v>2835</v>
      </c>
      <c r="G143" s="234">
        <f t="shared" si="15"/>
        <v>865362.99135023437</v>
      </c>
      <c r="H143" s="59"/>
    </row>
    <row r="144" spans="1:8" x14ac:dyDescent="0.25">
      <c r="A144" s="232" t="s">
        <v>62</v>
      </c>
      <c r="B144" s="2">
        <v>1</v>
      </c>
      <c r="C144" s="3">
        <v>5</v>
      </c>
      <c r="D144" s="3">
        <v>14500</v>
      </c>
      <c r="E144" s="102">
        <v>5648</v>
      </c>
      <c r="F144" s="233">
        <f t="shared" si="16"/>
        <v>10074</v>
      </c>
      <c r="G144" s="234">
        <f t="shared" si="15"/>
        <v>2048940.8863064663</v>
      </c>
      <c r="H144" s="59"/>
    </row>
    <row r="145" spans="1:8" x14ac:dyDescent="0.25">
      <c r="A145" s="232" t="s">
        <v>62</v>
      </c>
      <c r="B145" s="2">
        <v>1</v>
      </c>
      <c r="C145" s="3">
        <v>5</v>
      </c>
      <c r="D145" s="3">
        <v>6000</v>
      </c>
      <c r="E145" s="102">
        <v>1236</v>
      </c>
      <c r="F145" s="233">
        <f t="shared" si="16"/>
        <v>3618</v>
      </c>
      <c r="G145" s="234">
        <f t="shared" si="15"/>
        <v>1021408.9861551127</v>
      </c>
      <c r="H145" s="59"/>
    </row>
    <row r="146" spans="1:8" ht="15.75" thickBot="1" x14ac:dyDescent="0.3">
      <c r="A146" s="235" t="s">
        <v>62</v>
      </c>
      <c r="B146" s="140">
        <v>1</v>
      </c>
      <c r="C146" s="141">
        <v>5</v>
      </c>
      <c r="D146" s="141">
        <v>2600</v>
      </c>
      <c r="E146" s="142">
        <v>1465</v>
      </c>
      <c r="F146" s="236">
        <f t="shared" si="16"/>
        <v>2032.5</v>
      </c>
      <c r="G146" s="237">
        <f t="shared" si="15"/>
        <v>690163.38701631734</v>
      </c>
      <c r="H146" s="59"/>
    </row>
    <row r="147" spans="1:8" x14ac:dyDescent="0.25">
      <c r="A147" s="244" t="s">
        <v>114</v>
      </c>
      <c r="B147" s="149">
        <v>2</v>
      </c>
      <c r="C147" s="149">
        <v>4</v>
      </c>
      <c r="D147" s="151">
        <v>4950</v>
      </c>
      <c r="E147" s="153">
        <v>2183</v>
      </c>
      <c r="F147" s="227">
        <f t="shared" si="16"/>
        <v>3566.5</v>
      </c>
      <c r="G147" s="228">
        <f t="shared" si="15"/>
        <v>852277.15552865039</v>
      </c>
      <c r="H147" s="59"/>
    </row>
    <row r="148" spans="1:8" x14ac:dyDescent="0.25">
      <c r="A148" s="246" t="s">
        <v>114</v>
      </c>
      <c r="B148" s="3">
        <v>1</v>
      </c>
      <c r="C148" s="3">
        <v>4</v>
      </c>
      <c r="D148" s="27">
        <v>4000</v>
      </c>
      <c r="E148" s="28">
        <v>3789</v>
      </c>
      <c r="F148" s="233">
        <f t="shared" si="16"/>
        <v>3894.5</v>
      </c>
      <c r="G148" s="234">
        <f t="shared" si="15"/>
        <v>904806.37561050814</v>
      </c>
      <c r="H148" s="59"/>
    </row>
    <row r="149" spans="1:8" x14ac:dyDescent="0.25">
      <c r="A149" s="246" t="s">
        <v>114</v>
      </c>
      <c r="B149" s="35">
        <v>1</v>
      </c>
      <c r="C149" s="3">
        <v>3</v>
      </c>
      <c r="D149" s="3">
        <v>360</v>
      </c>
      <c r="E149" s="4">
        <v>773</v>
      </c>
      <c r="F149" s="233">
        <f t="shared" si="16"/>
        <v>566.5</v>
      </c>
      <c r="G149" s="234">
        <f t="shared" si="15"/>
        <v>231671.58868838579</v>
      </c>
      <c r="H149" s="59"/>
    </row>
    <row r="150" spans="1:8" x14ac:dyDescent="0.25">
      <c r="A150" s="246" t="s">
        <v>114</v>
      </c>
      <c r="B150" s="35">
        <v>1</v>
      </c>
      <c r="C150" s="3">
        <v>5</v>
      </c>
      <c r="D150" s="27">
        <v>2450</v>
      </c>
      <c r="E150" s="28">
        <v>1113</v>
      </c>
      <c r="F150" s="233">
        <f t="shared" si="16"/>
        <v>1781.5</v>
      </c>
      <c r="G150" s="234">
        <f t="shared" si="15"/>
        <v>631011.02974414115</v>
      </c>
      <c r="H150" s="59"/>
    </row>
    <row r="151" spans="1:8" x14ac:dyDescent="0.25">
      <c r="A151" s="246" t="s">
        <v>114</v>
      </c>
      <c r="B151" s="35">
        <v>1</v>
      </c>
      <c r="C151" s="3">
        <v>5</v>
      </c>
      <c r="D151" s="27">
        <v>4200</v>
      </c>
      <c r="E151" s="28">
        <v>1424</v>
      </c>
      <c r="F151" s="233">
        <f t="shared" si="16"/>
        <v>2812</v>
      </c>
      <c r="G151" s="234">
        <f t="shared" si="15"/>
        <v>860584.17876886053</v>
      </c>
      <c r="H151" s="59"/>
    </row>
    <row r="152" spans="1:8" x14ac:dyDescent="0.25">
      <c r="A152" s="246" t="s">
        <v>114</v>
      </c>
      <c r="B152" s="35">
        <v>1</v>
      </c>
      <c r="C152" s="3">
        <v>5</v>
      </c>
      <c r="D152" s="27">
        <v>5500</v>
      </c>
      <c r="E152" s="28">
        <v>3671</v>
      </c>
      <c r="F152" s="233">
        <f t="shared" si="16"/>
        <v>4585.5</v>
      </c>
      <c r="G152" s="234">
        <f t="shared" si="15"/>
        <v>1199950.7533419428</v>
      </c>
      <c r="H152" s="59"/>
    </row>
    <row r="153" spans="1:8" x14ac:dyDescent="0.25">
      <c r="A153" s="246" t="s">
        <v>114</v>
      </c>
      <c r="B153" s="35">
        <v>1</v>
      </c>
      <c r="C153" s="3">
        <v>5</v>
      </c>
      <c r="D153" s="27">
        <v>11517</v>
      </c>
      <c r="E153" s="28">
        <v>6479</v>
      </c>
      <c r="F153" s="233">
        <f t="shared" si="16"/>
        <v>8998</v>
      </c>
      <c r="G153" s="234">
        <f t="shared" si="15"/>
        <v>1897497.3968975013</v>
      </c>
      <c r="H153" s="59"/>
    </row>
    <row r="154" spans="1:8" ht="15.75" thickBot="1" x14ac:dyDescent="0.3">
      <c r="A154" s="248" t="s">
        <v>114</v>
      </c>
      <c r="B154" s="68">
        <v>1</v>
      </c>
      <c r="C154" s="141">
        <v>5</v>
      </c>
      <c r="D154" s="152">
        <v>6700</v>
      </c>
      <c r="E154" s="154">
        <v>6906</v>
      </c>
      <c r="F154" s="236">
        <f t="shared" si="16"/>
        <v>6803</v>
      </c>
      <c r="G154" s="237">
        <f t="shared" si="15"/>
        <v>1568998.4903818527</v>
      </c>
      <c r="H154" s="59"/>
    </row>
    <row r="155" spans="1:8" x14ac:dyDescent="0.25">
      <c r="A155" s="226" t="s">
        <v>74</v>
      </c>
      <c r="B155" s="145">
        <v>1</v>
      </c>
      <c r="C155" s="145">
        <v>5</v>
      </c>
      <c r="D155" s="145">
        <v>80000</v>
      </c>
      <c r="E155" s="245">
        <v>22618</v>
      </c>
      <c r="F155" s="227">
        <f t="shared" si="16"/>
        <v>51309</v>
      </c>
      <c r="G155" s="228">
        <f t="shared" si="15"/>
        <v>6196441.0326096835</v>
      </c>
      <c r="H155" s="59"/>
    </row>
    <row r="156" spans="1:8" ht="15.75" thickBot="1" x14ac:dyDescent="0.3">
      <c r="A156" s="235" t="s">
        <v>74</v>
      </c>
      <c r="B156" s="147">
        <v>2</v>
      </c>
      <c r="C156" s="147">
        <v>5</v>
      </c>
      <c r="D156" s="147">
        <v>70000</v>
      </c>
      <c r="E156" s="249">
        <v>31374</v>
      </c>
      <c r="F156" s="236">
        <f t="shared" si="16"/>
        <v>50687</v>
      </c>
      <c r="G156" s="237">
        <f t="shared" si="15"/>
        <v>6436480.3327649934</v>
      </c>
      <c r="H156" s="59"/>
    </row>
    <row r="157" spans="1:8" x14ac:dyDescent="0.25">
      <c r="A157" s="226" t="s">
        <v>77</v>
      </c>
      <c r="B157" s="145">
        <v>2</v>
      </c>
      <c r="C157" s="145">
        <v>5</v>
      </c>
      <c r="D157" s="145">
        <v>750000</v>
      </c>
      <c r="E157" s="245">
        <v>829950</v>
      </c>
      <c r="F157" s="227">
        <f t="shared" ref="F157:F166" si="17">(D157+E157)/2</f>
        <v>789975</v>
      </c>
      <c r="G157" s="228">
        <f t="shared" ref="G157:G165" si="18">IF(C157=1,1581.92*(F157^0.6798),IF(C157=2,2991.14*(F157^0.6798),IF(C157=3,3113.49*(F157^0.6798),IF(C157=4,3279.19*(F157^0.6798),IF(C157=5, IF(B157=1,3891.82*(F157^0.6798),IF(B157=2,4076.24*(F157^0.6798),0)),0)))))</f>
        <v>41634878.35066516</v>
      </c>
      <c r="H157" s="59"/>
    </row>
    <row r="158" spans="1:8" ht="15.75" thickBot="1" x14ac:dyDescent="0.3">
      <c r="A158" s="235" t="s">
        <v>77</v>
      </c>
      <c r="B158" s="147">
        <v>2</v>
      </c>
      <c r="C158" s="147">
        <v>5</v>
      </c>
      <c r="D158" s="147">
        <v>350000</v>
      </c>
      <c r="E158" s="249">
        <v>302650</v>
      </c>
      <c r="F158" s="236">
        <f t="shared" si="17"/>
        <v>326325</v>
      </c>
      <c r="G158" s="237">
        <f t="shared" si="18"/>
        <v>22826496.114922982</v>
      </c>
      <c r="H158" s="59"/>
    </row>
    <row r="159" spans="1:8" x14ac:dyDescent="0.25">
      <c r="A159" s="262" t="s">
        <v>115</v>
      </c>
      <c r="B159" s="148">
        <v>2</v>
      </c>
      <c r="C159" s="149">
        <v>2</v>
      </c>
      <c r="D159" s="149">
        <v>3200</v>
      </c>
      <c r="E159" s="150">
        <v>2744</v>
      </c>
      <c r="F159" s="227">
        <f t="shared" si="17"/>
        <v>2972</v>
      </c>
      <c r="G159" s="228">
        <f t="shared" si="18"/>
        <v>686776.32950624439</v>
      </c>
      <c r="H159" s="59"/>
    </row>
    <row r="160" spans="1:8" ht="15.75" thickBot="1" x14ac:dyDescent="0.3">
      <c r="A160" s="263" t="s">
        <v>115</v>
      </c>
      <c r="B160" s="140">
        <v>2</v>
      </c>
      <c r="C160" s="141">
        <v>1</v>
      </c>
      <c r="D160" s="141">
        <v>400</v>
      </c>
      <c r="E160" s="142">
        <v>751</v>
      </c>
      <c r="F160" s="236">
        <f t="shared" si="17"/>
        <v>575.5</v>
      </c>
      <c r="G160" s="237">
        <f t="shared" si="18"/>
        <v>118977.08677602941</v>
      </c>
      <c r="H160" s="59"/>
    </row>
    <row r="161" spans="1:8" x14ac:dyDescent="0.25">
      <c r="A161" s="226" t="s">
        <v>63</v>
      </c>
      <c r="B161" s="148">
        <v>2</v>
      </c>
      <c r="C161" s="149">
        <v>5</v>
      </c>
      <c r="D161" s="149">
        <v>5092</v>
      </c>
      <c r="E161" s="150">
        <v>6523.3</v>
      </c>
      <c r="F161" s="227">
        <f t="shared" si="17"/>
        <v>5807.65</v>
      </c>
      <c r="G161" s="228">
        <f t="shared" si="18"/>
        <v>1475799.1045250937</v>
      </c>
      <c r="H161" s="59"/>
    </row>
    <row r="162" spans="1:8" x14ac:dyDescent="0.25">
      <c r="A162" s="232" t="s">
        <v>63</v>
      </c>
      <c r="B162" s="2">
        <v>1</v>
      </c>
      <c r="C162" s="3">
        <v>4</v>
      </c>
      <c r="D162" s="3">
        <v>4639</v>
      </c>
      <c r="E162" s="102">
        <v>2033.9</v>
      </c>
      <c r="F162" s="233">
        <f t="shared" si="17"/>
        <v>3336.45</v>
      </c>
      <c r="G162" s="234">
        <f t="shared" si="18"/>
        <v>814508.20996175893</v>
      </c>
      <c r="H162" s="59"/>
    </row>
    <row r="163" spans="1:8" x14ac:dyDescent="0.25">
      <c r="A163" s="232" t="s">
        <v>63</v>
      </c>
      <c r="B163" s="2">
        <v>1</v>
      </c>
      <c r="C163" s="3">
        <v>3</v>
      </c>
      <c r="D163" s="3">
        <v>490</v>
      </c>
      <c r="E163" s="102">
        <v>268.3</v>
      </c>
      <c r="F163" s="233">
        <f t="shared" si="17"/>
        <v>379.15</v>
      </c>
      <c r="G163" s="234">
        <f t="shared" si="18"/>
        <v>176328.79270873126</v>
      </c>
      <c r="H163" s="59"/>
    </row>
    <row r="164" spans="1:8" x14ac:dyDescent="0.25">
      <c r="A164" s="232" t="s">
        <v>63</v>
      </c>
      <c r="B164" s="2">
        <v>2</v>
      </c>
      <c r="C164" s="3">
        <v>4</v>
      </c>
      <c r="D164" s="3">
        <v>675</v>
      </c>
      <c r="E164" s="102">
        <v>355.3</v>
      </c>
      <c r="F164" s="233">
        <f t="shared" si="17"/>
        <v>515.15</v>
      </c>
      <c r="G164" s="234">
        <f t="shared" si="18"/>
        <v>228738.41794078125</v>
      </c>
      <c r="H164" s="59"/>
    </row>
    <row r="165" spans="1:8" x14ac:dyDescent="0.25">
      <c r="A165" s="232" t="s">
        <v>63</v>
      </c>
      <c r="B165" s="2">
        <v>1</v>
      </c>
      <c r="C165" s="3">
        <v>5</v>
      </c>
      <c r="D165" s="3">
        <v>7372</v>
      </c>
      <c r="E165" s="102">
        <v>4216.8999999999996</v>
      </c>
      <c r="F165" s="233">
        <f t="shared" si="17"/>
        <v>5794.45</v>
      </c>
      <c r="G165" s="234">
        <f t="shared" si="18"/>
        <v>1406852.1302759934</v>
      </c>
      <c r="H165" s="59"/>
    </row>
    <row r="166" spans="1:8" x14ac:dyDescent="0.25">
      <c r="A166" s="232" t="s">
        <v>63</v>
      </c>
      <c r="B166" s="2">
        <v>1</v>
      </c>
      <c r="C166" s="3">
        <v>2</v>
      </c>
      <c r="D166" s="3">
        <v>150</v>
      </c>
      <c r="E166" s="102">
        <v>34.299999999999997</v>
      </c>
      <c r="F166" s="233">
        <f t="shared" si="17"/>
        <v>92.15</v>
      </c>
      <c r="G166" s="234">
        <f t="shared" ref="G166:G195" si="19">IF(C166=1,1581.92*(F166^0.6798),IF(C166=2,2991.14*(F166^0.6798),IF(C166=3,3113.49*(F166^0.6798),IF(C166=4,3279.19*(F166^0.6798),IF(C166=5, IF(B166=1,3891.82*(F166^0.6798),IF(B166=2,4076.24*(F166^0.6798),0)),0)))))</f>
        <v>64759.08031692628</v>
      </c>
      <c r="H166" s="59"/>
    </row>
    <row r="167" spans="1:8" x14ac:dyDescent="0.25">
      <c r="A167" s="232" t="s">
        <v>63</v>
      </c>
      <c r="B167" s="2">
        <v>1</v>
      </c>
      <c r="C167" s="3">
        <v>1</v>
      </c>
      <c r="D167" s="3">
        <v>80</v>
      </c>
      <c r="E167" s="102">
        <v>3</v>
      </c>
      <c r="F167" s="233">
        <f t="shared" ref="F167:F196" si="20">(D167+E167)/2</f>
        <v>41.5</v>
      </c>
      <c r="G167" s="234">
        <f t="shared" si="19"/>
        <v>19912.858742171877</v>
      </c>
      <c r="H167" s="59"/>
    </row>
    <row r="168" spans="1:8" x14ac:dyDescent="0.25">
      <c r="A168" s="232" t="s">
        <v>63</v>
      </c>
      <c r="B168" s="2">
        <v>2</v>
      </c>
      <c r="C168" s="3">
        <v>5</v>
      </c>
      <c r="D168" s="3">
        <v>21216</v>
      </c>
      <c r="E168" s="102">
        <v>16477.5</v>
      </c>
      <c r="F168" s="233">
        <f t="shared" si="20"/>
        <v>18846.75</v>
      </c>
      <c r="G168" s="234">
        <f t="shared" si="19"/>
        <v>3285227.8702195045</v>
      </c>
      <c r="H168" s="59"/>
    </row>
    <row r="169" spans="1:8" x14ac:dyDescent="0.25">
      <c r="A169" s="232" t="s">
        <v>63</v>
      </c>
      <c r="B169" s="2">
        <v>1</v>
      </c>
      <c r="C169" s="3">
        <v>2</v>
      </c>
      <c r="D169" s="3">
        <v>4445</v>
      </c>
      <c r="E169" s="102">
        <v>1455</v>
      </c>
      <c r="F169" s="233">
        <f t="shared" si="20"/>
        <v>2950</v>
      </c>
      <c r="G169" s="234">
        <f t="shared" si="19"/>
        <v>683316.24722959404</v>
      </c>
      <c r="H169" s="59"/>
    </row>
    <row r="170" spans="1:8" ht="15.75" thickBot="1" x14ac:dyDescent="0.3">
      <c r="A170" s="235" t="s">
        <v>63</v>
      </c>
      <c r="B170" s="140">
        <v>2</v>
      </c>
      <c r="C170" s="141">
        <v>5</v>
      </c>
      <c r="D170" s="141">
        <v>45000</v>
      </c>
      <c r="E170" s="142">
        <v>39691.300000000003</v>
      </c>
      <c r="F170" s="236">
        <f t="shared" si="20"/>
        <v>42345.65</v>
      </c>
      <c r="G170" s="237">
        <f t="shared" si="19"/>
        <v>5695926.4283503732</v>
      </c>
      <c r="H170" s="59"/>
    </row>
    <row r="171" spans="1:8" x14ac:dyDescent="0.25">
      <c r="A171" s="226" t="s">
        <v>64</v>
      </c>
      <c r="B171" s="148">
        <v>1</v>
      </c>
      <c r="C171" s="149">
        <v>5</v>
      </c>
      <c r="D171" s="149">
        <v>35000</v>
      </c>
      <c r="E171" s="150">
        <v>19919</v>
      </c>
      <c r="F171" s="227">
        <f t="shared" si="20"/>
        <v>27459.5</v>
      </c>
      <c r="G171" s="228">
        <f t="shared" si="19"/>
        <v>4051128.2486781995</v>
      </c>
      <c r="H171" s="59"/>
    </row>
    <row r="172" spans="1:8" x14ac:dyDescent="0.25">
      <c r="A172" s="232" t="s">
        <v>64</v>
      </c>
      <c r="B172" s="2">
        <v>1</v>
      </c>
      <c r="C172" s="3">
        <v>5</v>
      </c>
      <c r="D172" s="3">
        <v>22000</v>
      </c>
      <c r="E172" s="102">
        <v>21766</v>
      </c>
      <c r="F172" s="233">
        <f t="shared" si="20"/>
        <v>21883</v>
      </c>
      <c r="G172" s="234">
        <f t="shared" si="19"/>
        <v>3471821.5075819776</v>
      </c>
      <c r="H172" s="59"/>
    </row>
    <row r="173" spans="1:8" x14ac:dyDescent="0.25">
      <c r="A173" s="232" t="s">
        <v>64</v>
      </c>
      <c r="B173" s="2">
        <v>1</v>
      </c>
      <c r="C173" s="3">
        <v>5</v>
      </c>
      <c r="D173" s="3">
        <v>2800</v>
      </c>
      <c r="E173" s="102">
        <v>3031</v>
      </c>
      <c r="F173" s="233">
        <f t="shared" si="20"/>
        <v>2915.5</v>
      </c>
      <c r="G173" s="234">
        <f t="shared" si="19"/>
        <v>881992.05714976729</v>
      </c>
      <c r="H173" s="59"/>
    </row>
    <row r="174" spans="1:8" x14ac:dyDescent="0.25">
      <c r="A174" s="232" t="s">
        <v>64</v>
      </c>
      <c r="B174" s="2">
        <v>1</v>
      </c>
      <c r="C174" s="3">
        <v>5</v>
      </c>
      <c r="D174" s="3">
        <v>3800</v>
      </c>
      <c r="E174" s="102">
        <v>3371</v>
      </c>
      <c r="F174" s="233">
        <f t="shared" si="20"/>
        <v>3585.5</v>
      </c>
      <c r="G174" s="234">
        <f t="shared" si="19"/>
        <v>1015162.6946797714</v>
      </c>
      <c r="H174" s="59"/>
    </row>
    <row r="175" spans="1:8" x14ac:dyDescent="0.25">
      <c r="A175" s="232" t="s">
        <v>64</v>
      </c>
      <c r="B175" s="2">
        <v>1</v>
      </c>
      <c r="C175" s="3">
        <v>5</v>
      </c>
      <c r="D175" s="3">
        <v>1860</v>
      </c>
      <c r="E175" s="102">
        <v>2516</v>
      </c>
      <c r="F175" s="233">
        <f t="shared" si="20"/>
        <v>2188</v>
      </c>
      <c r="G175" s="234">
        <f t="shared" si="19"/>
        <v>725632.81115030393</v>
      </c>
      <c r="H175" s="59"/>
    </row>
    <row r="176" spans="1:8" x14ac:dyDescent="0.25">
      <c r="A176" s="232" t="s">
        <v>64</v>
      </c>
      <c r="B176" s="2">
        <v>1</v>
      </c>
      <c r="C176" s="3">
        <v>5</v>
      </c>
      <c r="D176" s="3">
        <v>950</v>
      </c>
      <c r="E176" s="102">
        <v>1231</v>
      </c>
      <c r="F176" s="233">
        <f t="shared" si="20"/>
        <v>1090.5</v>
      </c>
      <c r="G176" s="234">
        <f t="shared" si="19"/>
        <v>451991.92492305062</v>
      </c>
      <c r="H176" s="59"/>
    </row>
    <row r="177" spans="1:8" ht="15.75" thickBot="1" x14ac:dyDescent="0.3">
      <c r="A177" s="235" t="s">
        <v>64</v>
      </c>
      <c r="B177" s="140">
        <v>1</v>
      </c>
      <c r="C177" s="141">
        <v>2</v>
      </c>
      <c r="D177" s="141">
        <v>340</v>
      </c>
      <c r="E177" s="142">
        <v>120</v>
      </c>
      <c r="F177" s="236">
        <f t="shared" si="20"/>
        <v>230</v>
      </c>
      <c r="G177" s="237">
        <f t="shared" si="19"/>
        <v>120597.78285609969</v>
      </c>
      <c r="H177" s="59"/>
    </row>
    <row r="178" spans="1:8" ht="15.75" thickBot="1" x14ac:dyDescent="0.3">
      <c r="A178" s="261" t="s">
        <v>65</v>
      </c>
      <c r="B178" s="252">
        <v>2</v>
      </c>
      <c r="C178" s="253">
        <v>5</v>
      </c>
      <c r="D178" s="253">
        <v>135000</v>
      </c>
      <c r="E178" s="254">
        <v>86000</v>
      </c>
      <c r="F178" s="255">
        <f t="shared" si="20"/>
        <v>110500</v>
      </c>
      <c r="G178" s="256">
        <f t="shared" si="19"/>
        <v>10932951.536828352</v>
      </c>
      <c r="H178" s="59"/>
    </row>
    <row r="179" spans="1:8" ht="15.75" thickBot="1" x14ac:dyDescent="0.3">
      <c r="A179" s="261" t="s">
        <v>66</v>
      </c>
      <c r="B179" s="252">
        <v>2</v>
      </c>
      <c r="C179" s="253">
        <v>4</v>
      </c>
      <c r="D179" s="253">
        <v>70000</v>
      </c>
      <c r="E179" s="254">
        <v>67000</v>
      </c>
      <c r="F179" s="255">
        <f t="shared" si="20"/>
        <v>68500</v>
      </c>
      <c r="G179" s="256">
        <f t="shared" si="19"/>
        <v>6354319.2617957154</v>
      </c>
      <c r="H179" s="59"/>
    </row>
    <row r="180" spans="1:8" x14ac:dyDescent="0.25">
      <c r="A180" s="226" t="s">
        <v>67</v>
      </c>
      <c r="B180" s="148">
        <v>1</v>
      </c>
      <c r="C180" s="149">
        <v>5</v>
      </c>
      <c r="D180" s="149">
        <v>26200</v>
      </c>
      <c r="E180" s="150">
        <v>18150</v>
      </c>
      <c r="F180" s="227">
        <f t="shared" si="20"/>
        <v>22175</v>
      </c>
      <c r="G180" s="228">
        <f t="shared" si="19"/>
        <v>3503247.6570554473</v>
      </c>
      <c r="H180" s="59"/>
    </row>
    <row r="181" spans="1:8" x14ac:dyDescent="0.25">
      <c r="A181" s="232" t="s">
        <v>67</v>
      </c>
      <c r="B181" s="2">
        <v>2</v>
      </c>
      <c r="C181" s="3">
        <v>5</v>
      </c>
      <c r="D181" s="3">
        <v>8900</v>
      </c>
      <c r="E181" s="102">
        <v>9670</v>
      </c>
      <c r="F181" s="233">
        <f t="shared" si="20"/>
        <v>9285</v>
      </c>
      <c r="G181" s="234">
        <f t="shared" si="19"/>
        <v>2030289.1208599897</v>
      </c>
      <c r="H181" s="59"/>
    </row>
    <row r="182" spans="1:8" x14ac:dyDescent="0.25">
      <c r="A182" s="232" t="s">
        <v>67</v>
      </c>
      <c r="B182" s="2">
        <v>1</v>
      </c>
      <c r="C182" s="3">
        <v>5</v>
      </c>
      <c r="D182" s="3">
        <v>4500</v>
      </c>
      <c r="E182" s="102">
        <v>2920</v>
      </c>
      <c r="F182" s="233">
        <f t="shared" si="20"/>
        <v>3710</v>
      </c>
      <c r="G182" s="234">
        <f t="shared" si="19"/>
        <v>1038994.2146745929</v>
      </c>
      <c r="H182" s="59"/>
    </row>
    <row r="183" spans="1:8" x14ac:dyDescent="0.25">
      <c r="A183" s="232" t="s">
        <v>67</v>
      </c>
      <c r="B183" s="2">
        <v>1</v>
      </c>
      <c r="C183" s="3">
        <v>5</v>
      </c>
      <c r="D183" s="3">
        <v>4000</v>
      </c>
      <c r="E183" s="102">
        <v>5635</v>
      </c>
      <c r="F183" s="233">
        <f t="shared" si="20"/>
        <v>4817.5</v>
      </c>
      <c r="G183" s="234">
        <f t="shared" si="19"/>
        <v>1240894.7669800043</v>
      </c>
      <c r="H183" s="59"/>
    </row>
    <row r="184" spans="1:8" x14ac:dyDescent="0.25">
      <c r="A184" s="232" t="s">
        <v>67</v>
      </c>
      <c r="B184" s="2">
        <v>1</v>
      </c>
      <c r="C184" s="3">
        <v>5</v>
      </c>
      <c r="D184" s="3">
        <v>2000</v>
      </c>
      <c r="E184" s="102">
        <v>1520</v>
      </c>
      <c r="F184" s="233">
        <f t="shared" si="20"/>
        <v>1760</v>
      </c>
      <c r="G184" s="234">
        <f t="shared" si="19"/>
        <v>625824.06206484011</v>
      </c>
      <c r="H184" s="59"/>
    </row>
    <row r="185" spans="1:8" x14ac:dyDescent="0.25">
      <c r="A185" s="232" t="s">
        <v>67</v>
      </c>
      <c r="B185" s="2">
        <v>1</v>
      </c>
      <c r="C185" s="3">
        <v>5</v>
      </c>
      <c r="D185" s="3">
        <v>1200</v>
      </c>
      <c r="E185" s="102">
        <v>500</v>
      </c>
      <c r="F185" s="233">
        <f t="shared" si="20"/>
        <v>850</v>
      </c>
      <c r="G185" s="234">
        <f t="shared" si="19"/>
        <v>381567.81162101566</v>
      </c>
      <c r="H185" s="59"/>
    </row>
    <row r="186" spans="1:8" x14ac:dyDescent="0.25">
      <c r="A186" s="232" t="s">
        <v>67</v>
      </c>
      <c r="B186" s="2">
        <v>2</v>
      </c>
      <c r="C186" s="3">
        <v>5</v>
      </c>
      <c r="D186" s="3">
        <v>1200</v>
      </c>
      <c r="E186" s="102">
        <v>700</v>
      </c>
      <c r="F186" s="233">
        <f t="shared" si="20"/>
        <v>950</v>
      </c>
      <c r="G186" s="234">
        <f t="shared" si="19"/>
        <v>431038.68911822274</v>
      </c>
      <c r="H186" s="59"/>
    </row>
    <row r="187" spans="1:8" x14ac:dyDescent="0.25">
      <c r="A187" s="232" t="s">
        <v>67</v>
      </c>
      <c r="B187" s="2">
        <v>2</v>
      </c>
      <c r="C187" s="3">
        <v>2</v>
      </c>
      <c r="D187" s="3">
        <v>800</v>
      </c>
      <c r="E187" s="102">
        <v>1000</v>
      </c>
      <c r="F187" s="233">
        <f t="shared" si="20"/>
        <v>900</v>
      </c>
      <c r="G187" s="234">
        <f t="shared" si="19"/>
        <v>304881.30768879119</v>
      </c>
      <c r="H187" s="59"/>
    </row>
    <row r="188" spans="1:8" x14ac:dyDescent="0.25">
      <c r="A188" s="232" t="s">
        <v>67</v>
      </c>
      <c r="B188" s="2">
        <v>1</v>
      </c>
      <c r="C188" s="3">
        <v>4</v>
      </c>
      <c r="D188" s="3">
        <v>300</v>
      </c>
      <c r="E188" s="102">
        <v>290</v>
      </c>
      <c r="F188" s="233">
        <f t="shared" si="20"/>
        <v>295</v>
      </c>
      <c r="G188" s="234">
        <f t="shared" si="19"/>
        <v>156585.51585298689</v>
      </c>
      <c r="H188" s="59"/>
    </row>
    <row r="189" spans="1:8" ht="15.75" thickBot="1" x14ac:dyDescent="0.3">
      <c r="A189" s="235" t="s">
        <v>67</v>
      </c>
      <c r="B189" s="140">
        <v>1</v>
      </c>
      <c r="C189" s="141">
        <v>3</v>
      </c>
      <c r="D189" s="141">
        <v>100</v>
      </c>
      <c r="E189" s="142">
        <v>124</v>
      </c>
      <c r="F189" s="236">
        <f t="shared" si="20"/>
        <v>112</v>
      </c>
      <c r="G189" s="237">
        <f t="shared" si="19"/>
        <v>76967.235338506624</v>
      </c>
      <c r="H189" s="59"/>
    </row>
    <row r="190" spans="1:8" x14ac:dyDescent="0.25">
      <c r="A190" s="226" t="s">
        <v>68</v>
      </c>
      <c r="B190" s="148">
        <v>1</v>
      </c>
      <c r="C190" s="149">
        <v>5</v>
      </c>
      <c r="D190" s="149">
        <v>160000</v>
      </c>
      <c r="E190" s="150">
        <v>67924</v>
      </c>
      <c r="F190" s="227">
        <f t="shared" si="20"/>
        <v>113962</v>
      </c>
      <c r="G190" s="228">
        <f t="shared" si="19"/>
        <v>10659534.4124383</v>
      </c>
      <c r="H190" s="59"/>
    </row>
    <row r="191" spans="1:8" x14ac:dyDescent="0.25">
      <c r="A191" s="232" t="s">
        <v>68</v>
      </c>
      <c r="B191" s="2">
        <v>2</v>
      </c>
      <c r="C191" s="3">
        <v>5</v>
      </c>
      <c r="D191" s="3">
        <v>9700</v>
      </c>
      <c r="E191" s="102">
        <v>4559</v>
      </c>
      <c r="F191" s="233">
        <f t="shared" si="20"/>
        <v>7129.5</v>
      </c>
      <c r="G191" s="234">
        <f t="shared" si="19"/>
        <v>1696560.3167248843</v>
      </c>
      <c r="H191" s="59"/>
    </row>
    <row r="192" spans="1:8" x14ac:dyDescent="0.25">
      <c r="A192" s="232" t="s">
        <v>68</v>
      </c>
      <c r="B192" s="2">
        <v>1</v>
      </c>
      <c r="C192" s="3">
        <v>5</v>
      </c>
      <c r="D192" s="3">
        <v>3853</v>
      </c>
      <c r="E192" s="102">
        <v>1675</v>
      </c>
      <c r="F192" s="233">
        <f t="shared" si="20"/>
        <v>2764</v>
      </c>
      <c r="G192" s="234">
        <f t="shared" si="19"/>
        <v>850570.47670180944</v>
      </c>
      <c r="H192" s="59"/>
    </row>
    <row r="193" spans="1:8" x14ac:dyDescent="0.25">
      <c r="A193" s="232" t="s">
        <v>68</v>
      </c>
      <c r="B193" s="2">
        <v>1</v>
      </c>
      <c r="C193" s="3">
        <v>4</v>
      </c>
      <c r="D193" s="3">
        <v>411</v>
      </c>
      <c r="E193" s="102">
        <v>339</v>
      </c>
      <c r="F193" s="233">
        <f t="shared" si="20"/>
        <v>375</v>
      </c>
      <c r="G193" s="234">
        <f t="shared" si="19"/>
        <v>184328.73248227756</v>
      </c>
      <c r="H193" s="59"/>
    </row>
    <row r="194" spans="1:8" x14ac:dyDescent="0.25">
      <c r="A194" s="232" t="s">
        <v>68</v>
      </c>
      <c r="B194" s="2">
        <v>1</v>
      </c>
      <c r="C194" s="3">
        <v>4</v>
      </c>
      <c r="D194" s="3">
        <v>6100</v>
      </c>
      <c r="E194" s="102">
        <v>4071</v>
      </c>
      <c r="F194" s="233">
        <f t="shared" si="20"/>
        <v>5085.5</v>
      </c>
      <c r="G194" s="234">
        <f t="shared" si="19"/>
        <v>1084756.3524001176</v>
      </c>
      <c r="H194" s="59"/>
    </row>
    <row r="195" spans="1:8" x14ac:dyDescent="0.25">
      <c r="A195" s="232" t="s">
        <v>68</v>
      </c>
      <c r="B195" s="2">
        <v>1</v>
      </c>
      <c r="C195" s="3">
        <v>4</v>
      </c>
      <c r="D195" s="3">
        <v>2000</v>
      </c>
      <c r="E195" s="102">
        <v>822</v>
      </c>
      <c r="F195" s="233">
        <f t="shared" si="20"/>
        <v>1411</v>
      </c>
      <c r="G195" s="234">
        <f t="shared" si="19"/>
        <v>453748.33545273589</v>
      </c>
      <c r="H195" s="59"/>
    </row>
    <row r="196" spans="1:8" x14ac:dyDescent="0.25">
      <c r="A196" s="232" t="s">
        <v>68</v>
      </c>
      <c r="B196" s="2">
        <v>1</v>
      </c>
      <c r="C196" s="3">
        <v>4</v>
      </c>
      <c r="D196" s="3">
        <v>2000</v>
      </c>
      <c r="E196" s="102">
        <v>671</v>
      </c>
      <c r="F196" s="233">
        <f t="shared" si="20"/>
        <v>1335.5</v>
      </c>
      <c r="G196" s="234">
        <f t="shared" ref="G196:G238" si="21">IF(C196=1,1581.92*(F196^0.6798),IF(C196=2,2991.14*(F196^0.6798),IF(C196=3,3113.49*(F196^0.6798),IF(C196=4,3279.19*(F196^0.6798),IF(C196=5, IF(B196=1,3891.82*(F196^0.6798),IF(B196=2,4076.24*(F196^0.6798),0)),0)))))</f>
        <v>437098.48271370633</v>
      </c>
      <c r="H196" s="59"/>
    </row>
    <row r="197" spans="1:8" ht="15.75" thickBot="1" x14ac:dyDescent="0.3">
      <c r="A197" s="235" t="s">
        <v>68</v>
      </c>
      <c r="B197" s="140">
        <v>1</v>
      </c>
      <c r="C197" s="141">
        <v>4</v>
      </c>
      <c r="D197" s="141">
        <v>2000</v>
      </c>
      <c r="E197" s="142">
        <v>324</v>
      </c>
      <c r="F197" s="236">
        <f t="shared" ref="F197:F238" si="22">(D197+E197)/2</f>
        <v>1162</v>
      </c>
      <c r="G197" s="237">
        <f t="shared" si="21"/>
        <v>397643.3343000171</v>
      </c>
      <c r="H197" s="59"/>
    </row>
    <row r="198" spans="1:8" x14ac:dyDescent="0.25">
      <c r="A198" s="226" t="s">
        <v>69</v>
      </c>
      <c r="B198" s="148">
        <v>1</v>
      </c>
      <c r="C198" s="149">
        <v>1</v>
      </c>
      <c r="D198" s="149">
        <v>30</v>
      </c>
      <c r="E198" s="150">
        <v>0</v>
      </c>
      <c r="F198" s="227">
        <f t="shared" si="22"/>
        <v>15</v>
      </c>
      <c r="G198" s="228">
        <f t="shared" si="21"/>
        <v>9969.9126821475147</v>
      </c>
      <c r="H198" s="59"/>
    </row>
    <row r="199" spans="1:8" x14ac:dyDescent="0.25">
      <c r="A199" s="232" t="s">
        <v>69</v>
      </c>
      <c r="B199" s="2">
        <v>1</v>
      </c>
      <c r="C199" s="3">
        <v>2</v>
      </c>
      <c r="D199" s="3">
        <v>124</v>
      </c>
      <c r="E199" s="102">
        <v>0</v>
      </c>
      <c r="F199" s="233">
        <f t="shared" si="22"/>
        <v>62</v>
      </c>
      <c r="G199" s="234">
        <f t="shared" si="21"/>
        <v>49465.751469024581</v>
      </c>
      <c r="H199" s="59"/>
    </row>
    <row r="200" spans="1:8" x14ac:dyDescent="0.25">
      <c r="A200" s="232" t="s">
        <v>69</v>
      </c>
      <c r="B200" s="2">
        <v>2</v>
      </c>
      <c r="C200" s="3">
        <v>3</v>
      </c>
      <c r="D200" s="3">
        <v>2227</v>
      </c>
      <c r="E200" s="102">
        <v>998</v>
      </c>
      <c r="F200" s="233">
        <f t="shared" si="22"/>
        <v>1612.5</v>
      </c>
      <c r="G200" s="234">
        <f t="shared" si="21"/>
        <v>471743.3503262669</v>
      </c>
      <c r="H200" s="59"/>
    </row>
    <row r="201" spans="1:8" x14ac:dyDescent="0.25">
      <c r="A201" s="232" t="s">
        <v>69</v>
      </c>
      <c r="B201" s="2">
        <v>2</v>
      </c>
      <c r="C201" s="3">
        <v>5</v>
      </c>
      <c r="D201" s="3">
        <v>1730</v>
      </c>
      <c r="E201" s="102">
        <v>1504</v>
      </c>
      <c r="F201" s="233">
        <f t="shared" si="22"/>
        <v>1617</v>
      </c>
      <c r="G201" s="234">
        <f t="shared" si="21"/>
        <v>618786.48253886099</v>
      </c>
      <c r="H201" s="59"/>
    </row>
    <row r="202" spans="1:8" x14ac:dyDescent="0.25">
      <c r="A202" s="232" t="s">
        <v>69</v>
      </c>
      <c r="B202" s="2">
        <v>1</v>
      </c>
      <c r="C202" s="3">
        <v>2</v>
      </c>
      <c r="D202" s="3">
        <v>285</v>
      </c>
      <c r="E202" s="102">
        <v>228</v>
      </c>
      <c r="F202" s="233">
        <f t="shared" si="22"/>
        <v>256.5</v>
      </c>
      <c r="G202" s="234">
        <f t="shared" si="21"/>
        <v>129877.62381623885</v>
      </c>
      <c r="H202" s="59"/>
    </row>
    <row r="203" spans="1:8" x14ac:dyDescent="0.25">
      <c r="A203" s="232" t="s">
        <v>69</v>
      </c>
      <c r="B203" s="2">
        <v>1</v>
      </c>
      <c r="C203" s="3">
        <v>1</v>
      </c>
      <c r="D203" s="3">
        <v>192</v>
      </c>
      <c r="E203" s="102">
        <v>100</v>
      </c>
      <c r="F203" s="233">
        <f t="shared" si="22"/>
        <v>146</v>
      </c>
      <c r="G203" s="234">
        <f t="shared" si="21"/>
        <v>46828.64463805691</v>
      </c>
      <c r="H203" s="59"/>
    </row>
    <row r="204" spans="1:8" x14ac:dyDescent="0.25">
      <c r="A204" s="232" t="s">
        <v>69</v>
      </c>
      <c r="B204" s="2">
        <v>1</v>
      </c>
      <c r="C204" s="3">
        <v>1</v>
      </c>
      <c r="D204" s="3">
        <v>65</v>
      </c>
      <c r="E204" s="102">
        <v>0</v>
      </c>
      <c r="F204" s="233">
        <f t="shared" si="22"/>
        <v>32.5</v>
      </c>
      <c r="G204" s="234">
        <f t="shared" si="21"/>
        <v>16864.086673393875</v>
      </c>
      <c r="H204" s="59"/>
    </row>
    <row r="205" spans="1:8" x14ac:dyDescent="0.25">
      <c r="A205" s="232" t="s">
        <v>69</v>
      </c>
      <c r="B205" s="2">
        <v>2</v>
      </c>
      <c r="C205" s="3">
        <v>5</v>
      </c>
      <c r="D205" s="3">
        <v>7500</v>
      </c>
      <c r="E205" s="102">
        <v>6164</v>
      </c>
      <c r="F205" s="233">
        <f t="shared" si="22"/>
        <v>6832</v>
      </c>
      <c r="G205" s="234">
        <f t="shared" si="21"/>
        <v>1648106.9092031443</v>
      </c>
      <c r="H205" s="59"/>
    </row>
    <row r="206" spans="1:8" x14ac:dyDescent="0.25">
      <c r="A206" s="232" t="s">
        <v>69</v>
      </c>
      <c r="B206" s="2">
        <v>1</v>
      </c>
      <c r="C206" s="3">
        <v>3</v>
      </c>
      <c r="D206" s="3">
        <v>50</v>
      </c>
      <c r="E206" s="102">
        <v>0</v>
      </c>
      <c r="F206" s="233">
        <f t="shared" si="22"/>
        <v>25</v>
      </c>
      <c r="G206" s="234">
        <f t="shared" si="21"/>
        <v>27769.438161166636</v>
      </c>
      <c r="H206" s="59"/>
    </row>
    <row r="207" spans="1:8" x14ac:dyDescent="0.25">
      <c r="A207" s="232" t="s">
        <v>69</v>
      </c>
      <c r="B207" s="2">
        <v>1</v>
      </c>
      <c r="C207" s="34">
        <v>3</v>
      </c>
      <c r="D207" s="3">
        <v>200</v>
      </c>
      <c r="E207" s="102">
        <v>135</v>
      </c>
      <c r="F207" s="233">
        <f t="shared" si="22"/>
        <v>167.5</v>
      </c>
      <c r="G207" s="234">
        <f t="shared" si="21"/>
        <v>101188.86950698796</v>
      </c>
      <c r="H207" s="59"/>
    </row>
    <row r="208" spans="1:8" x14ac:dyDescent="0.25">
      <c r="A208" s="232" t="s">
        <v>69</v>
      </c>
      <c r="B208" s="2">
        <v>1</v>
      </c>
      <c r="C208" s="3">
        <v>3</v>
      </c>
      <c r="D208" s="3">
        <v>167</v>
      </c>
      <c r="E208" s="102">
        <v>0</v>
      </c>
      <c r="F208" s="233">
        <f t="shared" si="22"/>
        <v>83.5</v>
      </c>
      <c r="G208" s="234">
        <f t="shared" si="21"/>
        <v>63039.090862105528</v>
      </c>
      <c r="H208" s="59"/>
    </row>
    <row r="209" spans="1:8" x14ac:dyDescent="0.25">
      <c r="A209" s="232" t="s">
        <v>69</v>
      </c>
      <c r="B209" s="2">
        <v>1</v>
      </c>
      <c r="C209" s="34">
        <v>2</v>
      </c>
      <c r="D209" s="3">
        <v>50</v>
      </c>
      <c r="E209" s="102">
        <v>0</v>
      </c>
      <c r="F209" s="233">
        <f t="shared" si="22"/>
        <v>25</v>
      </c>
      <c r="G209" s="234">
        <f t="shared" si="21"/>
        <v>26678.189832436259</v>
      </c>
      <c r="H209" s="59"/>
    </row>
    <row r="210" spans="1:8" x14ac:dyDescent="0.25">
      <c r="A210" s="232" t="s">
        <v>69</v>
      </c>
      <c r="B210" s="2">
        <v>2</v>
      </c>
      <c r="C210" s="3">
        <v>3</v>
      </c>
      <c r="D210" s="3">
        <v>1100</v>
      </c>
      <c r="E210" s="102">
        <v>451</v>
      </c>
      <c r="F210" s="233">
        <f t="shared" si="22"/>
        <v>775.5</v>
      </c>
      <c r="G210" s="234">
        <f t="shared" si="21"/>
        <v>286803.98693862336</v>
      </c>
      <c r="H210" s="59"/>
    </row>
    <row r="211" spans="1:8" ht="15.75" thickBot="1" x14ac:dyDescent="0.3">
      <c r="A211" s="235" t="s">
        <v>69</v>
      </c>
      <c r="B211" s="140">
        <v>1</v>
      </c>
      <c r="C211" s="141">
        <v>3</v>
      </c>
      <c r="D211" s="141">
        <v>249</v>
      </c>
      <c r="E211" s="142">
        <v>109</v>
      </c>
      <c r="F211" s="236">
        <f t="shared" si="22"/>
        <v>179</v>
      </c>
      <c r="G211" s="237">
        <f t="shared" si="21"/>
        <v>105861.23728688699</v>
      </c>
      <c r="H211" s="59"/>
    </row>
    <row r="212" spans="1:8" x14ac:dyDescent="0.25">
      <c r="A212" s="285" t="s">
        <v>161</v>
      </c>
      <c r="B212" s="286">
        <v>2</v>
      </c>
      <c r="C212" s="287">
        <v>5</v>
      </c>
      <c r="D212" s="287">
        <v>15000</v>
      </c>
      <c r="E212" s="288">
        <v>9139</v>
      </c>
      <c r="F212" s="289">
        <f t="shared" si="22"/>
        <v>12069.5</v>
      </c>
      <c r="G212" s="290">
        <f t="shared" si="21"/>
        <v>2426566.0566471727</v>
      </c>
      <c r="H212" s="59"/>
    </row>
    <row r="213" spans="1:8" x14ac:dyDescent="0.25">
      <c r="A213" s="291" t="s">
        <v>161</v>
      </c>
      <c r="B213" s="292">
        <v>1</v>
      </c>
      <c r="C213" s="293">
        <v>5</v>
      </c>
      <c r="D213" s="293">
        <v>9000</v>
      </c>
      <c r="E213" s="294">
        <v>2313</v>
      </c>
      <c r="F213" s="295">
        <f t="shared" si="22"/>
        <v>5656.5</v>
      </c>
      <c r="G213" s="296">
        <f t="shared" si="21"/>
        <v>1383995.6790057949</v>
      </c>
      <c r="H213" s="59"/>
    </row>
    <row r="214" spans="1:8" x14ac:dyDescent="0.25">
      <c r="A214" s="297" t="s">
        <v>161</v>
      </c>
      <c r="B214" s="292">
        <v>1</v>
      </c>
      <c r="C214" s="293">
        <v>4</v>
      </c>
      <c r="D214" s="293">
        <v>700</v>
      </c>
      <c r="E214" s="294">
        <v>584</v>
      </c>
      <c r="F214" s="295">
        <f t="shared" si="22"/>
        <v>642</v>
      </c>
      <c r="G214" s="296">
        <f t="shared" si="21"/>
        <v>265661.66670908505</v>
      </c>
      <c r="H214" s="59"/>
    </row>
    <row r="215" spans="1:8" x14ac:dyDescent="0.25">
      <c r="A215" s="297" t="s">
        <v>161</v>
      </c>
      <c r="B215" s="292">
        <v>1</v>
      </c>
      <c r="C215" s="293">
        <v>5</v>
      </c>
      <c r="D215" s="293">
        <v>36000</v>
      </c>
      <c r="E215" s="294">
        <v>13698</v>
      </c>
      <c r="F215" s="295">
        <f t="shared" si="22"/>
        <v>24849</v>
      </c>
      <c r="G215" s="296">
        <f t="shared" si="21"/>
        <v>3785155.6833200627</v>
      </c>
      <c r="H215" s="59"/>
    </row>
    <row r="216" spans="1:8" x14ac:dyDescent="0.25">
      <c r="A216" s="297" t="s">
        <v>161</v>
      </c>
      <c r="B216" s="292">
        <v>2</v>
      </c>
      <c r="C216" s="293">
        <v>5</v>
      </c>
      <c r="D216" s="293">
        <v>42500</v>
      </c>
      <c r="E216" s="294">
        <v>18125</v>
      </c>
      <c r="F216" s="295">
        <f t="shared" si="22"/>
        <v>30312.5</v>
      </c>
      <c r="G216" s="296">
        <f t="shared" si="21"/>
        <v>4538018.0198717285</v>
      </c>
      <c r="H216" s="59"/>
    </row>
    <row r="217" spans="1:8" x14ac:dyDescent="0.25">
      <c r="A217" s="297" t="s">
        <v>161</v>
      </c>
      <c r="B217" s="292">
        <v>2</v>
      </c>
      <c r="C217" s="293">
        <v>5</v>
      </c>
      <c r="D217" s="293">
        <v>24000</v>
      </c>
      <c r="E217" s="294">
        <v>6318</v>
      </c>
      <c r="F217" s="295">
        <f t="shared" si="22"/>
        <v>15159</v>
      </c>
      <c r="G217" s="296">
        <f t="shared" si="21"/>
        <v>2833215.3643655032</v>
      </c>
      <c r="H217" s="59"/>
    </row>
    <row r="218" spans="1:8" x14ac:dyDescent="0.25">
      <c r="A218" s="297" t="s">
        <v>161</v>
      </c>
      <c r="B218" s="292">
        <v>1</v>
      </c>
      <c r="C218" s="293">
        <v>4</v>
      </c>
      <c r="D218" s="293">
        <v>4000</v>
      </c>
      <c r="E218" s="294">
        <v>1780</v>
      </c>
      <c r="F218" s="295">
        <f t="shared" si="22"/>
        <v>2890</v>
      </c>
      <c r="G218" s="296">
        <f t="shared" si="21"/>
        <v>738728.6362166272</v>
      </c>
      <c r="H218" s="59"/>
    </row>
    <row r="219" spans="1:8" x14ac:dyDescent="0.25">
      <c r="A219" s="297" t="s">
        <v>161</v>
      </c>
      <c r="B219" s="292">
        <v>1</v>
      </c>
      <c r="C219" s="293">
        <v>5</v>
      </c>
      <c r="D219" s="293">
        <v>3500</v>
      </c>
      <c r="E219" s="294">
        <v>1491</v>
      </c>
      <c r="F219" s="295">
        <f t="shared" si="22"/>
        <v>2495.5</v>
      </c>
      <c r="G219" s="296">
        <f t="shared" si="21"/>
        <v>793488.18499457871</v>
      </c>
      <c r="H219" s="59"/>
    </row>
    <row r="220" spans="1:8" x14ac:dyDescent="0.25">
      <c r="A220" s="297" t="s">
        <v>161</v>
      </c>
      <c r="B220" s="292">
        <v>1</v>
      </c>
      <c r="C220" s="293">
        <v>4</v>
      </c>
      <c r="D220" s="293">
        <v>1400</v>
      </c>
      <c r="E220" s="294">
        <v>790</v>
      </c>
      <c r="F220" s="295">
        <f t="shared" si="22"/>
        <v>1095</v>
      </c>
      <c r="G220" s="296">
        <f t="shared" si="21"/>
        <v>381909.3571418355</v>
      </c>
      <c r="H220" s="59"/>
    </row>
    <row r="221" spans="1:8" x14ac:dyDescent="0.25">
      <c r="A221" s="297" t="s">
        <v>161</v>
      </c>
      <c r="B221" s="292">
        <v>1</v>
      </c>
      <c r="C221" s="293">
        <v>4</v>
      </c>
      <c r="D221" s="293">
        <v>2000</v>
      </c>
      <c r="E221" s="294">
        <v>560</v>
      </c>
      <c r="F221" s="295">
        <f t="shared" si="22"/>
        <v>1280</v>
      </c>
      <c r="G221" s="296">
        <f t="shared" si="21"/>
        <v>424666.41732157284</v>
      </c>
      <c r="H221" s="59"/>
    </row>
    <row r="222" spans="1:8" x14ac:dyDescent="0.25">
      <c r="A222" s="297" t="s">
        <v>161</v>
      </c>
      <c r="B222" s="292">
        <v>1</v>
      </c>
      <c r="C222" s="293">
        <v>4</v>
      </c>
      <c r="D222" s="293">
        <v>900</v>
      </c>
      <c r="E222" s="294">
        <v>241</v>
      </c>
      <c r="F222" s="295">
        <f t="shared" si="22"/>
        <v>570.5</v>
      </c>
      <c r="G222" s="296">
        <f t="shared" si="21"/>
        <v>245171.04091965349</v>
      </c>
      <c r="H222" s="59"/>
    </row>
    <row r="223" spans="1:8" x14ac:dyDescent="0.25">
      <c r="A223" s="297" t="s">
        <v>161</v>
      </c>
      <c r="B223" s="292">
        <v>2</v>
      </c>
      <c r="C223" s="293">
        <v>5</v>
      </c>
      <c r="D223" s="293">
        <v>26000</v>
      </c>
      <c r="E223" s="294">
        <v>6933</v>
      </c>
      <c r="F223" s="295">
        <f t="shared" si="22"/>
        <v>16466.5</v>
      </c>
      <c r="G223" s="296">
        <f t="shared" si="21"/>
        <v>2997128.1249303175</v>
      </c>
      <c r="H223" s="59"/>
    </row>
    <row r="224" spans="1:8" x14ac:dyDescent="0.25">
      <c r="A224" s="297" t="s">
        <v>161</v>
      </c>
      <c r="B224" s="292">
        <v>1</v>
      </c>
      <c r="C224" s="293">
        <v>4</v>
      </c>
      <c r="D224" s="293">
        <v>4000</v>
      </c>
      <c r="E224" s="294">
        <v>1403</v>
      </c>
      <c r="F224" s="295">
        <f t="shared" si="22"/>
        <v>2701.5</v>
      </c>
      <c r="G224" s="296">
        <f t="shared" si="21"/>
        <v>705621.23304347123</v>
      </c>
      <c r="H224" s="59"/>
    </row>
    <row r="225" spans="1:8" x14ac:dyDescent="0.25">
      <c r="A225" s="297" t="s">
        <v>161</v>
      </c>
      <c r="B225" s="292">
        <v>1</v>
      </c>
      <c r="C225" s="293">
        <v>4</v>
      </c>
      <c r="D225" s="293">
        <v>4000</v>
      </c>
      <c r="E225" s="294">
        <v>1327</v>
      </c>
      <c r="F225" s="295">
        <f t="shared" si="22"/>
        <v>2663.5</v>
      </c>
      <c r="G225" s="296">
        <f t="shared" si="21"/>
        <v>698858.62135028536</v>
      </c>
      <c r="H225" s="59"/>
    </row>
    <row r="226" spans="1:8" x14ac:dyDescent="0.25">
      <c r="A226" s="297" t="s">
        <v>161</v>
      </c>
      <c r="B226" s="292">
        <v>1</v>
      </c>
      <c r="C226" s="293">
        <v>4</v>
      </c>
      <c r="D226" s="293">
        <v>2000</v>
      </c>
      <c r="E226" s="294">
        <v>1170</v>
      </c>
      <c r="F226" s="295">
        <f t="shared" si="22"/>
        <v>1585</v>
      </c>
      <c r="G226" s="296">
        <f t="shared" si="21"/>
        <v>491073.47463168763</v>
      </c>
      <c r="H226" s="59"/>
    </row>
    <row r="227" spans="1:8" x14ac:dyDescent="0.25">
      <c r="A227" s="297" t="s">
        <v>161</v>
      </c>
      <c r="B227" s="292">
        <v>1</v>
      </c>
      <c r="C227" s="293">
        <v>4</v>
      </c>
      <c r="D227" s="293">
        <v>2000</v>
      </c>
      <c r="E227" s="294">
        <v>619</v>
      </c>
      <c r="F227" s="295">
        <f t="shared" si="22"/>
        <v>1309.5</v>
      </c>
      <c r="G227" s="296">
        <f t="shared" si="21"/>
        <v>431295.47498672077</v>
      </c>
      <c r="H227" s="59"/>
    </row>
    <row r="228" spans="1:8" x14ac:dyDescent="0.25">
      <c r="A228" s="297" t="s">
        <v>161</v>
      </c>
      <c r="B228" s="292">
        <v>1</v>
      </c>
      <c r="C228" s="293">
        <v>3</v>
      </c>
      <c r="D228" s="293">
        <v>250</v>
      </c>
      <c r="E228" s="294">
        <v>60</v>
      </c>
      <c r="F228" s="295">
        <f t="shared" si="22"/>
        <v>155</v>
      </c>
      <c r="G228" s="296">
        <f t="shared" si="21"/>
        <v>95991.983040646737</v>
      </c>
      <c r="H228" s="59"/>
    </row>
    <row r="229" spans="1:8" x14ac:dyDescent="0.25">
      <c r="A229" s="298" t="s">
        <v>161</v>
      </c>
      <c r="B229" s="292">
        <v>1</v>
      </c>
      <c r="C229" s="293">
        <v>3</v>
      </c>
      <c r="D229" s="293">
        <v>200</v>
      </c>
      <c r="E229" s="294">
        <v>14</v>
      </c>
      <c r="F229" s="295">
        <f t="shared" si="22"/>
        <v>107</v>
      </c>
      <c r="G229" s="296">
        <f t="shared" si="21"/>
        <v>74614.385606912168</v>
      </c>
      <c r="H229" s="59"/>
    </row>
    <row r="230" spans="1:8" ht="15.75" thickBot="1" x14ac:dyDescent="0.3">
      <c r="A230" s="285" t="s">
        <v>161</v>
      </c>
      <c r="B230" s="299">
        <v>1</v>
      </c>
      <c r="C230" s="300">
        <v>3</v>
      </c>
      <c r="D230" s="300">
        <v>200</v>
      </c>
      <c r="E230" s="301">
        <v>28</v>
      </c>
      <c r="F230" s="302">
        <f t="shared" si="22"/>
        <v>114</v>
      </c>
      <c r="G230" s="303">
        <f t="shared" si="21"/>
        <v>77898.91220012249</v>
      </c>
      <c r="H230" s="59"/>
    </row>
    <row r="231" spans="1:8" ht="15.75" thickBot="1" x14ac:dyDescent="0.3">
      <c r="A231" s="261" t="s">
        <v>71</v>
      </c>
      <c r="B231" s="252">
        <v>2</v>
      </c>
      <c r="C231" s="253">
        <v>5</v>
      </c>
      <c r="D231" s="253">
        <v>148000</v>
      </c>
      <c r="E231" s="254">
        <v>64737</v>
      </c>
      <c r="F231" s="255">
        <f t="shared" si="22"/>
        <v>106368.5</v>
      </c>
      <c r="G231" s="256">
        <f t="shared" si="21"/>
        <v>10653375.809629982</v>
      </c>
      <c r="H231" s="59"/>
    </row>
    <row r="232" spans="1:8" x14ac:dyDescent="0.25">
      <c r="A232" s="226" t="s">
        <v>87</v>
      </c>
      <c r="B232" s="145">
        <v>1</v>
      </c>
      <c r="C232" s="145">
        <v>4</v>
      </c>
      <c r="D232" s="145">
        <v>2200</v>
      </c>
      <c r="E232" s="245">
        <v>1066</v>
      </c>
      <c r="F232" s="227">
        <f t="shared" si="22"/>
        <v>1633</v>
      </c>
      <c r="G232" s="228">
        <f t="shared" si="21"/>
        <v>501134.83122567605</v>
      </c>
      <c r="H232" s="59"/>
    </row>
    <row r="233" spans="1:8" ht="15.75" thickBot="1" x14ac:dyDescent="0.3">
      <c r="A233" s="235" t="s">
        <v>87</v>
      </c>
      <c r="B233" s="147">
        <v>1</v>
      </c>
      <c r="C233" s="147">
        <v>4</v>
      </c>
      <c r="D233" s="147">
        <v>1250</v>
      </c>
      <c r="E233" s="249">
        <v>973</v>
      </c>
      <c r="F233" s="236">
        <f t="shared" si="22"/>
        <v>1111.5</v>
      </c>
      <c r="G233" s="237">
        <f t="shared" si="21"/>
        <v>385812.09338978236</v>
      </c>
      <c r="H233" s="59"/>
    </row>
    <row r="234" spans="1:8" x14ac:dyDescent="0.25">
      <c r="A234" s="226" t="s">
        <v>72</v>
      </c>
      <c r="B234" s="148">
        <v>2</v>
      </c>
      <c r="C234" s="149">
        <v>5</v>
      </c>
      <c r="D234" s="149">
        <v>125000</v>
      </c>
      <c r="E234" s="150">
        <v>82483</v>
      </c>
      <c r="F234" s="227">
        <f t="shared" si="22"/>
        <v>103741.5</v>
      </c>
      <c r="G234" s="228">
        <f t="shared" si="21"/>
        <v>10473799.878544604</v>
      </c>
      <c r="H234" s="59"/>
    </row>
    <row r="235" spans="1:8" x14ac:dyDescent="0.25">
      <c r="A235" s="232" t="s">
        <v>72</v>
      </c>
      <c r="B235" s="2">
        <v>2</v>
      </c>
      <c r="C235" s="3">
        <v>5</v>
      </c>
      <c r="D235" s="3">
        <v>17000</v>
      </c>
      <c r="E235" s="102">
        <v>10950</v>
      </c>
      <c r="F235" s="233">
        <f t="shared" si="22"/>
        <v>13975</v>
      </c>
      <c r="G235" s="234">
        <f t="shared" si="21"/>
        <v>2680833.9285704745</v>
      </c>
      <c r="H235" s="59"/>
    </row>
    <row r="236" spans="1:8" x14ac:dyDescent="0.25">
      <c r="A236" s="232" t="s">
        <v>72</v>
      </c>
      <c r="B236" s="2">
        <v>2</v>
      </c>
      <c r="C236" s="3">
        <v>5</v>
      </c>
      <c r="D236" s="3">
        <v>3500</v>
      </c>
      <c r="E236" s="102">
        <v>1475</v>
      </c>
      <c r="F236" s="233">
        <f t="shared" si="22"/>
        <v>2487.5</v>
      </c>
      <c r="G236" s="234">
        <f t="shared" si="21"/>
        <v>829276.75975249556</v>
      </c>
      <c r="H236" s="59"/>
    </row>
    <row r="237" spans="1:8" x14ac:dyDescent="0.25">
      <c r="A237" s="232" t="s">
        <v>72</v>
      </c>
      <c r="B237" s="2">
        <v>2</v>
      </c>
      <c r="C237" s="3">
        <v>5</v>
      </c>
      <c r="D237" s="3">
        <v>22500</v>
      </c>
      <c r="E237" s="102">
        <v>7444</v>
      </c>
      <c r="F237" s="233">
        <f t="shared" si="22"/>
        <v>14972</v>
      </c>
      <c r="G237" s="234">
        <f t="shared" si="21"/>
        <v>2809408.984501136</v>
      </c>
      <c r="H237" s="59"/>
    </row>
    <row r="238" spans="1:8" ht="15.75" thickBot="1" x14ac:dyDescent="0.3">
      <c r="A238" s="235" t="s">
        <v>72</v>
      </c>
      <c r="B238" s="140">
        <v>2</v>
      </c>
      <c r="C238" s="141">
        <v>4</v>
      </c>
      <c r="D238" s="141">
        <v>6500</v>
      </c>
      <c r="E238" s="142">
        <v>2333</v>
      </c>
      <c r="F238" s="236">
        <f t="shared" si="22"/>
        <v>4416.5</v>
      </c>
      <c r="G238" s="237">
        <f t="shared" si="21"/>
        <v>985577.46505028603</v>
      </c>
      <c r="H238" s="59"/>
    </row>
    <row r="239" spans="1:8" x14ac:dyDescent="0.25">
      <c r="A239" s="226" t="s">
        <v>88</v>
      </c>
      <c r="B239" s="145">
        <v>2</v>
      </c>
      <c r="C239" s="145">
        <v>5</v>
      </c>
      <c r="D239" s="145">
        <v>115000</v>
      </c>
      <c r="E239" s="245">
        <v>73600</v>
      </c>
      <c r="F239" s="227">
        <f t="shared" ref="F239:F274" si="23">(D239+E239)/2</f>
        <v>94300</v>
      </c>
      <c r="G239" s="228">
        <f t="shared" ref="G239:G273" si="24">IF(C239=1,1581.92*(F239^0.6798),IF(C239=2,2991.14*(F239^0.6798),IF(C239=3,3113.49*(F239^0.6798),IF(C239=4,3279.19*(F239^0.6798),IF(C239=5, IF(B239=1,3891.82*(F239^0.6798),IF(B239=2,4076.24*(F239^0.6798),0)),0)))))</f>
        <v>9815960.3420792129</v>
      </c>
      <c r="H239" s="59"/>
    </row>
    <row r="240" spans="1:8" x14ac:dyDescent="0.25">
      <c r="A240" s="232" t="s">
        <v>88</v>
      </c>
      <c r="B240" s="1">
        <v>1</v>
      </c>
      <c r="C240" s="1">
        <v>5</v>
      </c>
      <c r="D240" s="1">
        <v>40000</v>
      </c>
      <c r="E240" s="247">
        <v>16700</v>
      </c>
      <c r="F240" s="233">
        <f t="shared" si="23"/>
        <v>28350</v>
      </c>
      <c r="G240" s="234">
        <f t="shared" si="24"/>
        <v>4139980.7137876856</v>
      </c>
      <c r="H240" s="59"/>
    </row>
    <row r="241" spans="1:8" x14ac:dyDescent="0.25">
      <c r="A241" s="232" t="s">
        <v>88</v>
      </c>
      <c r="B241" s="1">
        <v>2</v>
      </c>
      <c r="C241" s="1">
        <v>5</v>
      </c>
      <c r="D241" s="1">
        <v>35000</v>
      </c>
      <c r="E241" s="247">
        <v>16400</v>
      </c>
      <c r="F241" s="233">
        <f t="shared" si="23"/>
        <v>25700</v>
      </c>
      <c r="G241" s="234">
        <f t="shared" si="24"/>
        <v>4056320.6985275946</v>
      </c>
      <c r="H241" s="59"/>
    </row>
    <row r="242" spans="1:8" x14ac:dyDescent="0.25">
      <c r="A242" s="232" t="s">
        <v>88</v>
      </c>
      <c r="B242" s="1">
        <v>1</v>
      </c>
      <c r="C242" s="1">
        <v>5</v>
      </c>
      <c r="D242" s="1">
        <v>2000</v>
      </c>
      <c r="E242" s="247">
        <v>1317</v>
      </c>
      <c r="F242" s="233">
        <f t="shared" si="23"/>
        <v>1658.5</v>
      </c>
      <c r="G242" s="234">
        <f t="shared" si="24"/>
        <v>601056.53869036178</v>
      </c>
      <c r="H242" s="59"/>
    </row>
    <row r="243" spans="1:8" x14ac:dyDescent="0.25">
      <c r="A243" s="232" t="s">
        <v>88</v>
      </c>
      <c r="B243" s="1">
        <v>1</v>
      </c>
      <c r="C243" s="1">
        <v>5</v>
      </c>
      <c r="D243" s="1">
        <v>3000</v>
      </c>
      <c r="E243" s="247">
        <v>1516</v>
      </c>
      <c r="F243" s="233">
        <f t="shared" si="23"/>
        <v>2258</v>
      </c>
      <c r="G243" s="234">
        <f t="shared" si="24"/>
        <v>741334.61383221694</v>
      </c>
      <c r="H243" s="59"/>
    </row>
    <row r="244" spans="1:8" x14ac:dyDescent="0.25">
      <c r="A244" s="232" t="s">
        <v>88</v>
      </c>
      <c r="B244" s="1">
        <v>2</v>
      </c>
      <c r="C244" s="1">
        <v>4</v>
      </c>
      <c r="D244" s="1">
        <v>1500</v>
      </c>
      <c r="E244" s="247">
        <v>1192</v>
      </c>
      <c r="F244" s="233">
        <f t="shared" si="23"/>
        <v>1346</v>
      </c>
      <c r="G244" s="234">
        <f t="shared" si="24"/>
        <v>439431.72985298507</v>
      </c>
      <c r="H244" s="59"/>
    </row>
    <row r="245" spans="1:8" x14ac:dyDescent="0.25">
      <c r="A245" s="232" t="s">
        <v>88</v>
      </c>
      <c r="B245" s="1">
        <v>2</v>
      </c>
      <c r="C245" s="1">
        <v>4</v>
      </c>
      <c r="D245" s="1">
        <v>3000</v>
      </c>
      <c r="E245" s="247">
        <v>1316</v>
      </c>
      <c r="F245" s="233">
        <f t="shared" si="23"/>
        <v>2158</v>
      </c>
      <c r="G245" s="234">
        <f t="shared" si="24"/>
        <v>605696.06200536899</v>
      </c>
      <c r="H245" s="59"/>
    </row>
    <row r="246" spans="1:8" x14ac:dyDescent="0.25">
      <c r="A246" s="232" t="s">
        <v>88</v>
      </c>
      <c r="B246" s="1">
        <v>1</v>
      </c>
      <c r="C246" s="1">
        <v>4</v>
      </c>
      <c r="D246" s="1">
        <v>800</v>
      </c>
      <c r="E246" s="247">
        <v>344</v>
      </c>
      <c r="F246" s="233">
        <f t="shared" si="23"/>
        <v>572</v>
      </c>
      <c r="G246" s="234">
        <f t="shared" si="24"/>
        <v>245609.0703587202</v>
      </c>
      <c r="H246" s="59"/>
    </row>
    <row r="247" spans="1:8" x14ac:dyDescent="0.25">
      <c r="A247" s="232" t="s">
        <v>88</v>
      </c>
      <c r="B247" s="1">
        <v>2</v>
      </c>
      <c r="C247" s="1">
        <v>4</v>
      </c>
      <c r="D247" s="1">
        <v>1900</v>
      </c>
      <c r="E247" s="247">
        <v>320</v>
      </c>
      <c r="F247" s="233">
        <f t="shared" si="23"/>
        <v>1110</v>
      </c>
      <c r="G247" s="234">
        <f t="shared" si="24"/>
        <v>385458.06941980484</v>
      </c>
      <c r="H247" s="59"/>
    </row>
    <row r="248" spans="1:8" x14ac:dyDescent="0.25">
      <c r="A248" s="232" t="s">
        <v>88</v>
      </c>
      <c r="B248" s="1">
        <v>1</v>
      </c>
      <c r="C248" s="1">
        <v>3</v>
      </c>
      <c r="D248" s="1">
        <v>175</v>
      </c>
      <c r="E248" s="247">
        <v>170</v>
      </c>
      <c r="F248" s="233">
        <f t="shared" si="23"/>
        <v>172.5</v>
      </c>
      <c r="G248" s="234">
        <f t="shared" si="24"/>
        <v>103232.56182684819</v>
      </c>
      <c r="H248" s="59"/>
    </row>
    <row r="249" spans="1:8" x14ac:dyDescent="0.25">
      <c r="A249" s="232" t="s">
        <v>88</v>
      </c>
      <c r="B249" s="1">
        <v>1</v>
      </c>
      <c r="C249" s="1">
        <v>3</v>
      </c>
      <c r="D249" s="1">
        <v>120</v>
      </c>
      <c r="E249" s="247">
        <v>100</v>
      </c>
      <c r="F249" s="233">
        <f t="shared" si="23"/>
        <v>110</v>
      </c>
      <c r="G249" s="234">
        <f t="shared" si="24"/>
        <v>76030.215692174068</v>
      </c>
      <c r="H249" s="59"/>
    </row>
    <row r="250" spans="1:8" x14ac:dyDescent="0.25">
      <c r="A250" s="232" t="s">
        <v>88</v>
      </c>
      <c r="B250" s="1">
        <v>1</v>
      </c>
      <c r="C250" s="1">
        <v>3</v>
      </c>
      <c r="D250" s="1">
        <v>75</v>
      </c>
      <c r="E250" s="247">
        <v>70</v>
      </c>
      <c r="F250" s="233">
        <f t="shared" si="23"/>
        <v>72.5</v>
      </c>
      <c r="G250" s="234">
        <f t="shared" si="24"/>
        <v>57267.108044129964</v>
      </c>
      <c r="H250" s="59"/>
    </row>
    <row r="251" spans="1:8" x14ac:dyDescent="0.25">
      <c r="A251" s="232" t="s">
        <v>88</v>
      </c>
      <c r="B251" s="1">
        <v>1</v>
      </c>
      <c r="C251" s="1">
        <v>3</v>
      </c>
      <c r="D251" s="1">
        <v>100</v>
      </c>
      <c r="E251" s="247">
        <v>90</v>
      </c>
      <c r="F251" s="233">
        <f t="shared" si="23"/>
        <v>95</v>
      </c>
      <c r="G251" s="234">
        <f t="shared" si="24"/>
        <v>68818.306639108705</v>
      </c>
      <c r="H251" s="59"/>
    </row>
    <row r="252" spans="1:8" x14ac:dyDescent="0.25">
      <c r="A252" s="232" t="s">
        <v>88</v>
      </c>
      <c r="B252" s="1">
        <v>1</v>
      </c>
      <c r="C252" s="1">
        <v>3</v>
      </c>
      <c r="D252" s="1">
        <v>75</v>
      </c>
      <c r="E252" s="247">
        <v>70</v>
      </c>
      <c r="F252" s="233">
        <f t="shared" si="23"/>
        <v>72.5</v>
      </c>
      <c r="G252" s="234">
        <f t="shared" si="24"/>
        <v>57267.108044129964</v>
      </c>
      <c r="H252" s="59"/>
    </row>
    <row r="253" spans="1:8" x14ac:dyDescent="0.25">
      <c r="A253" s="232" t="s">
        <v>88</v>
      </c>
      <c r="B253" s="1">
        <v>1</v>
      </c>
      <c r="C253" s="1">
        <v>1</v>
      </c>
      <c r="D253" s="1">
        <v>500</v>
      </c>
      <c r="E253" s="247">
        <v>450</v>
      </c>
      <c r="F253" s="233">
        <f t="shared" si="23"/>
        <v>475</v>
      </c>
      <c r="G253" s="234">
        <f t="shared" si="24"/>
        <v>104424.1220574156</v>
      </c>
      <c r="H253" s="59"/>
    </row>
    <row r="254" spans="1:8" x14ac:dyDescent="0.25">
      <c r="A254" s="232" t="s">
        <v>88</v>
      </c>
      <c r="B254" s="1">
        <v>1</v>
      </c>
      <c r="C254" s="1">
        <v>1</v>
      </c>
      <c r="D254" s="1">
        <v>750</v>
      </c>
      <c r="E254" s="247">
        <v>250</v>
      </c>
      <c r="F254" s="233">
        <f t="shared" si="23"/>
        <v>500</v>
      </c>
      <c r="G254" s="234">
        <f t="shared" si="24"/>
        <v>108129.53261088498</v>
      </c>
      <c r="H254" s="59"/>
    </row>
    <row r="255" spans="1:8" x14ac:dyDescent="0.25">
      <c r="A255" s="232" t="s">
        <v>88</v>
      </c>
      <c r="B255" s="1">
        <v>1</v>
      </c>
      <c r="C255" s="1">
        <v>1</v>
      </c>
      <c r="D255" s="1">
        <v>150</v>
      </c>
      <c r="E255" s="247">
        <v>100</v>
      </c>
      <c r="F255" s="233">
        <f t="shared" si="23"/>
        <v>125</v>
      </c>
      <c r="G255" s="234">
        <f t="shared" si="24"/>
        <v>42137.032159399227</v>
      </c>
      <c r="H255" s="59"/>
    </row>
    <row r="256" spans="1:8" x14ac:dyDescent="0.25">
      <c r="A256" s="232" t="s">
        <v>88</v>
      </c>
      <c r="B256" s="1">
        <v>1</v>
      </c>
      <c r="C256" s="1">
        <v>1</v>
      </c>
      <c r="D256" s="1">
        <v>115</v>
      </c>
      <c r="E256" s="247">
        <v>50</v>
      </c>
      <c r="F256" s="233">
        <f t="shared" si="23"/>
        <v>82.5</v>
      </c>
      <c r="G256" s="234">
        <f t="shared" si="24"/>
        <v>31768.002705067523</v>
      </c>
      <c r="H256" s="59"/>
    </row>
    <row r="257" spans="1:8" ht="15.75" thickBot="1" x14ac:dyDescent="0.3">
      <c r="A257" s="235" t="s">
        <v>88</v>
      </c>
      <c r="B257" s="147">
        <v>1</v>
      </c>
      <c r="C257" s="147">
        <v>1</v>
      </c>
      <c r="D257" s="147">
        <v>200</v>
      </c>
      <c r="E257" s="249">
        <v>50</v>
      </c>
      <c r="F257" s="236">
        <f t="shared" si="23"/>
        <v>125</v>
      </c>
      <c r="G257" s="237">
        <f t="shared" si="24"/>
        <v>42137.032159399227</v>
      </c>
      <c r="H257" s="59"/>
    </row>
    <row r="258" spans="1:8" x14ac:dyDescent="0.25">
      <c r="A258" s="226" t="s">
        <v>73</v>
      </c>
      <c r="B258" s="148">
        <v>1</v>
      </c>
      <c r="C258" s="149">
        <v>5</v>
      </c>
      <c r="D258" s="149">
        <v>6800</v>
      </c>
      <c r="E258" s="150">
        <v>2497</v>
      </c>
      <c r="F258" s="227">
        <f t="shared" si="23"/>
        <v>4648.5</v>
      </c>
      <c r="G258" s="228">
        <f t="shared" si="24"/>
        <v>1211133.4835604394</v>
      </c>
      <c r="H258" s="59"/>
    </row>
    <row r="259" spans="1:8" x14ac:dyDescent="0.25">
      <c r="A259" s="232" t="s">
        <v>73</v>
      </c>
      <c r="B259" s="2">
        <v>1</v>
      </c>
      <c r="C259" s="3">
        <v>5</v>
      </c>
      <c r="D259" s="3">
        <v>500</v>
      </c>
      <c r="E259" s="102">
        <v>120</v>
      </c>
      <c r="F259" s="233">
        <f t="shared" si="23"/>
        <v>310</v>
      </c>
      <c r="G259" s="234">
        <f t="shared" si="24"/>
        <v>192211.96786494419</v>
      </c>
      <c r="H259" s="59"/>
    </row>
    <row r="260" spans="1:8" x14ac:dyDescent="0.25">
      <c r="A260" s="232" t="s">
        <v>73</v>
      </c>
      <c r="B260" s="2">
        <v>1</v>
      </c>
      <c r="C260" s="3">
        <v>5</v>
      </c>
      <c r="D260" s="3">
        <v>350</v>
      </c>
      <c r="E260" s="102">
        <v>136</v>
      </c>
      <c r="F260" s="233">
        <f t="shared" si="23"/>
        <v>243</v>
      </c>
      <c r="G260" s="234">
        <f t="shared" si="24"/>
        <v>162887.5497215506</v>
      </c>
      <c r="H260" s="59"/>
    </row>
    <row r="261" spans="1:8" x14ac:dyDescent="0.25">
      <c r="A261" s="232" t="s">
        <v>73</v>
      </c>
      <c r="B261" s="2">
        <v>1</v>
      </c>
      <c r="C261" s="3">
        <v>5</v>
      </c>
      <c r="D261" s="3">
        <v>125</v>
      </c>
      <c r="E261" s="102">
        <v>63</v>
      </c>
      <c r="F261" s="233">
        <f t="shared" si="23"/>
        <v>94</v>
      </c>
      <c r="G261" s="234">
        <f t="shared" si="24"/>
        <v>85405.346782246168</v>
      </c>
      <c r="H261" s="59"/>
    </row>
    <row r="262" spans="1:8" x14ac:dyDescent="0.25">
      <c r="A262" s="232" t="s">
        <v>73</v>
      </c>
      <c r="B262" s="2">
        <v>1</v>
      </c>
      <c r="C262" s="3">
        <v>5</v>
      </c>
      <c r="D262" s="3">
        <v>120</v>
      </c>
      <c r="E262" s="102">
        <v>20</v>
      </c>
      <c r="F262" s="233">
        <f t="shared" si="23"/>
        <v>70</v>
      </c>
      <c r="G262" s="234">
        <f t="shared" si="24"/>
        <v>69895.689458933775</v>
      </c>
      <c r="H262" s="59"/>
    </row>
    <row r="263" spans="1:8" x14ac:dyDescent="0.25">
      <c r="A263" s="232" t="s">
        <v>73</v>
      </c>
      <c r="B263" s="2">
        <v>1</v>
      </c>
      <c r="C263" s="3">
        <v>5</v>
      </c>
      <c r="D263" s="3">
        <v>100</v>
      </c>
      <c r="E263" s="102">
        <v>18</v>
      </c>
      <c r="F263" s="233">
        <f t="shared" si="23"/>
        <v>59</v>
      </c>
      <c r="G263" s="234">
        <f t="shared" si="24"/>
        <v>62226.868063135225</v>
      </c>
      <c r="H263" s="59"/>
    </row>
    <row r="264" spans="1:8" x14ac:dyDescent="0.25">
      <c r="A264" s="232" t="s">
        <v>73</v>
      </c>
      <c r="B264" s="2">
        <v>1</v>
      </c>
      <c r="C264" s="3">
        <v>5</v>
      </c>
      <c r="D264" s="3">
        <v>23000</v>
      </c>
      <c r="E264" s="102">
        <v>12528</v>
      </c>
      <c r="F264" s="233">
        <f t="shared" si="23"/>
        <v>17764</v>
      </c>
      <c r="G264" s="234">
        <f t="shared" si="24"/>
        <v>3012940.5141011896</v>
      </c>
      <c r="H264" s="59"/>
    </row>
    <row r="265" spans="1:8" x14ac:dyDescent="0.25">
      <c r="A265" s="232" t="s">
        <v>73</v>
      </c>
      <c r="B265" s="2">
        <v>2</v>
      </c>
      <c r="C265" s="3">
        <v>5</v>
      </c>
      <c r="D265" s="3">
        <v>4650</v>
      </c>
      <c r="E265" s="102">
        <v>4199</v>
      </c>
      <c r="F265" s="233">
        <f t="shared" si="23"/>
        <v>4424.5</v>
      </c>
      <c r="G265" s="234">
        <f t="shared" si="24"/>
        <v>1226643.1252431853</v>
      </c>
      <c r="H265" s="59"/>
    </row>
    <row r="266" spans="1:8" x14ac:dyDescent="0.25">
      <c r="A266" s="232" t="s">
        <v>73</v>
      </c>
      <c r="B266" s="2">
        <v>1</v>
      </c>
      <c r="C266" s="3">
        <v>5</v>
      </c>
      <c r="D266" s="3">
        <v>2500</v>
      </c>
      <c r="E266" s="102">
        <v>2988</v>
      </c>
      <c r="F266" s="233">
        <f t="shared" si="23"/>
        <v>2744</v>
      </c>
      <c r="G266" s="234">
        <f t="shared" si="24"/>
        <v>846381.69379516493</v>
      </c>
      <c r="H266" s="59"/>
    </row>
    <row r="267" spans="1:8" x14ac:dyDescent="0.25">
      <c r="A267" s="232" t="s">
        <v>73</v>
      </c>
      <c r="B267" s="2">
        <v>1</v>
      </c>
      <c r="C267" s="3">
        <v>5</v>
      </c>
      <c r="D267" s="3">
        <v>270</v>
      </c>
      <c r="E267" s="102">
        <v>432</v>
      </c>
      <c r="F267" s="233">
        <f t="shared" si="23"/>
        <v>351</v>
      </c>
      <c r="G267" s="234">
        <f t="shared" si="24"/>
        <v>209147.42566437877</v>
      </c>
      <c r="H267" s="59"/>
    </row>
    <row r="268" spans="1:8" x14ac:dyDescent="0.25">
      <c r="A268" s="232" t="s">
        <v>73</v>
      </c>
      <c r="B268" s="2">
        <v>1</v>
      </c>
      <c r="C268" s="3">
        <v>5</v>
      </c>
      <c r="D268" s="3">
        <v>100</v>
      </c>
      <c r="E268" s="102">
        <v>249</v>
      </c>
      <c r="F268" s="233">
        <f t="shared" si="23"/>
        <v>174.5</v>
      </c>
      <c r="G268" s="234">
        <f t="shared" si="24"/>
        <v>130054.46885654867</v>
      </c>
      <c r="H268" s="59"/>
    </row>
    <row r="269" spans="1:8" x14ac:dyDescent="0.25">
      <c r="A269" s="232" t="s">
        <v>73</v>
      </c>
      <c r="B269" s="2">
        <v>1</v>
      </c>
      <c r="C269" s="3">
        <v>5</v>
      </c>
      <c r="D269" s="3">
        <v>300</v>
      </c>
      <c r="E269" s="102">
        <v>160</v>
      </c>
      <c r="F269" s="233">
        <f t="shared" si="23"/>
        <v>230</v>
      </c>
      <c r="G269" s="234">
        <f t="shared" si="24"/>
        <v>156911.70031326715</v>
      </c>
      <c r="H269" s="59"/>
    </row>
    <row r="270" spans="1:8" ht="15.75" thickBot="1" x14ac:dyDescent="0.3">
      <c r="A270" s="235" t="s">
        <v>73</v>
      </c>
      <c r="B270" s="140">
        <v>1</v>
      </c>
      <c r="C270" s="141">
        <v>1</v>
      </c>
      <c r="D270" s="141">
        <v>25</v>
      </c>
      <c r="E270" s="142">
        <v>25</v>
      </c>
      <c r="F270" s="236">
        <f t="shared" si="23"/>
        <v>25</v>
      </c>
      <c r="G270" s="237">
        <f t="shared" si="24"/>
        <v>14109.256691337609</v>
      </c>
      <c r="H270" s="59"/>
    </row>
    <row r="271" spans="1:8" x14ac:dyDescent="0.25">
      <c r="A271" s="264" t="s">
        <v>75</v>
      </c>
      <c r="B271" s="265">
        <v>1</v>
      </c>
      <c r="C271" s="266">
        <v>5</v>
      </c>
      <c r="D271" s="266">
        <v>2835</v>
      </c>
      <c r="E271" s="267">
        <v>1168</v>
      </c>
      <c r="F271" s="227">
        <f t="shared" si="23"/>
        <v>2001.5</v>
      </c>
      <c r="G271" s="228">
        <f t="shared" si="24"/>
        <v>682989.89568166505</v>
      </c>
      <c r="H271" s="59"/>
    </row>
    <row r="272" spans="1:8" x14ac:dyDescent="0.25">
      <c r="A272" s="268" t="s">
        <v>75</v>
      </c>
      <c r="B272" s="269">
        <v>1</v>
      </c>
      <c r="C272" s="270">
        <v>4</v>
      </c>
      <c r="D272" s="270">
        <v>5145</v>
      </c>
      <c r="E272" s="271">
        <v>1713</v>
      </c>
      <c r="F272" s="233">
        <f t="shared" si="23"/>
        <v>3429</v>
      </c>
      <c r="G272" s="234">
        <f t="shared" si="24"/>
        <v>829800.0129984786</v>
      </c>
      <c r="H272" s="59"/>
    </row>
    <row r="273" spans="1:8" x14ac:dyDescent="0.25">
      <c r="A273" s="268" t="s">
        <v>75</v>
      </c>
      <c r="B273" s="269">
        <v>1</v>
      </c>
      <c r="C273" s="270">
        <v>5</v>
      </c>
      <c r="D273" s="270">
        <v>16500</v>
      </c>
      <c r="E273" s="271">
        <v>5094</v>
      </c>
      <c r="F273" s="233">
        <f t="shared" si="23"/>
        <v>10797</v>
      </c>
      <c r="G273" s="234">
        <f t="shared" si="24"/>
        <v>2147791.8688387768</v>
      </c>
      <c r="H273" s="59"/>
    </row>
    <row r="274" spans="1:8" x14ac:dyDescent="0.25">
      <c r="A274" s="268" t="s">
        <v>75</v>
      </c>
      <c r="B274" s="269">
        <v>1</v>
      </c>
      <c r="C274" s="270">
        <v>5</v>
      </c>
      <c r="D274" s="270">
        <v>20000</v>
      </c>
      <c r="E274" s="271">
        <v>5865</v>
      </c>
      <c r="F274" s="233">
        <f t="shared" si="23"/>
        <v>12932.5</v>
      </c>
      <c r="G274" s="234">
        <f t="shared" ref="G274:G316" si="25">IF(C274=1,1581.92*(F274^0.6798),IF(C274=2,2991.14*(F274^0.6798),IF(C274=3,3113.49*(F274^0.6798),IF(C274=4,3279.19*(F274^0.6798),IF(C274=5, IF(B274=1,3891.82*(F274^0.6798),IF(B274=2,4076.24*(F274^0.6798),0)),0)))))</f>
        <v>2428144.3437333307</v>
      </c>
      <c r="H274" s="59"/>
    </row>
    <row r="275" spans="1:8" x14ac:dyDescent="0.25">
      <c r="A275" s="268" t="s">
        <v>75</v>
      </c>
      <c r="B275" s="269">
        <v>2</v>
      </c>
      <c r="C275" s="270">
        <v>3</v>
      </c>
      <c r="D275" s="270">
        <v>400</v>
      </c>
      <c r="E275" s="271">
        <v>0</v>
      </c>
      <c r="F275" s="233">
        <f t="shared" ref="F275:F316" si="26">(D275+E275)/2</f>
        <v>200</v>
      </c>
      <c r="G275" s="234">
        <f t="shared" si="25"/>
        <v>114153.08851948453</v>
      </c>
      <c r="H275" s="59"/>
    </row>
    <row r="276" spans="1:8" ht="15.75" thickBot="1" x14ac:dyDescent="0.3">
      <c r="A276" s="272" t="s">
        <v>75</v>
      </c>
      <c r="B276" s="273">
        <v>1</v>
      </c>
      <c r="C276" s="274">
        <v>3</v>
      </c>
      <c r="D276" s="274">
        <v>350</v>
      </c>
      <c r="E276" s="275">
        <v>5</v>
      </c>
      <c r="F276" s="236">
        <f t="shared" si="26"/>
        <v>177.5</v>
      </c>
      <c r="G276" s="237">
        <f t="shared" si="25"/>
        <v>105257.37100863308</v>
      </c>
      <c r="H276" s="59"/>
    </row>
    <row r="277" spans="1:8" x14ac:dyDescent="0.25">
      <c r="A277" s="264" t="s">
        <v>76</v>
      </c>
      <c r="B277" s="265">
        <v>2</v>
      </c>
      <c r="C277" s="266">
        <v>5</v>
      </c>
      <c r="D277" s="266">
        <v>60000</v>
      </c>
      <c r="E277" s="267">
        <v>59003</v>
      </c>
      <c r="F277" s="227">
        <f t="shared" si="26"/>
        <v>59501.5</v>
      </c>
      <c r="G277" s="228">
        <f t="shared" si="25"/>
        <v>7177675.5380414082</v>
      </c>
      <c r="H277" s="59"/>
    </row>
    <row r="278" spans="1:8" x14ac:dyDescent="0.25">
      <c r="A278" s="268" t="s">
        <v>76</v>
      </c>
      <c r="B278" s="269">
        <v>1</v>
      </c>
      <c r="C278" s="270">
        <v>5</v>
      </c>
      <c r="D278" s="270">
        <v>6510</v>
      </c>
      <c r="E278" s="271">
        <v>2516</v>
      </c>
      <c r="F278" s="233">
        <f t="shared" si="26"/>
        <v>4513</v>
      </c>
      <c r="G278" s="234">
        <f t="shared" si="25"/>
        <v>1187020.6638695505</v>
      </c>
      <c r="H278" s="59"/>
    </row>
    <row r="279" spans="1:8" ht="15.75" thickBot="1" x14ac:dyDescent="0.3">
      <c r="A279" s="272" t="s">
        <v>76</v>
      </c>
      <c r="B279" s="273">
        <v>1</v>
      </c>
      <c r="C279" s="274">
        <v>3</v>
      </c>
      <c r="D279" s="274">
        <v>1200</v>
      </c>
      <c r="E279" s="275">
        <v>756</v>
      </c>
      <c r="F279" s="236">
        <f t="shared" si="26"/>
        <v>978</v>
      </c>
      <c r="G279" s="237">
        <f t="shared" si="25"/>
        <v>335799.33261560596</v>
      </c>
      <c r="H279" s="59"/>
    </row>
    <row r="280" spans="1:8" x14ac:dyDescent="0.25">
      <c r="A280" s="262" t="s">
        <v>89</v>
      </c>
      <c r="B280" s="155">
        <v>1</v>
      </c>
      <c r="C280" s="155">
        <v>5</v>
      </c>
      <c r="D280" s="155">
        <v>105000</v>
      </c>
      <c r="E280" s="276">
        <v>44173</v>
      </c>
      <c r="F280" s="227">
        <f t="shared" si="26"/>
        <v>74586.5</v>
      </c>
      <c r="G280" s="228">
        <f t="shared" si="25"/>
        <v>7990743.1044905633</v>
      </c>
      <c r="H280" s="59"/>
    </row>
    <row r="281" spans="1:8" x14ac:dyDescent="0.25">
      <c r="A281" s="250" t="s">
        <v>89</v>
      </c>
      <c r="B281" s="22">
        <v>1</v>
      </c>
      <c r="C281" s="22">
        <v>5</v>
      </c>
      <c r="D281" s="22">
        <v>20000</v>
      </c>
      <c r="E281" s="277">
        <v>21450</v>
      </c>
      <c r="F281" s="233">
        <f t="shared" si="26"/>
        <v>20725</v>
      </c>
      <c r="G281" s="234">
        <f t="shared" si="25"/>
        <v>3345844.3483648086</v>
      </c>
      <c r="H281" s="59"/>
    </row>
    <row r="282" spans="1:8" x14ac:dyDescent="0.25">
      <c r="A282" s="250" t="s">
        <v>89</v>
      </c>
      <c r="B282" s="22">
        <v>1</v>
      </c>
      <c r="C282" s="22">
        <v>5</v>
      </c>
      <c r="D282" s="22">
        <v>6500</v>
      </c>
      <c r="E282" s="277">
        <v>5945</v>
      </c>
      <c r="F282" s="233">
        <f t="shared" si="26"/>
        <v>6222.5</v>
      </c>
      <c r="G282" s="234">
        <f t="shared" si="25"/>
        <v>1476692.5647408196</v>
      </c>
      <c r="H282" s="59"/>
    </row>
    <row r="283" spans="1:8" x14ac:dyDescent="0.25">
      <c r="A283" s="250" t="s">
        <v>89</v>
      </c>
      <c r="B283" s="22">
        <v>1</v>
      </c>
      <c r="C283" s="22">
        <v>4</v>
      </c>
      <c r="D283" s="22">
        <v>3000</v>
      </c>
      <c r="E283" s="277">
        <v>2542</v>
      </c>
      <c r="F283" s="233">
        <f t="shared" si="26"/>
        <v>2771</v>
      </c>
      <c r="G283" s="234">
        <f t="shared" si="25"/>
        <v>717911.46846835199</v>
      </c>
      <c r="H283" s="59"/>
    </row>
    <row r="284" spans="1:8" x14ac:dyDescent="0.25">
      <c r="A284" s="250" t="s">
        <v>89</v>
      </c>
      <c r="B284" s="22">
        <v>1</v>
      </c>
      <c r="C284" s="22">
        <v>5</v>
      </c>
      <c r="D284" s="22">
        <v>5300</v>
      </c>
      <c r="E284" s="277">
        <v>3133</v>
      </c>
      <c r="F284" s="233">
        <f t="shared" si="26"/>
        <v>4216.5</v>
      </c>
      <c r="G284" s="234">
        <f t="shared" si="25"/>
        <v>1133431.2600537338</v>
      </c>
      <c r="H284" s="59"/>
    </row>
    <row r="285" spans="1:8" x14ac:dyDescent="0.25">
      <c r="A285" s="250" t="s">
        <v>89</v>
      </c>
      <c r="B285" s="22">
        <v>1</v>
      </c>
      <c r="C285" s="22">
        <v>5</v>
      </c>
      <c r="D285" s="22">
        <v>3000</v>
      </c>
      <c r="E285" s="277">
        <v>1105</v>
      </c>
      <c r="F285" s="233">
        <f t="shared" si="26"/>
        <v>2052.5</v>
      </c>
      <c r="G285" s="234">
        <f t="shared" si="25"/>
        <v>694772.85435093101</v>
      </c>
      <c r="H285" s="59"/>
    </row>
    <row r="286" spans="1:8" ht="15.75" thickBot="1" x14ac:dyDescent="0.3">
      <c r="A286" s="263" t="s">
        <v>89</v>
      </c>
      <c r="B286" s="156">
        <v>1</v>
      </c>
      <c r="C286" s="156">
        <v>4</v>
      </c>
      <c r="D286" s="156">
        <v>120</v>
      </c>
      <c r="E286" s="278">
        <v>40</v>
      </c>
      <c r="F286" s="236">
        <f t="shared" si="26"/>
        <v>80</v>
      </c>
      <c r="G286" s="237">
        <f t="shared" si="25"/>
        <v>64489.224441995873</v>
      </c>
      <c r="H286" s="59"/>
    </row>
    <row r="287" spans="1:8" x14ac:dyDescent="0.25">
      <c r="A287" s="226" t="s">
        <v>78</v>
      </c>
      <c r="B287" s="148">
        <v>1</v>
      </c>
      <c r="C287" s="149">
        <v>3</v>
      </c>
      <c r="D287" s="149">
        <v>912</v>
      </c>
      <c r="E287" s="150">
        <v>673</v>
      </c>
      <c r="F287" s="227">
        <f t="shared" si="26"/>
        <v>792.5</v>
      </c>
      <c r="G287" s="228">
        <f t="shared" si="25"/>
        <v>291063.11943199707</v>
      </c>
      <c r="H287" s="59"/>
    </row>
    <row r="288" spans="1:8" x14ac:dyDescent="0.25">
      <c r="A288" s="232" t="s">
        <v>78</v>
      </c>
      <c r="B288" s="2">
        <v>1</v>
      </c>
      <c r="C288" s="3">
        <v>5</v>
      </c>
      <c r="D288" s="3">
        <v>10000</v>
      </c>
      <c r="E288" s="102">
        <v>4325</v>
      </c>
      <c r="F288" s="233">
        <f>(D288+E288)/2</f>
        <v>7162.5</v>
      </c>
      <c r="G288" s="234">
        <f>IF(C288=1,1581.92*(F288^0.6798),IF(C288=2,2991.14*(F288^0.6798),IF(C288=3,3113.49*(F288^0.6798),IF(C288=4,3279.19*(F288^0.6798),IF(C288=5, IF(B288=1,3891.82*(F288^0.6798),IF(B288=2,4076.24*(F288^0.6798),0)),0)))))</f>
        <v>1624896.4296983145</v>
      </c>
      <c r="H288" s="59"/>
    </row>
    <row r="289" spans="1:8" x14ac:dyDescent="0.25">
      <c r="A289" s="232" t="s">
        <v>78</v>
      </c>
      <c r="B289" s="2">
        <v>1</v>
      </c>
      <c r="C289" s="3">
        <v>5</v>
      </c>
      <c r="D289" s="3">
        <v>15000</v>
      </c>
      <c r="E289" s="102">
        <v>10789</v>
      </c>
      <c r="F289" s="233">
        <f t="shared" si="26"/>
        <v>12894.5</v>
      </c>
      <c r="G289" s="234">
        <f t="shared" si="25"/>
        <v>2423291.8912596013</v>
      </c>
      <c r="H289" s="59"/>
    </row>
    <row r="290" spans="1:8" x14ac:dyDescent="0.25">
      <c r="A290" s="232" t="s">
        <v>78</v>
      </c>
      <c r="B290" s="2">
        <v>1</v>
      </c>
      <c r="C290" s="3">
        <v>5</v>
      </c>
      <c r="D290" s="3">
        <v>52500</v>
      </c>
      <c r="E290" s="102">
        <v>22761</v>
      </c>
      <c r="F290" s="233">
        <f t="shared" si="26"/>
        <v>37630.5</v>
      </c>
      <c r="G290" s="234">
        <f t="shared" si="25"/>
        <v>5018857.0959142307</v>
      </c>
      <c r="H290" s="59"/>
    </row>
    <row r="291" spans="1:8" x14ac:dyDescent="0.25">
      <c r="A291" s="232" t="s">
        <v>78</v>
      </c>
      <c r="B291" s="2">
        <v>1</v>
      </c>
      <c r="C291" s="3">
        <v>3</v>
      </c>
      <c r="D291" s="3">
        <v>5064</v>
      </c>
      <c r="E291" s="102">
        <v>2128</v>
      </c>
      <c r="F291" s="233">
        <f t="shared" si="26"/>
        <v>3596</v>
      </c>
      <c r="G291" s="234">
        <f t="shared" si="25"/>
        <v>813755.0481187026</v>
      </c>
      <c r="H291" s="59"/>
    </row>
    <row r="292" spans="1:8" x14ac:dyDescent="0.25">
      <c r="A292" s="232" t="s">
        <v>78</v>
      </c>
      <c r="B292" s="2">
        <v>1</v>
      </c>
      <c r="C292" s="3">
        <v>4</v>
      </c>
      <c r="D292" s="3">
        <v>1500</v>
      </c>
      <c r="E292" s="102">
        <v>1119</v>
      </c>
      <c r="F292" s="233">
        <f t="shared" si="26"/>
        <v>1309.5</v>
      </c>
      <c r="G292" s="234">
        <f t="shared" si="25"/>
        <v>431295.47498672077</v>
      </c>
      <c r="H292" s="59"/>
    </row>
    <row r="293" spans="1:8" x14ac:dyDescent="0.25">
      <c r="A293" s="232" t="s">
        <v>78</v>
      </c>
      <c r="B293" s="2">
        <v>1</v>
      </c>
      <c r="C293" s="3">
        <v>5</v>
      </c>
      <c r="D293" s="3">
        <v>57000</v>
      </c>
      <c r="E293" s="102">
        <v>47703</v>
      </c>
      <c r="F293" s="233">
        <f t="shared" si="26"/>
        <v>52351.5</v>
      </c>
      <c r="G293" s="234">
        <f t="shared" si="25"/>
        <v>6281751.7296568053</v>
      </c>
      <c r="H293" s="59"/>
    </row>
    <row r="294" spans="1:8" x14ac:dyDescent="0.25">
      <c r="A294" s="232" t="s">
        <v>78</v>
      </c>
      <c r="B294" s="2">
        <v>1</v>
      </c>
      <c r="C294" s="3">
        <v>3</v>
      </c>
      <c r="D294" s="3">
        <v>3000</v>
      </c>
      <c r="E294" s="102">
        <v>2198</v>
      </c>
      <c r="F294" s="233">
        <f t="shared" si="26"/>
        <v>2599</v>
      </c>
      <c r="G294" s="234">
        <f t="shared" si="25"/>
        <v>652578.53405219316</v>
      </c>
      <c r="H294" s="59"/>
    </row>
    <row r="295" spans="1:8" ht="15.75" thickBot="1" x14ac:dyDescent="0.3">
      <c r="A295" s="235" t="s">
        <v>78</v>
      </c>
      <c r="B295" s="140">
        <v>1</v>
      </c>
      <c r="C295" s="141">
        <v>1</v>
      </c>
      <c r="D295" s="141">
        <v>1300</v>
      </c>
      <c r="E295" s="142">
        <v>213</v>
      </c>
      <c r="F295" s="236">
        <f t="shared" si="26"/>
        <v>756.5</v>
      </c>
      <c r="G295" s="237">
        <f t="shared" si="25"/>
        <v>143284.3734742424</v>
      </c>
      <c r="H295" s="59"/>
    </row>
    <row r="296" spans="1:8" ht="15.75" thickBot="1" x14ac:dyDescent="0.3">
      <c r="A296" s="44" t="s">
        <v>160</v>
      </c>
      <c r="B296" s="148">
        <v>2</v>
      </c>
      <c r="C296" s="149">
        <v>5</v>
      </c>
      <c r="D296" s="149">
        <v>130000</v>
      </c>
      <c r="E296" s="150">
        <v>110321</v>
      </c>
      <c r="F296" s="227">
        <f t="shared" si="26"/>
        <v>120160.5</v>
      </c>
      <c r="G296" s="228">
        <f t="shared" si="25"/>
        <v>11573954.434838317</v>
      </c>
      <c r="H296" s="59"/>
    </row>
    <row r="297" spans="1:8" x14ac:dyDescent="0.25">
      <c r="A297" s="226" t="s">
        <v>90</v>
      </c>
      <c r="B297" s="145">
        <v>1</v>
      </c>
      <c r="C297" s="145">
        <v>4</v>
      </c>
      <c r="D297" s="145">
        <v>15000</v>
      </c>
      <c r="E297" s="245">
        <v>7460</v>
      </c>
      <c r="F297" s="227">
        <f t="shared" si="26"/>
        <v>11230</v>
      </c>
      <c r="G297" s="228">
        <f t="shared" si="25"/>
        <v>1858723.2835478524</v>
      </c>
      <c r="H297" s="59"/>
    </row>
    <row r="298" spans="1:8" x14ac:dyDescent="0.25">
      <c r="A298" s="232" t="s">
        <v>90</v>
      </c>
      <c r="B298" s="1">
        <v>1</v>
      </c>
      <c r="C298" s="1">
        <v>3</v>
      </c>
      <c r="D298" s="1">
        <v>450</v>
      </c>
      <c r="E298" s="247">
        <v>300</v>
      </c>
      <c r="F298" s="233">
        <f t="shared" si="26"/>
        <v>375</v>
      </c>
      <c r="G298" s="234">
        <f t="shared" si="25"/>
        <v>175014.45945378169</v>
      </c>
      <c r="H298" s="59"/>
    </row>
    <row r="299" spans="1:8" x14ac:dyDescent="0.25">
      <c r="A299" s="232" t="s">
        <v>90</v>
      </c>
      <c r="B299" s="1">
        <v>1</v>
      </c>
      <c r="C299" s="1">
        <v>3</v>
      </c>
      <c r="D299" s="1">
        <v>730</v>
      </c>
      <c r="E299" s="247">
        <v>143</v>
      </c>
      <c r="F299" s="233">
        <f t="shared" si="26"/>
        <v>436.5</v>
      </c>
      <c r="G299" s="234">
        <f t="shared" si="25"/>
        <v>194047.81951235788</v>
      </c>
      <c r="H299" s="59"/>
    </row>
    <row r="300" spans="1:8" x14ac:dyDescent="0.25">
      <c r="A300" s="232" t="s">
        <v>90</v>
      </c>
      <c r="B300" s="1">
        <v>2</v>
      </c>
      <c r="C300" s="1">
        <v>4</v>
      </c>
      <c r="D300" s="1">
        <v>4500</v>
      </c>
      <c r="E300" s="247">
        <v>1327</v>
      </c>
      <c r="F300" s="233">
        <f t="shared" si="26"/>
        <v>2913.5</v>
      </c>
      <c r="G300" s="234">
        <f t="shared" si="25"/>
        <v>742806.87241718883</v>
      </c>
      <c r="H300" s="59"/>
    </row>
    <row r="301" spans="1:8" x14ac:dyDescent="0.25">
      <c r="A301" s="232" t="s">
        <v>90</v>
      </c>
      <c r="B301" s="1">
        <v>2</v>
      </c>
      <c r="C301" s="1">
        <v>5</v>
      </c>
      <c r="D301" s="1">
        <v>5000</v>
      </c>
      <c r="E301" s="247">
        <v>3164</v>
      </c>
      <c r="F301" s="233">
        <f t="shared" si="26"/>
        <v>4082</v>
      </c>
      <c r="G301" s="234">
        <f t="shared" si="25"/>
        <v>1161264.6664222174</v>
      </c>
      <c r="H301" s="59"/>
    </row>
    <row r="302" spans="1:8" x14ac:dyDescent="0.25">
      <c r="A302" s="232" t="s">
        <v>90</v>
      </c>
      <c r="B302" s="1">
        <v>1</v>
      </c>
      <c r="C302" s="1">
        <v>4</v>
      </c>
      <c r="D302" s="1">
        <v>2200</v>
      </c>
      <c r="E302" s="247">
        <v>773</v>
      </c>
      <c r="F302" s="233">
        <f t="shared" si="26"/>
        <v>1486.5</v>
      </c>
      <c r="G302" s="234">
        <f t="shared" si="25"/>
        <v>470115.19555980945</v>
      </c>
      <c r="H302" s="59"/>
    </row>
    <row r="303" spans="1:8" x14ac:dyDescent="0.25">
      <c r="A303" s="232" t="s">
        <v>90</v>
      </c>
      <c r="B303" s="1">
        <v>1</v>
      </c>
      <c r="C303" s="1">
        <v>3</v>
      </c>
      <c r="D303" s="1">
        <v>220</v>
      </c>
      <c r="E303" s="247">
        <v>175</v>
      </c>
      <c r="F303" s="233">
        <f t="shared" si="26"/>
        <v>197.5</v>
      </c>
      <c r="G303" s="234">
        <f t="shared" si="25"/>
        <v>113181.12064899586</v>
      </c>
      <c r="H303" s="59"/>
    </row>
    <row r="304" spans="1:8" x14ac:dyDescent="0.25">
      <c r="A304" s="232" t="s">
        <v>90</v>
      </c>
      <c r="B304" s="1">
        <v>1</v>
      </c>
      <c r="C304" s="1">
        <v>4</v>
      </c>
      <c r="D304" s="1">
        <v>2600</v>
      </c>
      <c r="E304" s="247">
        <v>974</v>
      </c>
      <c r="F304" s="233">
        <f t="shared" si="26"/>
        <v>1787</v>
      </c>
      <c r="G304" s="234">
        <f t="shared" si="25"/>
        <v>532795.87244543212</v>
      </c>
      <c r="H304" s="59"/>
    </row>
    <row r="305" spans="1:8" x14ac:dyDescent="0.25">
      <c r="A305" s="232" t="s">
        <v>90</v>
      </c>
      <c r="B305" s="1">
        <v>1</v>
      </c>
      <c r="C305" s="1">
        <v>3</v>
      </c>
      <c r="D305" s="1">
        <v>120</v>
      </c>
      <c r="E305" s="247">
        <v>23</v>
      </c>
      <c r="F305" s="233">
        <f t="shared" si="26"/>
        <v>71.5</v>
      </c>
      <c r="G305" s="234">
        <f t="shared" si="25"/>
        <v>56728.947014361373</v>
      </c>
      <c r="H305" s="59"/>
    </row>
    <row r="306" spans="1:8" x14ac:dyDescent="0.25">
      <c r="A306" s="232" t="s">
        <v>90</v>
      </c>
      <c r="B306" s="1">
        <v>1</v>
      </c>
      <c r="C306" s="1">
        <v>3</v>
      </c>
      <c r="D306" s="1">
        <v>4500</v>
      </c>
      <c r="E306" s="247">
        <v>1372</v>
      </c>
      <c r="F306" s="233">
        <f t="shared" si="26"/>
        <v>2936</v>
      </c>
      <c r="G306" s="234">
        <f t="shared" si="25"/>
        <v>708970.29445467715</v>
      </c>
      <c r="H306" s="59"/>
    </row>
    <row r="307" spans="1:8" x14ac:dyDescent="0.25">
      <c r="A307" s="232" t="s">
        <v>90</v>
      </c>
      <c r="B307" s="1">
        <v>1</v>
      </c>
      <c r="C307" s="1">
        <v>1</v>
      </c>
      <c r="D307" s="1">
        <v>900</v>
      </c>
      <c r="E307" s="247">
        <v>14</v>
      </c>
      <c r="F307" s="233">
        <f t="shared" si="26"/>
        <v>457</v>
      </c>
      <c r="G307" s="234">
        <f t="shared" si="25"/>
        <v>101717.47002544528</v>
      </c>
      <c r="H307" s="59"/>
    </row>
    <row r="308" spans="1:8" x14ac:dyDescent="0.25">
      <c r="A308" s="232" t="s">
        <v>90</v>
      </c>
      <c r="B308" s="1">
        <v>2</v>
      </c>
      <c r="C308" s="1">
        <v>5</v>
      </c>
      <c r="D308" s="1">
        <v>19200</v>
      </c>
      <c r="E308" s="247">
        <v>29526</v>
      </c>
      <c r="F308" s="233">
        <f t="shared" si="26"/>
        <v>24363</v>
      </c>
      <c r="G308" s="234">
        <f t="shared" si="25"/>
        <v>3911643.9814876025</v>
      </c>
      <c r="H308" s="59"/>
    </row>
    <row r="309" spans="1:8" x14ac:dyDescent="0.25">
      <c r="A309" s="232" t="s">
        <v>90</v>
      </c>
      <c r="B309" s="1">
        <v>1</v>
      </c>
      <c r="C309" s="1">
        <v>3</v>
      </c>
      <c r="D309" s="1">
        <v>1000</v>
      </c>
      <c r="E309" s="247">
        <v>318</v>
      </c>
      <c r="F309" s="233">
        <f t="shared" si="26"/>
        <v>659</v>
      </c>
      <c r="G309" s="234">
        <f t="shared" si="25"/>
        <v>256759.06175367243</v>
      </c>
      <c r="H309" s="59"/>
    </row>
    <row r="310" spans="1:8" x14ac:dyDescent="0.25">
      <c r="A310" s="232" t="s">
        <v>90</v>
      </c>
      <c r="B310" s="1">
        <v>1</v>
      </c>
      <c r="C310" s="1">
        <v>5</v>
      </c>
      <c r="D310" s="1">
        <v>6700</v>
      </c>
      <c r="E310" s="247">
        <v>5379</v>
      </c>
      <c r="F310" s="233">
        <f t="shared" si="26"/>
        <v>6039.5</v>
      </c>
      <c r="G310" s="234">
        <f t="shared" si="25"/>
        <v>1447028.9355389124</v>
      </c>
      <c r="H310" s="59"/>
    </row>
    <row r="311" spans="1:8" x14ac:dyDescent="0.25">
      <c r="A311" s="232" t="s">
        <v>90</v>
      </c>
      <c r="B311" s="1">
        <v>1</v>
      </c>
      <c r="C311" s="1">
        <v>4</v>
      </c>
      <c r="D311" s="1">
        <v>750</v>
      </c>
      <c r="E311" s="247">
        <v>354</v>
      </c>
      <c r="F311" s="233">
        <f t="shared" si="26"/>
        <v>552</v>
      </c>
      <c r="G311" s="234">
        <f t="shared" si="25"/>
        <v>239737.93818715634</v>
      </c>
      <c r="H311" s="59"/>
    </row>
    <row r="312" spans="1:8" x14ac:dyDescent="0.25">
      <c r="A312" s="232" t="s">
        <v>90</v>
      </c>
      <c r="B312" s="1">
        <v>1</v>
      </c>
      <c r="C312" s="1">
        <v>3</v>
      </c>
      <c r="D312" s="1">
        <v>800</v>
      </c>
      <c r="E312" s="247">
        <v>637</v>
      </c>
      <c r="F312" s="233">
        <f t="shared" si="26"/>
        <v>718.5</v>
      </c>
      <c r="G312" s="234">
        <f t="shared" si="25"/>
        <v>272299.21861935372</v>
      </c>
      <c r="H312" s="59"/>
    </row>
    <row r="313" spans="1:8" x14ac:dyDescent="0.25">
      <c r="A313" s="232" t="s">
        <v>90</v>
      </c>
      <c r="B313" s="1">
        <v>1</v>
      </c>
      <c r="C313" s="1">
        <v>4</v>
      </c>
      <c r="D313" s="1">
        <v>2800</v>
      </c>
      <c r="E313" s="247">
        <v>1241</v>
      </c>
      <c r="F313" s="233">
        <f t="shared" si="26"/>
        <v>2020.5</v>
      </c>
      <c r="G313" s="234">
        <f t="shared" si="25"/>
        <v>579185.27288230322</v>
      </c>
      <c r="H313" s="59"/>
    </row>
    <row r="314" spans="1:8" x14ac:dyDescent="0.25">
      <c r="A314" s="232" t="s">
        <v>90</v>
      </c>
      <c r="B314" s="1">
        <v>1</v>
      </c>
      <c r="C314" s="1">
        <v>3</v>
      </c>
      <c r="D314" s="1">
        <v>600</v>
      </c>
      <c r="E314" s="247">
        <v>91</v>
      </c>
      <c r="F314" s="233">
        <f t="shared" si="26"/>
        <v>345.5</v>
      </c>
      <c r="G314" s="234">
        <f t="shared" si="25"/>
        <v>165532.95226815433</v>
      </c>
      <c r="H314" s="59"/>
    </row>
    <row r="315" spans="1:8" ht="15.75" thickBot="1" x14ac:dyDescent="0.3">
      <c r="A315" s="235" t="s">
        <v>90</v>
      </c>
      <c r="B315" s="147">
        <v>1</v>
      </c>
      <c r="C315" s="147">
        <v>1</v>
      </c>
      <c r="D315" s="147">
        <v>790</v>
      </c>
      <c r="E315" s="249">
        <v>174</v>
      </c>
      <c r="F315" s="236">
        <f t="shared" si="26"/>
        <v>482</v>
      </c>
      <c r="G315" s="237">
        <f t="shared" si="25"/>
        <v>105467.80156507401</v>
      </c>
      <c r="H315" s="59"/>
    </row>
    <row r="316" spans="1:8" ht="15.75" thickBot="1" x14ac:dyDescent="0.3">
      <c r="A316" s="261" t="s">
        <v>91</v>
      </c>
      <c r="B316" s="157">
        <v>2</v>
      </c>
      <c r="C316" s="157">
        <v>5</v>
      </c>
      <c r="D316" s="157">
        <v>71500</v>
      </c>
      <c r="E316" s="259">
        <v>53708</v>
      </c>
      <c r="F316" s="255">
        <f t="shared" si="26"/>
        <v>62604</v>
      </c>
      <c r="G316" s="256">
        <f t="shared" si="25"/>
        <v>7430017.5956864879</v>
      </c>
      <c r="H316" s="59"/>
    </row>
    <row r="317" spans="1:8" x14ac:dyDescent="0.25">
      <c r="A317" s="226" t="s">
        <v>81</v>
      </c>
      <c r="B317" s="148">
        <v>2</v>
      </c>
      <c r="C317" s="149">
        <v>5</v>
      </c>
      <c r="D317" s="149">
        <v>188000</v>
      </c>
      <c r="E317" s="150">
        <v>169195</v>
      </c>
      <c r="F317" s="227">
        <f t="shared" ref="F317:F341" si="27">(D317+E317)/2</f>
        <v>178597.5</v>
      </c>
      <c r="G317" s="228">
        <f t="shared" ref="G317:G341" si="28">IF(C317=1,1581.92*(F317^0.6798),IF(C317=2,2991.14*(F317^0.6798),IF(C317=3,3113.49*(F317^0.6798),IF(C317=4,3279.19*(F317^0.6798),IF(C317=5, IF(B317=1,3891.82*(F317^0.6798),IF(B317=2,4076.24*(F317^0.6798),0)),0)))))</f>
        <v>15152511.648835046</v>
      </c>
      <c r="H317" s="59"/>
    </row>
    <row r="318" spans="1:8" x14ac:dyDescent="0.25">
      <c r="A318" s="232" t="s">
        <v>81</v>
      </c>
      <c r="B318" s="2">
        <v>1</v>
      </c>
      <c r="C318" s="3">
        <v>3</v>
      </c>
      <c r="D318" s="3">
        <v>445</v>
      </c>
      <c r="E318" s="102">
        <v>280</v>
      </c>
      <c r="F318" s="233">
        <f t="shared" si="27"/>
        <v>362.5</v>
      </c>
      <c r="G318" s="234">
        <f t="shared" si="28"/>
        <v>171027.15090673752</v>
      </c>
      <c r="H318" s="59"/>
    </row>
    <row r="319" spans="1:8" x14ac:dyDescent="0.25">
      <c r="A319" s="232" t="s">
        <v>81</v>
      </c>
      <c r="B319" s="2">
        <v>1</v>
      </c>
      <c r="C319" s="3">
        <v>4</v>
      </c>
      <c r="D319" s="3">
        <v>2500</v>
      </c>
      <c r="E319" s="102">
        <v>703</v>
      </c>
      <c r="F319" s="233">
        <f t="shared" si="27"/>
        <v>1601.5</v>
      </c>
      <c r="G319" s="234">
        <f t="shared" si="28"/>
        <v>494542.92909970682</v>
      </c>
      <c r="H319" s="59"/>
    </row>
    <row r="320" spans="1:8" x14ac:dyDescent="0.25">
      <c r="A320" s="232" t="s">
        <v>81</v>
      </c>
      <c r="B320" s="2">
        <v>2</v>
      </c>
      <c r="C320" s="3">
        <v>4</v>
      </c>
      <c r="D320" s="3">
        <v>4900</v>
      </c>
      <c r="E320" s="102">
        <v>5197</v>
      </c>
      <c r="F320" s="233">
        <f t="shared" si="27"/>
        <v>5048.5</v>
      </c>
      <c r="G320" s="234">
        <f t="shared" si="28"/>
        <v>1079384.9383161676</v>
      </c>
      <c r="H320" s="59"/>
    </row>
    <row r="321" spans="1:8" x14ac:dyDescent="0.25">
      <c r="A321" s="232" t="s">
        <v>81</v>
      </c>
      <c r="B321" s="2">
        <v>1</v>
      </c>
      <c r="C321" s="3">
        <v>4</v>
      </c>
      <c r="D321" s="3">
        <v>2700</v>
      </c>
      <c r="E321" s="102">
        <v>2310</v>
      </c>
      <c r="F321" s="233">
        <f t="shared" si="27"/>
        <v>2505</v>
      </c>
      <c r="G321" s="234">
        <f t="shared" si="28"/>
        <v>670310.58258243103</v>
      </c>
      <c r="H321" s="59"/>
    </row>
    <row r="322" spans="1:8" ht="15.75" thickBot="1" x14ac:dyDescent="0.3">
      <c r="A322" s="235" t="s">
        <v>81</v>
      </c>
      <c r="B322" s="140">
        <v>2</v>
      </c>
      <c r="C322" s="141">
        <v>4</v>
      </c>
      <c r="D322" s="141">
        <v>15000</v>
      </c>
      <c r="E322" s="142">
        <v>11122</v>
      </c>
      <c r="F322" s="236">
        <f t="shared" si="27"/>
        <v>13061</v>
      </c>
      <c r="G322" s="237">
        <f t="shared" si="28"/>
        <v>2059716.0712580052</v>
      </c>
      <c r="H322" s="59"/>
    </row>
    <row r="323" spans="1:8" x14ac:dyDescent="0.25">
      <c r="A323" s="226" t="s">
        <v>82</v>
      </c>
      <c r="B323" s="148">
        <v>1</v>
      </c>
      <c r="C323" s="149">
        <v>5</v>
      </c>
      <c r="D323" s="149">
        <v>105000</v>
      </c>
      <c r="E323" s="150">
        <v>60304</v>
      </c>
      <c r="F323" s="227">
        <f t="shared" si="27"/>
        <v>82652</v>
      </c>
      <c r="G323" s="228">
        <f t="shared" si="28"/>
        <v>8568436.5377985928</v>
      </c>
      <c r="H323" s="59"/>
    </row>
    <row r="324" spans="1:8" x14ac:dyDescent="0.25">
      <c r="A324" s="232" t="s">
        <v>82</v>
      </c>
      <c r="B324" s="2">
        <v>1</v>
      </c>
      <c r="C324" s="3">
        <v>5</v>
      </c>
      <c r="D324" s="3">
        <v>20000</v>
      </c>
      <c r="E324" s="102">
        <v>7156</v>
      </c>
      <c r="F324" s="233">
        <f t="shared" si="27"/>
        <v>13578</v>
      </c>
      <c r="G324" s="234">
        <f t="shared" si="28"/>
        <v>2509889.0586848739</v>
      </c>
      <c r="H324" s="59"/>
    </row>
    <row r="325" spans="1:8" x14ac:dyDescent="0.25">
      <c r="A325" s="232" t="s">
        <v>82</v>
      </c>
      <c r="B325" s="2">
        <v>1</v>
      </c>
      <c r="C325" s="3">
        <v>5</v>
      </c>
      <c r="D325" s="3">
        <v>14000</v>
      </c>
      <c r="E325" s="102">
        <v>5250</v>
      </c>
      <c r="F325" s="233">
        <f t="shared" si="27"/>
        <v>9625</v>
      </c>
      <c r="G325" s="234">
        <f t="shared" si="28"/>
        <v>1986408.5112242247</v>
      </c>
      <c r="H325" s="59"/>
    </row>
    <row r="326" spans="1:8" x14ac:dyDescent="0.25">
      <c r="A326" s="232" t="s">
        <v>82</v>
      </c>
      <c r="B326" s="2">
        <v>1</v>
      </c>
      <c r="C326" s="3">
        <v>5</v>
      </c>
      <c r="D326" s="3">
        <v>3000</v>
      </c>
      <c r="E326" s="102">
        <v>1572</v>
      </c>
      <c r="F326" s="233">
        <f t="shared" si="27"/>
        <v>2286</v>
      </c>
      <c r="G326" s="234">
        <f t="shared" si="28"/>
        <v>747571.54789460963</v>
      </c>
      <c r="H326" s="59"/>
    </row>
    <row r="327" spans="1:8" ht="15.75" thickBot="1" x14ac:dyDescent="0.3">
      <c r="A327" s="235" t="s">
        <v>82</v>
      </c>
      <c r="B327" s="140">
        <v>2</v>
      </c>
      <c r="C327" s="141">
        <v>5</v>
      </c>
      <c r="D327" s="141">
        <v>73000</v>
      </c>
      <c r="E327" s="142">
        <v>16191</v>
      </c>
      <c r="F327" s="236">
        <f t="shared" si="27"/>
        <v>44595.5</v>
      </c>
      <c r="G327" s="237">
        <f t="shared" si="28"/>
        <v>5899942.6986566121</v>
      </c>
      <c r="H327" s="59"/>
    </row>
    <row r="328" spans="1:8" x14ac:dyDescent="0.25">
      <c r="A328" s="226" t="s">
        <v>83</v>
      </c>
      <c r="B328" s="148">
        <v>0</v>
      </c>
      <c r="C328" s="149">
        <v>4</v>
      </c>
      <c r="D328" s="149">
        <v>1834</v>
      </c>
      <c r="E328" s="150">
        <v>1294</v>
      </c>
      <c r="F328" s="227">
        <f t="shared" si="27"/>
        <v>1564</v>
      </c>
      <c r="G328" s="228">
        <f t="shared" si="28"/>
        <v>486641.03003984503</v>
      </c>
      <c r="H328" s="59"/>
    </row>
    <row r="329" spans="1:8" x14ac:dyDescent="0.25">
      <c r="A329" s="232" t="s">
        <v>83</v>
      </c>
      <c r="B329" s="2">
        <v>0</v>
      </c>
      <c r="C329" s="3">
        <v>4</v>
      </c>
      <c r="D329" s="3">
        <v>1000</v>
      </c>
      <c r="E329" s="102">
        <v>216</v>
      </c>
      <c r="F329" s="233">
        <f t="shared" si="27"/>
        <v>608</v>
      </c>
      <c r="G329" s="234">
        <f t="shared" si="28"/>
        <v>256014.30592549747</v>
      </c>
      <c r="H329" s="59"/>
    </row>
    <row r="330" spans="1:8" x14ac:dyDescent="0.25">
      <c r="A330" s="232" t="s">
        <v>83</v>
      </c>
      <c r="B330" s="2">
        <v>0</v>
      </c>
      <c r="C330" s="3">
        <v>4</v>
      </c>
      <c r="D330" s="3">
        <v>600</v>
      </c>
      <c r="E330" s="102">
        <v>253</v>
      </c>
      <c r="F330" s="233">
        <f t="shared" si="27"/>
        <v>426.5</v>
      </c>
      <c r="G330" s="234">
        <f t="shared" si="28"/>
        <v>201180.34160655882</v>
      </c>
      <c r="H330" s="59"/>
    </row>
    <row r="331" spans="1:8" x14ac:dyDescent="0.25">
      <c r="A331" s="232" t="s">
        <v>83</v>
      </c>
      <c r="B331" s="2">
        <v>0</v>
      </c>
      <c r="C331" s="3">
        <v>3</v>
      </c>
      <c r="D331" s="3">
        <v>1200</v>
      </c>
      <c r="E331" s="102">
        <v>120</v>
      </c>
      <c r="F331" s="233">
        <f t="shared" si="27"/>
        <v>660</v>
      </c>
      <c r="G331" s="234">
        <f t="shared" si="28"/>
        <v>257023.86059112797</v>
      </c>
      <c r="H331" s="59"/>
    </row>
    <row r="332" spans="1:8" x14ac:dyDescent="0.25">
      <c r="A332" s="232" t="s">
        <v>83</v>
      </c>
      <c r="B332" s="2">
        <v>0</v>
      </c>
      <c r="C332" s="3">
        <v>3</v>
      </c>
      <c r="D332" s="3">
        <v>2300</v>
      </c>
      <c r="E332" s="102">
        <v>1116</v>
      </c>
      <c r="F332" s="233">
        <f t="shared" si="27"/>
        <v>1708</v>
      </c>
      <c r="G332" s="234">
        <f t="shared" si="28"/>
        <v>490560.6704509625</v>
      </c>
      <c r="H332" s="59"/>
    </row>
    <row r="333" spans="1:8" x14ac:dyDescent="0.25">
      <c r="A333" s="232" t="s">
        <v>83</v>
      </c>
      <c r="B333" s="2">
        <v>0</v>
      </c>
      <c r="C333" s="3">
        <v>4</v>
      </c>
      <c r="D333" s="3">
        <v>4500</v>
      </c>
      <c r="E333" s="102">
        <v>1552</v>
      </c>
      <c r="F333" s="233">
        <f t="shared" si="27"/>
        <v>3026</v>
      </c>
      <c r="G333" s="234">
        <f t="shared" si="28"/>
        <v>762186.54044221411</v>
      </c>
      <c r="H333" s="59"/>
    </row>
    <row r="334" spans="1:8" x14ac:dyDescent="0.25">
      <c r="A334" s="232" t="s">
        <v>83</v>
      </c>
      <c r="B334" s="2">
        <v>0</v>
      </c>
      <c r="C334" s="3">
        <v>5</v>
      </c>
      <c r="D334" s="3">
        <v>12000</v>
      </c>
      <c r="E334" s="102">
        <v>12309</v>
      </c>
      <c r="F334" s="233">
        <f t="shared" si="27"/>
        <v>12154.5</v>
      </c>
      <c r="G334" s="234">
        <f t="shared" si="28"/>
        <v>0</v>
      </c>
      <c r="H334" s="59"/>
    </row>
    <row r="335" spans="1:8" x14ac:dyDescent="0.25">
      <c r="A335" s="232" t="s">
        <v>83</v>
      </c>
      <c r="B335" s="2">
        <v>0</v>
      </c>
      <c r="C335" s="3">
        <v>3</v>
      </c>
      <c r="D335" s="3">
        <v>700</v>
      </c>
      <c r="E335" s="102">
        <v>195</v>
      </c>
      <c r="F335" s="233">
        <f t="shared" si="27"/>
        <v>447.5</v>
      </c>
      <c r="G335" s="234">
        <f t="shared" si="28"/>
        <v>197358.8398469667</v>
      </c>
      <c r="H335" s="59"/>
    </row>
    <row r="336" spans="1:8" x14ac:dyDescent="0.25">
      <c r="A336" s="232" t="s">
        <v>83</v>
      </c>
      <c r="B336" s="2">
        <v>0</v>
      </c>
      <c r="C336" s="3">
        <v>4</v>
      </c>
      <c r="D336" s="3">
        <v>1795</v>
      </c>
      <c r="E336" s="102">
        <v>375</v>
      </c>
      <c r="F336" s="233">
        <f t="shared" si="27"/>
        <v>1085</v>
      </c>
      <c r="G336" s="234">
        <f t="shared" si="28"/>
        <v>379534.89953388582</v>
      </c>
      <c r="H336" s="59"/>
    </row>
    <row r="337" spans="1:8" x14ac:dyDescent="0.25">
      <c r="A337" s="232" t="s">
        <v>83</v>
      </c>
      <c r="B337" s="2">
        <v>0</v>
      </c>
      <c r="C337" s="3">
        <v>5</v>
      </c>
      <c r="D337" s="3">
        <v>47700</v>
      </c>
      <c r="E337" s="102">
        <v>32360</v>
      </c>
      <c r="F337" s="233">
        <f t="shared" si="27"/>
        <v>40030</v>
      </c>
      <c r="G337" s="234">
        <f t="shared" si="28"/>
        <v>0</v>
      </c>
      <c r="H337" s="59"/>
    </row>
    <row r="338" spans="1:8" x14ac:dyDescent="0.25">
      <c r="A338" s="232" t="s">
        <v>83</v>
      </c>
      <c r="B338" s="2">
        <v>0</v>
      </c>
      <c r="C338" s="3">
        <v>5</v>
      </c>
      <c r="D338" s="3">
        <v>17500</v>
      </c>
      <c r="E338" s="102">
        <v>14273</v>
      </c>
      <c r="F338" s="233">
        <f t="shared" si="27"/>
        <v>15886.5</v>
      </c>
      <c r="G338" s="234">
        <f t="shared" si="28"/>
        <v>0</v>
      </c>
      <c r="H338" s="59"/>
    </row>
    <row r="339" spans="1:8" x14ac:dyDescent="0.25">
      <c r="A339" s="232" t="s">
        <v>83</v>
      </c>
      <c r="B339" s="2">
        <v>0</v>
      </c>
      <c r="C339" s="3">
        <v>4</v>
      </c>
      <c r="D339" s="3">
        <v>1150</v>
      </c>
      <c r="E339" s="102">
        <v>107</v>
      </c>
      <c r="F339" s="233">
        <f t="shared" si="27"/>
        <v>628.5</v>
      </c>
      <c r="G339" s="234">
        <f t="shared" si="28"/>
        <v>261851.16570866862</v>
      </c>
      <c r="H339" s="59"/>
    </row>
    <row r="340" spans="1:8" x14ac:dyDescent="0.25">
      <c r="A340" s="232" t="s">
        <v>83</v>
      </c>
      <c r="B340" s="2">
        <v>0</v>
      </c>
      <c r="C340" s="3">
        <v>4</v>
      </c>
      <c r="D340" s="3">
        <v>1400</v>
      </c>
      <c r="E340" s="102">
        <v>1157</v>
      </c>
      <c r="F340" s="233">
        <f t="shared" si="27"/>
        <v>1278.5</v>
      </c>
      <c r="G340" s="234">
        <f t="shared" si="28"/>
        <v>424328.04729658819</v>
      </c>
      <c r="H340" s="59"/>
    </row>
    <row r="341" spans="1:8" ht="15.75" thickBot="1" x14ac:dyDescent="0.3">
      <c r="A341" s="235" t="s">
        <v>83</v>
      </c>
      <c r="B341" s="140">
        <v>0</v>
      </c>
      <c r="C341" s="141">
        <v>4</v>
      </c>
      <c r="D341" s="141">
        <v>1650</v>
      </c>
      <c r="E341" s="142">
        <v>762</v>
      </c>
      <c r="F341" s="236">
        <f t="shared" si="27"/>
        <v>1206</v>
      </c>
      <c r="G341" s="237">
        <f t="shared" si="28"/>
        <v>407818.08478889859</v>
      </c>
      <c r="H341" s="59"/>
    </row>
    <row r="342" spans="1:8" x14ac:dyDescent="0.25">
      <c r="A342" s="44" t="s">
        <v>160</v>
      </c>
      <c r="B342" s="148">
        <v>1</v>
      </c>
      <c r="C342" s="149">
        <v>5</v>
      </c>
      <c r="D342" s="149">
        <v>25000</v>
      </c>
      <c r="E342" s="150">
        <v>7714</v>
      </c>
      <c r="F342" s="227">
        <f t="shared" ref="F342:F350" si="29">(D342+E342)/2</f>
        <v>16357</v>
      </c>
      <c r="G342" s="228">
        <f t="shared" ref="G342:G350" si="30">IF(C342=1,1581.92*(F342^0.6798),IF(C342=2,2991.14*(F342^0.6798),IF(C342=3,3113.49*(F342^0.6798),IF(C342=4,3279.19*(F342^0.6798),IF(C342=5, IF(B342=1,3891.82*(F342^0.6798),IF(B342=2,4076.24*(F342^0.6798),0)),0)))))</f>
        <v>2848580.4498130814</v>
      </c>
      <c r="H342" s="59"/>
    </row>
    <row r="343" spans="1:8" x14ac:dyDescent="0.25">
      <c r="A343" s="44" t="s">
        <v>160</v>
      </c>
      <c r="B343" s="2">
        <v>1</v>
      </c>
      <c r="C343" s="3">
        <v>5</v>
      </c>
      <c r="D343" s="3">
        <v>5000</v>
      </c>
      <c r="E343" s="102">
        <v>2204</v>
      </c>
      <c r="F343" s="233">
        <f t="shared" si="29"/>
        <v>3602</v>
      </c>
      <c r="G343" s="234">
        <f t="shared" si="30"/>
        <v>1018336.1441374373</v>
      </c>
      <c r="H343" s="59"/>
    </row>
    <row r="344" spans="1:8" ht="15.75" thickBot="1" x14ac:dyDescent="0.3">
      <c r="A344" s="44" t="s">
        <v>160</v>
      </c>
      <c r="B344" s="140">
        <v>1</v>
      </c>
      <c r="C344" s="141">
        <v>5</v>
      </c>
      <c r="D344" s="141">
        <v>9000</v>
      </c>
      <c r="E344" s="142">
        <v>5097</v>
      </c>
      <c r="F344" s="236">
        <f t="shared" si="29"/>
        <v>7048.5</v>
      </c>
      <c r="G344" s="237">
        <f t="shared" si="30"/>
        <v>1607270.1717556452</v>
      </c>
      <c r="H344" s="59"/>
    </row>
    <row r="345" spans="1:8" x14ac:dyDescent="0.25">
      <c r="A345" s="226" t="s">
        <v>92</v>
      </c>
      <c r="B345" s="145">
        <v>1</v>
      </c>
      <c r="C345" s="145">
        <v>4</v>
      </c>
      <c r="D345" s="145">
        <v>6000</v>
      </c>
      <c r="E345" s="245">
        <v>554</v>
      </c>
      <c r="F345" s="227">
        <f t="shared" si="29"/>
        <v>3277</v>
      </c>
      <c r="G345" s="228">
        <f t="shared" si="30"/>
        <v>804613.77933458029</v>
      </c>
      <c r="H345" s="59"/>
    </row>
    <row r="346" spans="1:8" x14ac:dyDescent="0.25">
      <c r="A346" s="232" t="s">
        <v>92</v>
      </c>
      <c r="B346" s="1">
        <v>2</v>
      </c>
      <c r="C346" s="1">
        <v>5</v>
      </c>
      <c r="D346" s="1">
        <v>3500</v>
      </c>
      <c r="E346" s="247">
        <v>4013</v>
      </c>
      <c r="F346" s="233">
        <f t="shared" si="29"/>
        <v>3756.5</v>
      </c>
      <c r="G346" s="234">
        <f t="shared" si="30"/>
        <v>1097482.2300535575</v>
      </c>
      <c r="H346" s="59"/>
    </row>
    <row r="347" spans="1:8" ht="15.75" thickBot="1" x14ac:dyDescent="0.3">
      <c r="A347" s="235" t="s">
        <v>92</v>
      </c>
      <c r="B347" s="147">
        <v>1</v>
      </c>
      <c r="C347" s="147">
        <v>5</v>
      </c>
      <c r="D347" s="147">
        <v>7000</v>
      </c>
      <c r="E347" s="249">
        <v>3294</v>
      </c>
      <c r="F347" s="236">
        <f t="shared" si="29"/>
        <v>5147</v>
      </c>
      <c r="G347" s="237">
        <f t="shared" si="30"/>
        <v>1297977.813707758</v>
      </c>
      <c r="H347" s="59"/>
    </row>
    <row r="348" spans="1:8" x14ac:dyDescent="0.25">
      <c r="A348" s="226" t="s">
        <v>86</v>
      </c>
      <c r="B348" s="148">
        <v>2</v>
      </c>
      <c r="C348" s="149">
        <v>5</v>
      </c>
      <c r="D348" s="149">
        <v>330000</v>
      </c>
      <c r="E348" s="150">
        <v>142960</v>
      </c>
      <c r="F348" s="227">
        <f t="shared" si="29"/>
        <v>236480</v>
      </c>
      <c r="G348" s="228">
        <f t="shared" si="30"/>
        <v>18338558.324946344</v>
      </c>
      <c r="H348" s="59"/>
    </row>
    <row r="349" spans="1:8" x14ac:dyDescent="0.25">
      <c r="A349" s="232" t="s">
        <v>86</v>
      </c>
      <c r="B349" s="2">
        <v>2</v>
      </c>
      <c r="C349" s="3">
        <v>5</v>
      </c>
      <c r="D349" s="3">
        <v>100000</v>
      </c>
      <c r="E349" s="102">
        <v>84000</v>
      </c>
      <c r="F349" s="233">
        <f t="shared" si="29"/>
        <v>92000</v>
      </c>
      <c r="G349" s="234">
        <f t="shared" si="30"/>
        <v>9652564.4796371851</v>
      </c>
      <c r="H349" s="59"/>
    </row>
    <row r="350" spans="1:8" ht="15.75" thickBot="1" x14ac:dyDescent="0.3">
      <c r="A350" s="235" t="s">
        <v>86</v>
      </c>
      <c r="B350" s="140">
        <v>1</v>
      </c>
      <c r="C350" s="141">
        <v>0</v>
      </c>
      <c r="D350" s="141">
        <v>280</v>
      </c>
      <c r="E350" s="142">
        <v>90</v>
      </c>
      <c r="F350" s="236">
        <f t="shared" si="29"/>
        <v>185</v>
      </c>
      <c r="G350" s="237">
        <f t="shared" si="30"/>
        <v>0</v>
      </c>
      <c r="H350" s="59"/>
    </row>
    <row r="351" spans="1:8" x14ac:dyDescent="0.25">
      <c r="H351" s="59"/>
    </row>
    <row r="352" spans="1:8" x14ac:dyDescent="0.25">
      <c r="H352" s="59"/>
    </row>
    <row r="353" spans="8:8" x14ac:dyDescent="0.25">
      <c r="H353" s="59"/>
    </row>
    <row r="354" spans="8:8" x14ac:dyDescent="0.25">
      <c r="H354" s="59"/>
    </row>
    <row r="355" spans="8:8" x14ac:dyDescent="0.25">
      <c r="H355" s="59"/>
    </row>
    <row r="356" spans="8:8" x14ac:dyDescent="0.25">
      <c r="H356" s="59"/>
    </row>
    <row r="357" spans="8:8" x14ac:dyDescent="0.25">
      <c r="H357" s="59"/>
    </row>
    <row r="358" spans="8:8" x14ac:dyDescent="0.25">
      <c r="H358" s="59"/>
    </row>
    <row r="359" spans="8:8" x14ac:dyDescent="0.25">
      <c r="H359" s="59"/>
    </row>
    <row r="360" spans="8:8" x14ac:dyDescent="0.25">
      <c r="H360" s="59"/>
    </row>
    <row r="361" spans="8:8" x14ac:dyDescent="0.25">
      <c r="H361" s="59"/>
    </row>
    <row r="362" spans="8:8" x14ac:dyDescent="0.25">
      <c r="H362" s="59"/>
    </row>
    <row r="363" spans="8:8" x14ac:dyDescent="0.25">
      <c r="H363" s="59"/>
    </row>
    <row r="364" spans="8:8" x14ac:dyDescent="0.25">
      <c r="H364" s="59"/>
    </row>
    <row r="365" spans="8:8" x14ac:dyDescent="0.25">
      <c r="H365" s="59"/>
    </row>
    <row r="366" spans="8:8" x14ac:dyDescent="0.25">
      <c r="H366" s="59"/>
    </row>
    <row r="367" spans="8:8" x14ac:dyDescent="0.25">
      <c r="H367" s="59"/>
    </row>
    <row r="368" spans="8:8" x14ac:dyDescent="0.25">
      <c r="H368" s="59"/>
    </row>
    <row r="369" spans="8:8" x14ac:dyDescent="0.25">
      <c r="H369" s="59"/>
    </row>
    <row r="370" spans="8:8" x14ac:dyDescent="0.25">
      <c r="H370" s="59"/>
    </row>
    <row r="371" spans="8:8" x14ac:dyDescent="0.25">
      <c r="H371" s="59"/>
    </row>
    <row r="372" spans="8:8" x14ac:dyDescent="0.25">
      <c r="H372" s="59"/>
    </row>
    <row r="373" spans="8:8" x14ac:dyDescent="0.25">
      <c r="H373" s="59"/>
    </row>
    <row r="374" spans="8:8" x14ac:dyDescent="0.25">
      <c r="H374" s="59"/>
    </row>
    <row r="375" spans="8:8" x14ac:dyDescent="0.25">
      <c r="H375" s="59"/>
    </row>
    <row r="376" spans="8:8" x14ac:dyDescent="0.25">
      <c r="H376" s="59"/>
    </row>
    <row r="377" spans="8:8" x14ac:dyDescent="0.25">
      <c r="H377" s="59"/>
    </row>
    <row r="378" spans="8:8" x14ac:dyDescent="0.25">
      <c r="H378" s="59"/>
    </row>
    <row r="379" spans="8:8" x14ac:dyDescent="0.25">
      <c r="H379" s="59"/>
    </row>
    <row r="380" spans="8:8" x14ac:dyDescent="0.25">
      <c r="H380" s="59"/>
    </row>
    <row r="381" spans="8:8" x14ac:dyDescent="0.25">
      <c r="H381" s="59"/>
    </row>
    <row r="382" spans="8:8" x14ac:dyDescent="0.25">
      <c r="H382" s="59"/>
    </row>
    <row r="383" spans="8:8" x14ac:dyDescent="0.25">
      <c r="H383" s="59"/>
    </row>
    <row r="384" spans="8:8" x14ac:dyDescent="0.25">
      <c r="H384" s="59"/>
    </row>
    <row r="385" spans="8:8" x14ac:dyDescent="0.25">
      <c r="H385" s="59"/>
    </row>
    <row r="386" spans="8:8" x14ac:dyDescent="0.25">
      <c r="H386" s="59"/>
    </row>
    <row r="387" spans="8:8" x14ac:dyDescent="0.25">
      <c r="H387" s="59"/>
    </row>
    <row r="388" spans="8:8" x14ac:dyDescent="0.25">
      <c r="H388" s="59"/>
    </row>
    <row r="389" spans="8:8" x14ac:dyDescent="0.25">
      <c r="H389" s="59"/>
    </row>
    <row r="390" spans="8:8" x14ac:dyDescent="0.25">
      <c r="H390" s="59"/>
    </row>
    <row r="391" spans="8:8" x14ac:dyDescent="0.25">
      <c r="H391" s="59"/>
    </row>
    <row r="392" spans="8:8" x14ac:dyDescent="0.25">
      <c r="H392" s="59"/>
    </row>
    <row r="393" spans="8:8" x14ac:dyDescent="0.25">
      <c r="H393" s="59"/>
    </row>
    <row r="394" spans="8:8" x14ac:dyDescent="0.25">
      <c r="H394" s="59"/>
    </row>
    <row r="395" spans="8:8" x14ac:dyDescent="0.25">
      <c r="H395" s="59"/>
    </row>
    <row r="396" spans="8:8" x14ac:dyDescent="0.25">
      <c r="H396" s="59"/>
    </row>
    <row r="397" spans="8:8" x14ac:dyDescent="0.25">
      <c r="H397" s="59"/>
    </row>
    <row r="398" spans="8:8" x14ac:dyDescent="0.25">
      <c r="H398" s="59"/>
    </row>
    <row r="399" spans="8:8" x14ac:dyDescent="0.25">
      <c r="H399" s="59"/>
    </row>
    <row r="400" spans="8:8" x14ac:dyDescent="0.25">
      <c r="H400" s="59"/>
    </row>
    <row r="401" spans="8:8" x14ac:dyDescent="0.25">
      <c r="H401" s="59"/>
    </row>
    <row r="402" spans="8:8" x14ac:dyDescent="0.25">
      <c r="H402" s="59"/>
    </row>
    <row r="403" spans="8:8" x14ac:dyDescent="0.25">
      <c r="H403" s="59"/>
    </row>
    <row r="404" spans="8:8" x14ac:dyDescent="0.25">
      <c r="H404" s="59"/>
    </row>
    <row r="405" spans="8:8" x14ac:dyDescent="0.25">
      <c r="H405" s="59"/>
    </row>
    <row r="406" spans="8:8" x14ac:dyDescent="0.25">
      <c r="H406" s="59"/>
    </row>
    <row r="407" spans="8:8" x14ac:dyDescent="0.25">
      <c r="H407" s="59"/>
    </row>
    <row r="408" spans="8:8" x14ac:dyDescent="0.25">
      <c r="H408" s="59"/>
    </row>
    <row r="409" spans="8:8" x14ac:dyDescent="0.25">
      <c r="H409" s="59"/>
    </row>
    <row r="410" spans="8:8" x14ac:dyDescent="0.25">
      <c r="H410" s="59"/>
    </row>
    <row r="411" spans="8:8" x14ac:dyDescent="0.25">
      <c r="H411" s="59"/>
    </row>
    <row r="412" spans="8:8" x14ac:dyDescent="0.25">
      <c r="H412" s="59"/>
    </row>
    <row r="413" spans="8:8" x14ac:dyDescent="0.25">
      <c r="H413" s="59"/>
    </row>
    <row r="414" spans="8:8" x14ac:dyDescent="0.25">
      <c r="H414" s="59"/>
    </row>
    <row r="415" spans="8:8" x14ac:dyDescent="0.25">
      <c r="H415" s="59"/>
    </row>
    <row r="416" spans="8:8" x14ac:dyDescent="0.25">
      <c r="H416" s="59"/>
    </row>
    <row r="417" spans="8:8" x14ac:dyDescent="0.25">
      <c r="H417" s="59"/>
    </row>
    <row r="418" spans="8:8" x14ac:dyDescent="0.25">
      <c r="H418" s="59"/>
    </row>
    <row r="419" spans="8:8" x14ac:dyDescent="0.25">
      <c r="H419" s="59"/>
    </row>
    <row r="420" spans="8:8" x14ac:dyDescent="0.25">
      <c r="H420" s="59"/>
    </row>
    <row r="421" spans="8:8" x14ac:dyDescent="0.25">
      <c r="H421" s="59"/>
    </row>
    <row r="422" spans="8:8" x14ac:dyDescent="0.25">
      <c r="H422" s="59"/>
    </row>
    <row r="423" spans="8:8" x14ac:dyDescent="0.25">
      <c r="H423" s="59"/>
    </row>
    <row r="424" spans="8:8" x14ac:dyDescent="0.25">
      <c r="H424" s="59"/>
    </row>
    <row r="425" spans="8:8" x14ac:dyDescent="0.25">
      <c r="H425" s="59"/>
    </row>
    <row r="426" spans="8:8" x14ac:dyDescent="0.25">
      <c r="H426" s="59"/>
    </row>
    <row r="427" spans="8:8" x14ac:dyDescent="0.25">
      <c r="H427" s="59"/>
    </row>
    <row r="428" spans="8:8" x14ac:dyDescent="0.25">
      <c r="H428" s="59"/>
    </row>
    <row r="429" spans="8:8" x14ac:dyDescent="0.25">
      <c r="H429" s="59"/>
    </row>
    <row r="430" spans="8:8" x14ac:dyDescent="0.25">
      <c r="H430" s="59"/>
    </row>
    <row r="431" spans="8:8" x14ac:dyDescent="0.25">
      <c r="H431" s="59"/>
    </row>
    <row r="432" spans="8:8" x14ac:dyDescent="0.25">
      <c r="H432" s="59"/>
    </row>
    <row r="433" spans="8:8" x14ac:dyDescent="0.25">
      <c r="H433" s="59"/>
    </row>
    <row r="434" spans="8:8" x14ac:dyDescent="0.25">
      <c r="H434" s="59"/>
    </row>
    <row r="435" spans="8:8" x14ac:dyDescent="0.25">
      <c r="H435" s="59"/>
    </row>
    <row r="436" spans="8:8" x14ac:dyDescent="0.25">
      <c r="H436" s="59"/>
    </row>
    <row r="437" spans="8:8" x14ac:dyDescent="0.25">
      <c r="H437" s="59"/>
    </row>
    <row r="438" spans="8:8" x14ac:dyDescent="0.25">
      <c r="H438" s="59"/>
    </row>
    <row r="439" spans="8:8" x14ac:dyDescent="0.25">
      <c r="H439" s="59"/>
    </row>
    <row r="440" spans="8:8" x14ac:dyDescent="0.25">
      <c r="H440" s="59"/>
    </row>
    <row r="441" spans="8:8" x14ac:dyDescent="0.25">
      <c r="H441" s="59"/>
    </row>
    <row r="442" spans="8:8" x14ac:dyDescent="0.25">
      <c r="H442" s="59"/>
    </row>
    <row r="443" spans="8:8" x14ac:dyDescent="0.25">
      <c r="H443" s="59"/>
    </row>
    <row r="444" spans="8:8" x14ac:dyDescent="0.25">
      <c r="H444" s="59"/>
    </row>
    <row r="445" spans="8:8" x14ac:dyDescent="0.25">
      <c r="H445" s="59"/>
    </row>
    <row r="446" spans="8:8" x14ac:dyDescent="0.25">
      <c r="H446" s="59"/>
    </row>
    <row r="447" spans="8:8" x14ac:dyDescent="0.25">
      <c r="H447" s="59"/>
    </row>
    <row r="448" spans="8:8" x14ac:dyDescent="0.25">
      <c r="H448" s="59"/>
    </row>
    <row r="449" spans="8:8" x14ac:dyDescent="0.25">
      <c r="H449" s="59"/>
    </row>
    <row r="450" spans="8:8" x14ac:dyDescent="0.25">
      <c r="H450" s="59"/>
    </row>
    <row r="451" spans="8:8" x14ac:dyDescent="0.25">
      <c r="H451" s="59"/>
    </row>
    <row r="452" spans="8:8" x14ac:dyDescent="0.25">
      <c r="H452" s="59"/>
    </row>
    <row r="453" spans="8:8" x14ac:dyDescent="0.25">
      <c r="H453" s="59"/>
    </row>
    <row r="454" spans="8:8" x14ac:dyDescent="0.25">
      <c r="H454" s="59"/>
    </row>
    <row r="455" spans="8:8" x14ac:dyDescent="0.25">
      <c r="H455" s="59"/>
    </row>
    <row r="456" spans="8:8" x14ac:dyDescent="0.25">
      <c r="H456" s="59"/>
    </row>
    <row r="457" spans="8:8" x14ac:dyDescent="0.25">
      <c r="H457" s="59"/>
    </row>
    <row r="458" spans="8:8" x14ac:dyDescent="0.25">
      <c r="H458" s="59"/>
    </row>
    <row r="459" spans="8:8" x14ac:dyDescent="0.25">
      <c r="H459" s="59"/>
    </row>
    <row r="460" spans="8:8" x14ac:dyDescent="0.25">
      <c r="H460" s="59"/>
    </row>
    <row r="461" spans="8:8" x14ac:dyDescent="0.25">
      <c r="H461" s="59"/>
    </row>
    <row r="462" spans="8:8" x14ac:dyDescent="0.25">
      <c r="H462" s="59"/>
    </row>
    <row r="463" spans="8:8" x14ac:dyDescent="0.25">
      <c r="H463" s="59"/>
    </row>
    <row r="464" spans="8:8" x14ac:dyDescent="0.25">
      <c r="H464" s="59"/>
    </row>
    <row r="465" spans="8:8" x14ac:dyDescent="0.25">
      <c r="H465" s="59"/>
    </row>
    <row r="466" spans="8:8" x14ac:dyDescent="0.25">
      <c r="H466" s="59"/>
    </row>
    <row r="467" spans="8:8" x14ac:dyDescent="0.25">
      <c r="H467" s="59"/>
    </row>
    <row r="468" spans="8:8" x14ac:dyDescent="0.25">
      <c r="H468" s="59"/>
    </row>
    <row r="469" spans="8:8" x14ac:dyDescent="0.25">
      <c r="H469" s="59"/>
    </row>
    <row r="470" spans="8:8" x14ac:dyDescent="0.25">
      <c r="H470" s="59"/>
    </row>
    <row r="471" spans="8:8" x14ac:dyDescent="0.25">
      <c r="H471" s="59"/>
    </row>
    <row r="472" spans="8:8" x14ac:dyDescent="0.25">
      <c r="H472" s="59"/>
    </row>
    <row r="473" spans="8:8" x14ac:dyDescent="0.25">
      <c r="H473" s="59"/>
    </row>
    <row r="474" spans="8:8" x14ac:dyDescent="0.25">
      <c r="H474" s="59"/>
    </row>
    <row r="475" spans="8:8" x14ac:dyDescent="0.25">
      <c r="H475" s="59"/>
    </row>
    <row r="476" spans="8:8" x14ac:dyDescent="0.25">
      <c r="H476" s="59"/>
    </row>
    <row r="477" spans="8:8" x14ac:dyDescent="0.25">
      <c r="H477" s="59"/>
    </row>
    <row r="478" spans="8:8" x14ac:dyDescent="0.25">
      <c r="H478" s="59"/>
    </row>
    <row r="479" spans="8:8" x14ac:dyDescent="0.25">
      <c r="H479" s="59"/>
    </row>
    <row r="480" spans="8:8" x14ac:dyDescent="0.25">
      <c r="H480" s="59"/>
    </row>
    <row r="481" spans="8:8" x14ac:dyDescent="0.25">
      <c r="H481" s="59"/>
    </row>
    <row r="482" spans="8:8" x14ac:dyDescent="0.25">
      <c r="H482" s="59"/>
    </row>
    <row r="483" spans="8:8" x14ac:dyDescent="0.25">
      <c r="H483" s="59"/>
    </row>
    <row r="484" spans="8:8" x14ac:dyDescent="0.25">
      <c r="H484" s="59"/>
    </row>
    <row r="485" spans="8:8" x14ac:dyDescent="0.25">
      <c r="H485" s="59"/>
    </row>
    <row r="486" spans="8:8" x14ac:dyDescent="0.25">
      <c r="H486" s="59"/>
    </row>
    <row r="487" spans="8:8" x14ac:dyDescent="0.25">
      <c r="H487" s="59"/>
    </row>
    <row r="488" spans="8:8" x14ac:dyDescent="0.25">
      <c r="H488" s="59"/>
    </row>
    <row r="489" spans="8:8" x14ac:dyDescent="0.25">
      <c r="H489" s="59"/>
    </row>
    <row r="490" spans="8:8" x14ac:dyDescent="0.25">
      <c r="H490" s="59"/>
    </row>
    <row r="491" spans="8:8" x14ac:dyDescent="0.25">
      <c r="H491" s="59"/>
    </row>
    <row r="492" spans="8:8" x14ac:dyDescent="0.25">
      <c r="H492" s="59"/>
    </row>
    <row r="493" spans="8:8" x14ac:dyDescent="0.25">
      <c r="H493" s="59"/>
    </row>
    <row r="494" spans="8:8" x14ac:dyDescent="0.25">
      <c r="H494" s="59"/>
    </row>
    <row r="495" spans="8:8" x14ac:dyDescent="0.25">
      <c r="H495" s="59"/>
    </row>
    <row r="496" spans="8:8" x14ac:dyDescent="0.25">
      <c r="H496" s="59"/>
    </row>
    <row r="497" spans="8:8" x14ac:dyDescent="0.25">
      <c r="H497" s="59"/>
    </row>
    <row r="498" spans="8:8" x14ac:dyDescent="0.25">
      <c r="H498" s="59"/>
    </row>
    <row r="499" spans="8:8" x14ac:dyDescent="0.25">
      <c r="H499" s="59"/>
    </row>
    <row r="500" spans="8:8" x14ac:dyDescent="0.25">
      <c r="H500" s="59"/>
    </row>
    <row r="501" spans="8:8" x14ac:dyDescent="0.25">
      <c r="H501" s="59"/>
    </row>
    <row r="502" spans="8:8" x14ac:dyDescent="0.25">
      <c r="H502" s="59"/>
    </row>
    <row r="503" spans="8:8" x14ac:dyDescent="0.25">
      <c r="H503" s="59"/>
    </row>
    <row r="504" spans="8:8" x14ac:dyDescent="0.25">
      <c r="H504" s="59"/>
    </row>
    <row r="505" spans="8:8" x14ac:dyDescent="0.25">
      <c r="H505" s="59"/>
    </row>
    <row r="506" spans="8:8" x14ac:dyDescent="0.25">
      <c r="H506" s="59"/>
    </row>
    <row r="507" spans="8:8" x14ac:dyDescent="0.25">
      <c r="H507" s="59"/>
    </row>
    <row r="508" spans="8:8" x14ac:dyDescent="0.25">
      <c r="H508" s="59"/>
    </row>
    <row r="509" spans="8:8" x14ac:dyDescent="0.25">
      <c r="H509" s="59"/>
    </row>
    <row r="510" spans="8:8" x14ac:dyDescent="0.25">
      <c r="H510" s="59"/>
    </row>
    <row r="511" spans="8:8" x14ac:dyDescent="0.25">
      <c r="H511" s="59"/>
    </row>
    <row r="512" spans="8:8" x14ac:dyDescent="0.25">
      <c r="H512" s="59"/>
    </row>
    <row r="513" spans="8:8" x14ac:dyDescent="0.25">
      <c r="H513" s="59"/>
    </row>
    <row r="514" spans="8:8" x14ac:dyDescent="0.25">
      <c r="H514" s="59"/>
    </row>
    <row r="515" spans="8:8" x14ac:dyDescent="0.25">
      <c r="H515" s="59"/>
    </row>
    <row r="516" spans="8:8" x14ac:dyDescent="0.25">
      <c r="H516" s="59"/>
    </row>
    <row r="517" spans="8:8" x14ac:dyDescent="0.25">
      <c r="H517" s="59"/>
    </row>
    <row r="518" spans="8:8" x14ac:dyDescent="0.25">
      <c r="H518" s="59"/>
    </row>
    <row r="519" spans="8:8" x14ac:dyDescent="0.25">
      <c r="H519" s="59"/>
    </row>
    <row r="520" spans="8:8" x14ac:dyDescent="0.25">
      <c r="H520" s="59"/>
    </row>
    <row r="521" spans="8:8" x14ac:dyDescent="0.25">
      <c r="H521" s="59"/>
    </row>
    <row r="522" spans="8:8" x14ac:dyDescent="0.25">
      <c r="H522" s="59"/>
    </row>
    <row r="523" spans="8:8" x14ac:dyDescent="0.25">
      <c r="H523" s="59"/>
    </row>
    <row r="524" spans="8:8" x14ac:dyDescent="0.25">
      <c r="H524" s="59"/>
    </row>
    <row r="525" spans="8:8" x14ac:dyDescent="0.25">
      <c r="H525" s="59"/>
    </row>
    <row r="526" spans="8:8" x14ac:dyDescent="0.25">
      <c r="H526" s="59"/>
    </row>
    <row r="527" spans="8:8" x14ac:dyDescent="0.25">
      <c r="H527" s="59"/>
    </row>
    <row r="528" spans="8:8" x14ac:dyDescent="0.25">
      <c r="H528" s="59"/>
    </row>
    <row r="529" spans="8:8" x14ac:dyDescent="0.25">
      <c r="H529" s="59"/>
    </row>
    <row r="530" spans="8:8" x14ac:dyDescent="0.25">
      <c r="H530" s="59"/>
    </row>
    <row r="531" spans="8:8" x14ac:dyDescent="0.25">
      <c r="H531" s="59"/>
    </row>
    <row r="532" spans="8:8" x14ac:dyDescent="0.25">
      <c r="H532" s="59"/>
    </row>
    <row r="533" spans="8:8" x14ac:dyDescent="0.25">
      <c r="H533" s="59"/>
    </row>
    <row r="534" spans="8:8" x14ac:dyDescent="0.25">
      <c r="H534" s="59"/>
    </row>
    <row r="535" spans="8:8" x14ac:dyDescent="0.25">
      <c r="H535" s="59"/>
    </row>
    <row r="536" spans="8:8" x14ac:dyDescent="0.25">
      <c r="H536" s="59"/>
    </row>
    <row r="537" spans="8:8" x14ac:dyDescent="0.25">
      <c r="H537" s="59"/>
    </row>
    <row r="538" spans="8:8" x14ac:dyDescent="0.25">
      <c r="H538" s="59"/>
    </row>
    <row r="539" spans="8:8" x14ac:dyDescent="0.25">
      <c r="H539" s="59"/>
    </row>
    <row r="540" spans="8:8" x14ac:dyDescent="0.25">
      <c r="H540" s="59"/>
    </row>
    <row r="541" spans="8:8" x14ac:dyDescent="0.25">
      <c r="H541" s="59"/>
    </row>
    <row r="542" spans="8:8" x14ac:dyDescent="0.25">
      <c r="H542" s="59"/>
    </row>
    <row r="543" spans="8:8" x14ac:dyDescent="0.25">
      <c r="H543" s="59"/>
    </row>
    <row r="544" spans="8:8" x14ac:dyDescent="0.25">
      <c r="H544" s="59"/>
    </row>
    <row r="545" spans="8:8" x14ac:dyDescent="0.25">
      <c r="H545" s="59"/>
    </row>
    <row r="546" spans="8:8" x14ac:dyDescent="0.25">
      <c r="H546" s="59"/>
    </row>
    <row r="547" spans="8:8" x14ac:dyDescent="0.25">
      <c r="H547" s="59"/>
    </row>
    <row r="548" spans="8:8" x14ac:dyDescent="0.25">
      <c r="H548" s="59"/>
    </row>
    <row r="549" spans="8:8" x14ac:dyDescent="0.25">
      <c r="H549" s="59"/>
    </row>
    <row r="550" spans="8:8" x14ac:dyDescent="0.25">
      <c r="H550" s="59"/>
    </row>
    <row r="551" spans="8:8" x14ac:dyDescent="0.25">
      <c r="H551" s="59"/>
    </row>
    <row r="552" spans="8:8" x14ac:dyDescent="0.25">
      <c r="H552" s="59"/>
    </row>
    <row r="553" spans="8:8" x14ac:dyDescent="0.25">
      <c r="H553" s="59"/>
    </row>
    <row r="554" spans="8:8" x14ac:dyDescent="0.25">
      <c r="H554" s="59"/>
    </row>
    <row r="555" spans="8:8" x14ac:dyDescent="0.25">
      <c r="H555" s="59"/>
    </row>
    <row r="556" spans="8:8" x14ac:dyDescent="0.25">
      <c r="H556" s="59"/>
    </row>
    <row r="557" spans="8:8" x14ac:dyDescent="0.25">
      <c r="H557" s="59"/>
    </row>
    <row r="558" spans="8:8" x14ac:dyDescent="0.25">
      <c r="H558" s="59"/>
    </row>
    <row r="559" spans="8:8" x14ac:dyDescent="0.25">
      <c r="H559" s="59"/>
    </row>
    <row r="560" spans="8:8" x14ac:dyDescent="0.25">
      <c r="H560" s="59"/>
    </row>
    <row r="561" spans="8:8" x14ac:dyDescent="0.25">
      <c r="H561" s="59"/>
    </row>
    <row r="562" spans="8:8" x14ac:dyDescent="0.25">
      <c r="H562" s="59"/>
    </row>
    <row r="563" spans="8:8" x14ac:dyDescent="0.25">
      <c r="H563" s="59"/>
    </row>
    <row r="564" spans="8:8" x14ac:dyDescent="0.25">
      <c r="H564" s="59"/>
    </row>
    <row r="565" spans="8:8" x14ac:dyDescent="0.25">
      <c r="H565" s="59"/>
    </row>
    <row r="566" spans="8:8" x14ac:dyDescent="0.25">
      <c r="H566" s="59"/>
    </row>
    <row r="567" spans="8:8" x14ac:dyDescent="0.25">
      <c r="H567" s="59"/>
    </row>
    <row r="568" spans="8:8" x14ac:dyDescent="0.25">
      <c r="H568" s="59"/>
    </row>
    <row r="569" spans="8:8" x14ac:dyDescent="0.25">
      <c r="H569" s="59"/>
    </row>
    <row r="570" spans="8:8" x14ac:dyDescent="0.25">
      <c r="H570" s="59"/>
    </row>
    <row r="571" spans="8:8" x14ac:dyDescent="0.25">
      <c r="H571" s="59"/>
    </row>
    <row r="572" spans="8:8" x14ac:dyDescent="0.25">
      <c r="H572" s="59"/>
    </row>
    <row r="573" spans="8:8" x14ac:dyDescent="0.25">
      <c r="H573" s="59"/>
    </row>
    <row r="574" spans="8:8" x14ac:dyDescent="0.25">
      <c r="H574" s="59"/>
    </row>
    <row r="575" spans="8:8" x14ac:dyDescent="0.25">
      <c r="H575" s="59"/>
    </row>
    <row r="576" spans="8:8" x14ac:dyDescent="0.25">
      <c r="H576" s="59"/>
    </row>
    <row r="577" spans="8:8" x14ac:dyDescent="0.25">
      <c r="H577" s="59"/>
    </row>
    <row r="578" spans="8:8" x14ac:dyDescent="0.25">
      <c r="H578" s="59"/>
    </row>
    <row r="579" spans="8:8" x14ac:dyDescent="0.25">
      <c r="H579" s="59"/>
    </row>
    <row r="580" spans="8:8" x14ac:dyDescent="0.25">
      <c r="H580" s="59"/>
    </row>
    <row r="581" spans="8:8" x14ac:dyDescent="0.25">
      <c r="H581" s="59"/>
    </row>
    <row r="582" spans="8:8" x14ac:dyDescent="0.25">
      <c r="H582" s="59"/>
    </row>
    <row r="583" spans="8:8" x14ac:dyDescent="0.25">
      <c r="H583" s="59"/>
    </row>
    <row r="584" spans="8:8" x14ac:dyDescent="0.25">
      <c r="H584" s="59"/>
    </row>
    <row r="585" spans="8:8" x14ac:dyDescent="0.25">
      <c r="H585" s="59"/>
    </row>
    <row r="586" spans="8:8" x14ac:dyDescent="0.25">
      <c r="H586" s="59"/>
    </row>
    <row r="587" spans="8:8" x14ac:dyDescent="0.25">
      <c r="H587" s="59"/>
    </row>
    <row r="588" spans="8:8" x14ac:dyDescent="0.25">
      <c r="H588" s="59"/>
    </row>
    <row r="589" spans="8:8" x14ac:dyDescent="0.25">
      <c r="H589" s="59"/>
    </row>
    <row r="590" spans="8:8" x14ac:dyDescent="0.25">
      <c r="H590" s="59"/>
    </row>
    <row r="591" spans="8:8" x14ac:dyDescent="0.25">
      <c r="H591" s="59"/>
    </row>
    <row r="592" spans="8:8" x14ac:dyDescent="0.25">
      <c r="H592" s="59"/>
    </row>
    <row r="593" spans="8:8" x14ac:dyDescent="0.25">
      <c r="H593" s="59"/>
    </row>
    <row r="594" spans="8:8" x14ac:dyDescent="0.25">
      <c r="H594" s="59"/>
    </row>
    <row r="595" spans="8:8" x14ac:dyDescent="0.25">
      <c r="H595" s="59"/>
    </row>
    <row r="596" spans="8:8" x14ac:dyDescent="0.25">
      <c r="H596" s="59"/>
    </row>
    <row r="597" spans="8:8" x14ac:dyDescent="0.25">
      <c r="H597" s="59"/>
    </row>
    <row r="598" spans="8:8" x14ac:dyDescent="0.25">
      <c r="H598" s="59"/>
    </row>
    <row r="599" spans="8:8" x14ac:dyDescent="0.25">
      <c r="H599" s="59"/>
    </row>
    <row r="600" spans="8:8" x14ac:dyDescent="0.25">
      <c r="H600" s="59"/>
    </row>
    <row r="601" spans="8:8" x14ac:dyDescent="0.25">
      <c r="H601" s="59"/>
    </row>
    <row r="602" spans="8:8" x14ac:dyDescent="0.25">
      <c r="H602" s="59"/>
    </row>
    <row r="603" spans="8:8" x14ac:dyDescent="0.25">
      <c r="H603" s="59"/>
    </row>
    <row r="604" spans="8:8" x14ac:dyDescent="0.25">
      <c r="H604" s="59"/>
    </row>
    <row r="605" spans="8:8" x14ac:dyDescent="0.25">
      <c r="H605" s="59"/>
    </row>
    <row r="606" spans="8:8" x14ac:dyDescent="0.25">
      <c r="H606" s="59"/>
    </row>
    <row r="607" spans="8:8" x14ac:dyDescent="0.25">
      <c r="H607" s="59"/>
    </row>
    <row r="608" spans="8:8" x14ac:dyDescent="0.25">
      <c r="H608" s="59"/>
    </row>
    <row r="609" spans="8:8" x14ac:dyDescent="0.25">
      <c r="H609" s="59"/>
    </row>
    <row r="610" spans="8:8" x14ac:dyDescent="0.25">
      <c r="H610" s="59"/>
    </row>
    <row r="611" spans="8:8" x14ac:dyDescent="0.25">
      <c r="H611" s="59"/>
    </row>
    <row r="612" spans="8:8" x14ac:dyDescent="0.25">
      <c r="H612" s="59"/>
    </row>
    <row r="613" spans="8:8" x14ac:dyDescent="0.25">
      <c r="H613" s="59"/>
    </row>
    <row r="614" spans="8:8" x14ac:dyDescent="0.25">
      <c r="H614" s="59"/>
    </row>
    <row r="615" spans="8:8" x14ac:dyDescent="0.25">
      <c r="H615" s="59"/>
    </row>
    <row r="616" spans="8:8" x14ac:dyDescent="0.25">
      <c r="H616" s="59"/>
    </row>
    <row r="617" spans="8:8" x14ac:dyDescent="0.25">
      <c r="H617" s="59"/>
    </row>
    <row r="618" spans="8:8" x14ac:dyDescent="0.25">
      <c r="H618" s="59"/>
    </row>
    <row r="619" spans="8:8" x14ac:dyDescent="0.25">
      <c r="H619" s="59"/>
    </row>
    <row r="620" spans="8:8" x14ac:dyDescent="0.25">
      <c r="H620" s="59"/>
    </row>
    <row r="621" spans="8:8" x14ac:dyDescent="0.25">
      <c r="H621" s="59"/>
    </row>
    <row r="622" spans="8:8" x14ac:dyDescent="0.25">
      <c r="H622" s="59"/>
    </row>
    <row r="623" spans="8:8" x14ac:dyDescent="0.25">
      <c r="H623" s="59"/>
    </row>
    <row r="624" spans="8:8" x14ac:dyDescent="0.25">
      <c r="H624" s="59"/>
    </row>
    <row r="625" spans="8:8" x14ac:dyDescent="0.25">
      <c r="H625" s="59"/>
    </row>
    <row r="626" spans="8:8" x14ac:dyDescent="0.25">
      <c r="H626" s="59"/>
    </row>
    <row r="627" spans="8:8" x14ac:dyDescent="0.25">
      <c r="H627" s="59"/>
    </row>
    <row r="628" spans="8:8" x14ac:dyDescent="0.25">
      <c r="H628" s="59"/>
    </row>
    <row r="629" spans="8:8" x14ac:dyDescent="0.25">
      <c r="H629" s="59"/>
    </row>
    <row r="630" spans="8:8" x14ac:dyDescent="0.25">
      <c r="H630" s="59"/>
    </row>
    <row r="631" spans="8:8" x14ac:dyDescent="0.25">
      <c r="H631" s="59"/>
    </row>
    <row r="632" spans="8:8" x14ac:dyDescent="0.25">
      <c r="H632" s="59"/>
    </row>
    <row r="633" spans="8:8" x14ac:dyDescent="0.25">
      <c r="H633" s="59"/>
    </row>
    <row r="634" spans="8:8" x14ac:dyDescent="0.25">
      <c r="H634" s="59"/>
    </row>
    <row r="635" spans="8:8" x14ac:dyDescent="0.25">
      <c r="H635" s="59"/>
    </row>
    <row r="636" spans="8:8" x14ac:dyDescent="0.25">
      <c r="H636" s="59"/>
    </row>
    <row r="637" spans="8:8" x14ac:dyDescent="0.25">
      <c r="H637" s="59"/>
    </row>
    <row r="638" spans="8:8" x14ac:dyDescent="0.25">
      <c r="H638" s="59"/>
    </row>
    <row r="639" spans="8:8" x14ac:dyDescent="0.25">
      <c r="H639" s="59"/>
    </row>
    <row r="640" spans="8:8" x14ac:dyDescent="0.25">
      <c r="H640" s="59"/>
    </row>
    <row r="641" spans="8:8" x14ac:dyDescent="0.25">
      <c r="H641" s="59"/>
    </row>
    <row r="642" spans="8:8" x14ac:dyDescent="0.25">
      <c r="H642" s="59"/>
    </row>
    <row r="643" spans="8:8" x14ac:dyDescent="0.25">
      <c r="H643" s="59"/>
    </row>
    <row r="644" spans="8:8" x14ac:dyDescent="0.25">
      <c r="H644" s="59"/>
    </row>
    <row r="645" spans="8:8" x14ac:dyDescent="0.25">
      <c r="H645" s="59"/>
    </row>
    <row r="646" spans="8:8" x14ac:dyDescent="0.25">
      <c r="H646" s="59"/>
    </row>
    <row r="647" spans="8:8" x14ac:dyDescent="0.25">
      <c r="H647" s="59"/>
    </row>
    <row r="648" spans="8:8" x14ac:dyDescent="0.25">
      <c r="H648" s="59"/>
    </row>
    <row r="649" spans="8:8" x14ac:dyDescent="0.25">
      <c r="H649" s="59"/>
    </row>
    <row r="650" spans="8:8" x14ac:dyDescent="0.25">
      <c r="H650" s="59"/>
    </row>
    <row r="651" spans="8:8" x14ac:dyDescent="0.25">
      <c r="H651" s="59"/>
    </row>
    <row r="652" spans="8:8" x14ac:dyDescent="0.25">
      <c r="H652" s="59"/>
    </row>
    <row r="653" spans="8:8" x14ac:dyDescent="0.25">
      <c r="H653" s="59"/>
    </row>
    <row r="654" spans="8:8" x14ac:dyDescent="0.25">
      <c r="H654" s="59"/>
    </row>
    <row r="655" spans="8:8" x14ac:dyDescent="0.25">
      <c r="H655" s="59"/>
    </row>
    <row r="656" spans="8:8" x14ac:dyDescent="0.25">
      <c r="H656" s="59"/>
    </row>
    <row r="657" spans="8:8" x14ac:dyDescent="0.25">
      <c r="H657" s="59"/>
    </row>
    <row r="658" spans="8:8" x14ac:dyDescent="0.25">
      <c r="H658" s="59"/>
    </row>
    <row r="659" spans="8:8" x14ac:dyDescent="0.25">
      <c r="H659" s="59"/>
    </row>
    <row r="660" spans="8:8" x14ac:dyDescent="0.25">
      <c r="H660" s="59"/>
    </row>
    <row r="661" spans="8:8" x14ac:dyDescent="0.25">
      <c r="H661" s="59"/>
    </row>
    <row r="662" spans="8:8" x14ac:dyDescent="0.25">
      <c r="H662" s="59"/>
    </row>
    <row r="663" spans="8:8" x14ac:dyDescent="0.25">
      <c r="H663" s="59"/>
    </row>
  </sheetData>
  <customSheetViews>
    <customSheetView guid="{CA125778-F8FD-4378-B746-C94ABF8D8556}">
      <selection activeCell="S11" sqref="S11"/>
      <pageMargins left="0.7" right="0.7" top="0.75" bottom="0.75" header="0.3" footer="0.3"/>
      <pageSetup paperSize="9" orientation="portrait" r:id="rId1"/>
    </customSheetView>
    <customSheetView guid="{630A50AD-37E0-4B13-8A0F-82608C065D57}" topLeftCell="A212">
      <selection activeCell="E221" sqref="E221"/>
      <pageMargins left="0.7" right="0.7" top="0.75" bottom="0.75" header="0.3" footer="0.3"/>
      <pageSetup paperSize="9" orientation="portrait" r:id="rId2"/>
    </customSheetView>
    <customSheetView guid="{80E426B4-B9D0-45E3-ACA1-6AA797532F97}" topLeftCell="A212">
      <selection activeCell="E221" sqref="E221"/>
      <pageMargins left="0.7" right="0.7" top="0.75" bottom="0.75" header="0.3" footer="0.3"/>
      <pageSetup paperSize="9" orientation="portrait" r:id="rId3"/>
    </customSheetView>
    <customSheetView guid="{A178F800-3B7E-4511-BF10-5AA233FDE985}" topLeftCell="A212">
      <selection activeCell="E221" sqref="E221"/>
      <pageMargins left="0.7" right="0.7" top="0.75" bottom="0.75" header="0.3" footer="0.3"/>
      <pageSetup paperSize="9" orientation="portrait" r:id="rId4"/>
    </customSheetView>
    <customSheetView guid="{1AAC2EB3-B963-4CB8-8604-06326666FF8C}" topLeftCell="A212">
      <selection activeCell="E221" sqref="E221"/>
      <pageMargins left="0.7" right="0.7" top="0.75" bottom="0.75" header="0.3" footer="0.3"/>
      <pageSetup paperSize="9" orientation="portrait" r:id="rId5"/>
    </customSheetView>
    <customSheetView guid="{898A57C7-EA84-4A1C-AA42-8284F31DD32C}">
      <pane xSplit="1" ySplit="1" topLeftCell="B311" activePane="bottomRight" state="frozen"/>
      <selection pane="bottomRight" activeCell="D319" sqref="D319"/>
      <pageMargins left="0.7" right="0.7" top="0.75" bottom="0.75" header="0.3" footer="0.3"/>
      <pageSetup paperSize="9" orientation="portrait" r:id="rId6"/>
    </customSheetView>
    <customSheetView guid="{88D7A6C6-1D77-4300-8600-F7BD640C7FF4}">
      <pane xSplit="1" ySplit="1" topLeftCell="B269" activePane="bottomRight" state="frozen"/>
      <selection pane="bottomRight" activeCell="E272" sqref="E272"/>
      <pageMargins left="0.7" right="0.7" top="0.75" bottom="0.75" header="0.3" footer="0.3"/>
      <pageSetup paperSize="9" orientation="portrait" r:id="rId7"/>
    </customSheetView>
    <customSheetView guid="{15973B62-11BC-4FDE-92B3-1DF2358CDD3E}">
      <selection activeCell="S11" sqref="S11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Potentialer og krav</vt:lpstr>
      <vt:lpstr>Netvolumenmål</vt:lpstr>
      <vt:lpstr>Costdrivere</vt:lpstr>
      <vt:lpstr>Renseanlæg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Trøjborg Krogh</dc:creator>
  <cp:lastModifiedBy>Rikke Leerberg Jørgensen</cp:lastModifiedBy>
  <cp:lastPrinted>2013-09-13T11:13:28Z</cp:lastPrinted>
  <dcterms:created xsi:type="dcterms:W3CDTF">2006-09-16T00:00:00Z</dcterms:created>
  <dcterms:modified xsi:type="dcterms:W3CDTF">2016-01-05T16:21:39Z</dcterms:modified>
</cp:coreProperties>
</file>