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14808" windowHeight="7956" activeTab="1"/>
  </bookViews>
  <sheets>
    <sheet name="Potentialer og krav" sheetId="1" r:id="rId1"/>
    <sheet name="Netvolumenmål" sheetId="2" r:id="rId2"/>
    <sheet name="Costdrivere" sheetId="3" r:id="rId3"/>
    <sheet name="Renseanlæg" sheetId="4" r:id="rId4"/>
    <sheet name="Potentialesammenligning" sheetId="7" r:id="rId5"/>
  </sheets>
  <definedNames>
    <definedName name="rente">'Potentialer og krav'!#REF!</definedName>
  </definedNames>
  <calcPr calcId="145621"/>
  <customWorkbookViews>
    <customWorkbookView name="Lasse Trøjborg Krogh - Privat visning" guid="{88D7A6C6-1D77-4300-8600-F7BD640C7FF4}" mergeInterval="0" personalView="1" maximized="1" windowWidth="1680" windowHeight="835" activeSheetId="1"/>
    <customWorkbookView name="Maria Rossmann - Privat visning" guid="{78B6FDE5-7C04-44E0-987D-B0794FC3C0C0}" mergeInterval="0" personalView="1" maximized="1" windowWidth="1680" windowHeight="864" activeSheetId="7"/>
    <customWorkbookView name="Lasse Trøjborg Krogh (KFST) - Privat visning" guid="{898A57C7-EA84-4A1C-AA42-8284F31DD32C}" mergeInterval="0" personalView="1" maximized="1" windowWidth="1280" windowHeight="834" activeSheetId="2"/>
    <customWorkbookView name="Rikke Leerberg Jørgensen (KFST) - Privat visning" guid="{1AAC2EB3-B963-4CB8-8604-06326666FF8C}" mergeInterval="0" personalView="1" maximized="1" windowWidth="1680" windowHeight="860" activeSheetId="1"/>
    <customWorkbookView name="Eske Benn Thomsen (KFST) - Privat visning" guid="{A178F800-3B7E-4511-BF10-5AA233FDE985}" mergeInterval="0" personalView="1" maximized="1" windowWidth="1680" windowHeight="827" activeSheetId="1"/>
    <customWorkbookView name="Eske Benn Thomsen - Privat visning" guid="{80E426B4-B9D0-45E3-ACA1-6AA797532F97}" mergeInterval="0" personalView="1" maximized="1" windowWidth="1680" windowHeight="835" activeSheetId="1"/>
    <customWorkbookView name="Kirstine Sewohl (KFST) - Privat visning" guid="{630A50AD-37E0-4B13-8A0F-82608C065D57}" mergeInterval="0" personalView="1" maximized="1" windowWidth="1920" windowHeight="985" activeSheetId="1"/>
    <customWorkbookView name="Rikke Leerberg Jørgensen - Privat visning" guid="{CA125778-F8FD-4378-B746-C94ABF8D8556}" mergeInterval="0" personalView="1" maximized="1" windowWidth="1680" windowHeight="864" activeSheetId="1"/>
  </customWorkbookViews>
</workbook>
</file>

<file path=xl/calcChain.xml><?xml version="1.0" encoding="utf-8"?>
<calcChain xmlns="http://schemas.openxmlformats.org/spreadsheetml/2006/main">
  <c r="M27" i="1" l="1"/>
  <c r="K27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3" i="1"/>
  <c r="Q8" i="1" l="1"/>
  <c r="Q12" i="1"/>
  <c r="Q16" i="1"/>
  <c r="Q23" i="1"/>
  <c r="Q27" i="1"/>
  <c r="Q30" i="1"/>
  <c r="K33" i="1" l="1"/>
  <c r="M7" i="1"/>
  <c r="K7" i="1"/>
  <c r="H7" i="1"/>
  <c r="K22" i="1" l="1"/>
  <c r="K16" i="1" l="1"/>
  <c r="H16" i="1"/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3" i="2"/>
  <c r="B3" i="7" l="1"/>
  <c r="E3" i="7" s="1"/>
  <c r="K3" i="7" s="1"/>
  <c r="B4" i="7"/>
  <c r="E4" i="7" s="1"/>
  <c r="K4" i="7" s="1"/>
  <c r="B5" i="7"/>
  <c r="E5" i="7" s="1"/>
  <c r="K5" i="7" s="1"/>
  <c r="B6" i="7"/>
  <c r="E6" i="7" s="1"/>
  <c r="B7" i="7"/>
  <c r="E7" i="7" s="1"/>
  <c r="K7" i="7" s="1"/>
  <c r="B8" i="7"/>
  <c r="E8" i="7" s="1"/>
  <c r="K8" i="7" s="1"/>
  <c r="B9" i="7"/>
  <c r="E9" i="7" s="1"/>
  <c r="K9" i="7" s="1"/>
  <c r="B10" i="7"/>
  <c r="E10" i="7" s="1"/>
  <c r="K10" i="7" s="1"/>
  <c r="B11" i="7"/>
  <c r="E11" i="7" s="1"/>
  <c r="K11" i="7" s="1"/>
  <c r="B12" i="7"/>
  <c r="E12" i="7" s="1"/>
  <c r="B13" i="7"/>
  <c r="E13" i="7" s="1"/>
  <c r="K13" i="7" s="1"/>
  <c r="B14" i="7"/>
  <c r="E14" i="7" s="1"/>
  <c r="K14" i="7" s="1"/>
  <c r="B15" i="7"/>
  <c r="E15" i="7" s="1"/>
  <c r="K15" i="7" s="1"/>
  <c r="B16" i="7"/>
  <c r="E16" i="7" s="1"/>
  <c r="K16" i="7" s="1"/>
  <c r="B17" i="7"/>
  <c r="E17" i="7" s="1"/>
  <c r="B18" i="7"/>
  <c r="E18" i="7" s="1"/>
  <c r="K18" i="7" s="1"/>
  <c r="B19" i="7"/>
  <c r="E19" i="7" s="1"/>
  <c r="K19" i="7" s="1"/>
  <c r="B20" i="7"/>
  <c r="E20" i="7" s="1"/>
  <c r="K20" i="7" s="1"/>
  <c r="B21" i="7"/>
  <c r="E21" i="7" s="1"/>
  <c r="K21" i="7" s="1"/>
  <c r="B22" i="7"/>
  <c r="E22" i="7" s="1"/>
  <c r="K22" i="7" s="1"/>
  <c r="B23" i="7"/>
  <c r="E23" i="7" s="1"/>
  <c r="K23" i="7" s="1"/>
  <c r="B24" i="7"/>
  <c r="E24" i="7" s="1"/>
  <c r="K24" i="7" s="1"/>
  <c r="B25" i="7"/>
  <c r="E25" i="7" s="1"/>
  <c r="K25" i="7" s="1"/>
  <c r="B26" i="7"/>
  <c r="E26" i="7" s="1"/>
  <c r="K26" i="7" s="1"/>
  <c r="B27" i="7"/>
  <c r="E27" i="7" s="1"/>
  <c r="K27" i="7" s="1"/>
  <c r="B28" i="7"/>
  <c r="E28" i="7" s="1"/>
  <c r="K28" i="7" s="1"/>
  <c r="B29" i="7"/>
  <c r="E29" i="7" s="1"/>
  <c r="K29" i="7" s="1"/>
  <c r="B30" i="7"/>
  <c r="E30" i="7" s="1"/>
  <c r="K30" i="7" s="1"/>
  <c r="B31" i="7"/>
  <c r="E31" i="7" s="1"/>
  <c r="K31" i="7" s="1"/>
  <c r="B32" i="7"/>
  <c r="E32" i="7" s="1"/>
  <c r="K32" i="7" s="1"/>
  <c r="B33" i="7"/>
  <c r="E33" i="7" s="1"/>
  <c r="K33" i="7" s="1"/>
  <c r="B34" i="7"/>
  <c r="E34" i="7" s="1"/>
  <c r="K34" i="7" s="1"/>
  <c r="B35" i="7"/>
  <c r="E35" i="7" s="1"/>
  <c r="K35" i="7" s="1"/>
  <c r="B36" i="7"/>
  <c r="E36" i="7" s="1"/>
  <c r="K36" i="7" s="1"/>
  <c r="B37" i="7"/>
  <c r="E37" i="7" s="1"/>
  <c r="K37" i="7" s="1"/>
  <c r="B38" i="7"/>
  <c r="E38" i="7" s="1"/>
  <c r="K38" i="7" s="1"/>
  <c r="B39" i="7"/>
  <c r="E39" i="7" s="1"/>
  <c r="K39" i="7" s="1"/>
  <c r="B40" i="7"/>
  <c r="E40" i="7" s="1"/>
  <c r="K40" i="7" s="1"/>
  <c r="B41" i="7"/>
  <c r="E41" i="7" s="1"/>
  <c r="K41" i="7" s="1"/>
  <c r="B42" i="7"/>
  <c r="E42" i="7" s="1"/>
  <c r="K42" i="7" s="1"/>
  <c r="B43" i="7"/>
  <c r="E43" i="7" s="1"/>
  <c r="K43" i="7" s="1"/>
  <c r="B44" i="7"/>
  <c r="E44" i="7" s="1"/>
  <c r="K44" i="7" s="1"/>
  <c r="B45" i="7"/>
  <c r="E45" i="7" s="1"/>
  <c r="K45" i="7" s="1"/>
  <c r="B46" i="7"/>
  <c r="E46" i="7" s="1"/>
  <c r="K46" i="7" s="1"/>
  <c r="B47" i="7"/>
  <c r="E47" i="7" s="1"/>
  <c r="K47" i="7" s="1"/>
  <c r="B48" i="7"/>
  <c r="E48" i="7" s="1"/>
  <c r="K48" i="7" s="1"/>
  <c r="B49" i="7"/>
  <c r="E49" i="7" s="1"/>
  <c r="K49" i="7" s="1"/>
  <c r="B2" i="7"/>
  <c r="E2" i="7" s="1"/>
  <c r="K2" i="7" s="1"/>
  <c r="I6" i="7" l="1"/>
  <c r="K6" i="7"/>
  <c r="I17" i="7"/>
  <c r="K17" i="7"/>
  <c r="I12" i="7"/>
  <c r="K12" i="7"/>
  <c r="I49" i="7"/>
  <c r="I47" i="7"/>
  <c r="I45" i="7"/>
  <c r="I43" i="7"/>
  <c r="I41" i="7"/>
  <c r="I39" i="7"/>
  <c r="I37" i="7"/>
  <c r="I35" i="7"/>
  <c r="I33" i="7"/>
  <c r="I31" i="7"/>
  <c r="I29" i="7"/>
  <c r="I27" i="7"/>
  <c r="I25" i="7"/>
  <c r="I23" i="7"/>
  <c r="I21" i="7"/>
  <c r="I19" i="7"/>
  <c r="I15" i="7"/>
  <c r="I13" i="7"/>
  <c r="I11" i="7"/>
  <c r="I9" i="7"/>
  <c r="I7" i="7"/>
  <c r="I5" i="7"/>
  <c r="I3" i="7"/>
  <c r="I48" i="7"/>
  <c r="I46" i="7"/>
  <c r="I44" i="7"/>
  <c r="I42" i="7"/>
  <c r="I40" i="7"/>
  <c r="I38" i="7"/>
  <c r="I36" i="7"/>
  <c r="I34" i="7"/>
  <c r="I32" i="7"/>
  <c r="I30" i="7"/>
  <c r="I28" i="7"/>
  <c r="I26" i="7"/>
  <c r="I24" i="7"/>
  <c r="I22" i="7"/>
  <c r="I20" i="7"/>
  <c r="I18" i="7"/>
  <c r="I16" i="7"/>
  <c r="I14" i="7"/>
  <c r="I10" i="7"/>
  <c r="I8" i="7"/>
  <c r="I4" i="7"/>
  <c r="I2" i="7"/>
  <c r="R3" i="1" l="1"/>
  <c r="R5" i="1"/>
  <c r="R7" i="1"/>
  <c r="R9" i="1"/>
  <c r="R11" i="1"/>
  <c r="R13" i="1"/>
  <c r="R15" i="1"/>
  <c r="R17" i="1"/>
  <c r="R19" i="1"/>
  <c r="R21" i="1"/>
  <c r="R23" i="1"/>
  <c r="S23" i="1" s="1"/>
  <c r="R25" i="1"/>
  <c r="R27" i="1"/>
  <c r="S27" i="1" s="1"/>
  <c r="R29" i="1"/>
  <c r="R31" i="1"/>
  <c r="R33" i="1"/>
  <c r="R35" i="1"/>
  <c r="R37" i="1"/>
  <c r="R39" i="1"/>
  <c r="R41" i="1"/>
  <c r="R43" i="1"/>
  <c r="R45" i="1"/>
  <c r="R47" i="1"/>
  <c r="R49" i="1"/>
  <c r="R4" i="1"/>
  <c r="R6" i="1"/>
  <c r="R8" i="1"/>
  <c r="S8" i="1" s="1"/>
  <c r="R10" i="1"/>
  <c r="R12" i="1"/>
  <c r="S12" i="1" s="1"/>
  <c r="R14" i="1"/>
  <c r="R16" i="1"/>
  <c r="S16" i="1" s="1"/>
  <c r="R18" i="1"/>
  <c r="R20" i="1"/>
  <c r="R22" i="1"/>
  <c r="R24" i="1"/>
  <c r="R26" i="1"/>
  <c r="R28" i="1"/>
  <c r="R30" i="1"/>
  <c r="S30" i="1" s="1"/>
  <c r="R32" i="1"/>
  <c r="R34" i="1"/>
  <c r="R36" i="1"/>
  <c r="R38" i="1"/>
  <c r="R40" i="1"/>
  <c r="R42" i="1"/>
  <c r="R44" i="1"/>
  <c r="R46" i="1"/>
  <c r="R48" i="1"/>
  <c r="R50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3" i="1"/>
  <c r="C3" i="3"/>
  <c r="F20" i="2"/>
  <c r="F4" i="3"/>
  <c r="F5" i="3"/>
  <c r="F6" i="3"/>
  <c r="F6" i="2" s="1"/>
  <c r="F7" i="3"/>
  <c r="F7" i="2" s="1"/>
  <c r="F8" i="3"/>
  <c r="F8" i="2" s="1"/>
  <c r="F10" i="3"/>
  <c r="F11" i="3"/>
  <c r="F11" i="2" s="1"/>
  <c r="F12" i="3"/>
  <c r="F12" i="2" s="1"/>
  <c r="F13" i="3"/>
  <c r="F13" i="2" s="1"/>
  <c r="F15" i="3"/>
  <c r="F16" i="3"/>
  <c r="F17" i="3"/>
  <c r="F17" i="2" s="1"/>
  <c r="F18" i="3"/>
  <c r="F18" i="2" s="1"/>
  <c r="F19" i="3"/>
  <c r="F23" i="3"/>
  <c r="F24" i="3"/>
  <c r="F25" i="3"/>
  <c r="F25" i="2" s="1"/>
  <c r="F27" i="3"/>
  <c r="F29" i="3"/>
  <c r="F30" i="3"/>
  <c r="F30" i="2" s="1"/>
  <c r="F31" i="3"/>
  <c r="F31" i="2" s="1"/>
  <c r="F32" i="3"/>
  <c r="F34" i="3"/>
  <c r="F34" i="2" s="1"/>
  <c r="F35" i="3"/>
  <c r="F35" i="2" s="1"/>
  <c r="F36" i="3"/>
  <c r="F36" i="2" s="1"/>
  <c r="F37" i="3"/>
  <c r="F38" i="3"/>
  <c r="F38" i="2" s="1"/>
  <c r="F39" i="3"/>
  <c r="F40" i="3"/>
  <c r="F40" i="2" s="1"/>
  <c r="F41" i="3"/>
  <c r="F42" i="3"/>
  <c r="F42" i="2" s="1"/>
  <c r="F43" i="3"/>
  <c r="F43" i="2" s="1"/>
  <c r="F44" i="3"/>
  <c r="F44" i="2" s="1"/>
  <c r="F45" i="3"/>
  <c r="F46" i="3"/>
  <c r="F46" i="2" s="1"/>
  <c r="F47" i="3"/>
  <c r="F47" i="2" s="1"/>
  <c r="F48" i="3"/>
  <c r="F48" i="2" s="1"/>
  <c r="F49" i="3"/>
  <c r="F50" i="3"/>
  <c r="F50" i="2" s="1"/>
  <c r="F3" i="3"/>
  <c r="F3" i="2" s="1"/>
  <c r="F4" i="2"/>
  <c r="F5" i="2"/>
  <c r="F9" i="2"/>
  <c r="F10" i="2"/>
  <c r="F14" i="2"/>
  <c r="F15" i="2"/>
  <c r="F16" i="2"/>
  <c r="F19" i="2"/>
  <c r="F21" i="2"/>
  <c r="F22" i="2"/>
  <c r="F23" i="2"/>
  <c r="F24" i="2"/>
  <c r="F26" i="2"/>
  <c r="F27" i="2"/>
  <c r="F28" i="2"/>
  <c r="F29" i="2"/>
  <c r="F32" i="2"/>
  <c r="F33" i="2"/>
  <c r="F37" i="2"/>
  <c r="F39" i="2"/>
  <c r="F41" i="2"/>
  <c r="F45" i="2"/>
  <c r="F49" i="2"/>
  <c r="U46" i="1" l="1"/>
  <c r="Y46" i="1" s="1"/>
  <c r="U30" i="1"/>
  <c r="Y30" i="1" s="1"/>
  <c r="U18" i="1"/>
  <c r="Y18" i="1" s="1"/>
  <c r="U14" i="1"/>
  <c r="Y14" i="1" s="1"/>
  <c r="U3" i="1"/>
  <c r="Y3" i="1" s="1"/>
  <c r="U47" i="1"/>
  <c r="Y47" i="1" s="1"/>
  <c r="U43" i="1"/>
  <c r="Y43" i="1" s="1"/>
  <c r="U39" i="1"/>
  <c r="Y39" i="1" s="1"/>
  <c r="U35" i="1"/>
  <c r="Y35" i="1" s="1"/>
  <c r="U31" i="1"/>
  <c r="Y31" i="1" s="1"/>
  <c r="U27" i="1"/>
  <c r="Y27" i="1" s="1"/>
  <c r="U23" i="1"/>
  <c r="Y23" i="1" s="1"/>
  <c r="U19" i="1"/>
  <c r="Y19" i="1" s="1"/>
  <c r="U15" i="1"/>
  <c r="Y15" i="1" s="1"/>
  <c r="U11" i="1"/>
  <c r="Y11" i="1" s="1"/>
  <c r="U7" i="1"/>
  <c r="Y7" i="1" s="1"/>
  <c r="U50" i="1"/>
  <c r="Y50" i="1" s="1"/>
  <c r="U38" i="1"/>
  <c r="Y38" i="1" s="1"/>
  <c r="U22" i="1"/>
  <c r="Y22" i="1" s="1"/>
  <c r="U10" i="1"/>
  <c r="Y10" i="1" s="1"/>
  <c r="U49" i="1"/>
  <c r="Y49" i="1" s="1"/>
  <c r="U45" i="1"/>
  <c r="X45" i="1" s="1"/>
  <c r="U41" i="1"/>
  <c r="Y41" i="1" s="1"/>
  <c r="U37" i="1"/>
  <c r="Y37" i="1" s="1"/>
  <c r="U33" i="1"/>
  <c r="Y33" i="1" s="1"/>
  <c r="U29" i="1"/>
  <c r="Y29" i="1" s="1"/>
  <c r="U25" i="1"/>
  <c r="Y25" i="1" s="1"/>
  <c r="U21" i="1"/>
  <c r="Y21" i="1" s="1"/>
  <c r="U17" i="1"/>
  <c r="Y17" i="1" s="1"/>
  <c r="U13" i="1"/>
  <c r="Y13" i="1" s="1"/>
  <c r="U9" i="1"/>
  <c r="Y9" i="1" s="1"/>
  <c r="U5" i="1"/>
  <c r="Y5" i="1" s="1"/>
  <c r="U42" i="1"/>
  <c r="Y42" i="1" s="1"/>
  <c r="U34" i="1"/>
  <c r="Y34" i="1" s="1"/>
  <c r="U26" i="1"/>
  <c r="Y26" i="1" s="1"/>
  <c r="U6" i="1"/>
  <c r="Y6" i="1" s="1"/>
  <c r="U48" i="1"/>
  <c r="Y48" i="1" s="1"/>
  <c r="U44" i="1"/>
  <c r="Y44" i="1" s="1"/>
  <c r="U40" i="1"/>
  <c r="Y40" i="1" s="1"/>
  <c r="U36" i="1"/>
  <c r="Y36" i="1" s="1"/>
  <c r="U32" i="1"/>
  <c r="Y32" i="1" s="1"/>
  <c r="U28" i="1"/>
  <c r="Y28" i="1" s="1"/>
  <c r="U24" i="1"/>
  <c r="Y24" i="1" s="1"/>
  <c r="U20" i="1"/>
  <c r="Y20" i="1" s="1"/>
  <c r="U16" i="1"/>
  <c r="Y16" i="1" s="1"/>
  <c r="U12" i="1"/>
  <c r="Y12" i="1" s="1"/>
  <c r="U8" i="1"/>
  <c r="Y8" i="1" s="1"/>
  <c r="U4" i="1"/>
  <c r="Y4" i="1" s="1"/>
  <c r="F19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G316" i="4" s="1"/>
  <c r="F317" i="4"/>
  <c r="G317" i="4" s="1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G400" i="4" s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20" i="4"/>
  <c r="F21" i="4"/>
  <c r="F22" i="4"/>
  <c r="F23" i="4"/>
  <c r="F24" i="4"/>
  <c r="F25" i="4"/>
  <c r="F26" i="4"/>
  <c r="F27" i="4"/>
  <c r="F28" i="4"/>
  <c r="F29" i="4"/>
  <c r="F30" i="4"/>
  <c r="G30" i="4" s="1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G81" i="4" s="1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G136" i="4" s="1"/>
  <c r="F137" i="4"/>
  <c r="G137" i="4" s="1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3" i="3"/>
  <c r="G4" i="3"/>
  <c r="G4" i="2" s="1"/>
  <c r="G5" i="3"/>
  <c r="G5" i="2" s="1"/>
  <c r="G6" i="3"/>
  <c r="G6" i="2" s="1"/>
  <c r="G7" i="3"/>
  <c r="G7" i="2" s="1"/>
  <c r="G8" i="3"/>
  <c r="G8" i="2" s="1"/>
  <c r="G9" i="3"/>
  <c r="G9" i="2" s="1"/>
  <c r="G10" i="3"/>
  <c r="G10" i="2" s="1"/>
  <c r="G11" i="3"/>
  <c r="G11" i="2" s="1"/>
  <c r="G12" i="3"/>
  <c r="G12" i="2" s="1"/>
  <c r="G13" i="3"/>
  <c r="G13" i="2" s="1"/>
  <c r="G14" i="3"/>
  <c r="G14" i="2" s="1"/>
  <c r="G15" i="3"/>
  <c r="G15" i="2" s="1"/>
  <c r="G16" i="3"/>
  <c r="G17" i="3"/>
  <c r="G17" i="2" s="1"/>
  <c r="G18" i="3"/>
  <c r="G18" i="2" s="1"/>
  <c r="G19" i="3"/>
  <c r="G19" i="2" s="1"/>
  <c r="G20" i="3"/>
  <c r="G20" i="2" s="1"/>
  <c r="G21" i="3"/>
  <c r="G21" i="2" s="1"/>
  <c r="G22" i="3"/>
  <c r="G22" i="2" s="1"/>
  <c r="G23" i="3"/>
  <c r="G23" i="2" s="1"/>
  <c r="G24" i="3"/>
  <c r="G24" i="2" s="1"/>
  <c r="G25" i="3"/>
  <c r="G25" i="2" s="1"/>
  <c r="G26" i="3"/>
  <c r="G26" i="2" s="1"/>
  <c r="G27" i="3"/>
  <c r="G27" i="2" s="1"/>
  <c r="G28" i="3"/>
  <c r="G28" i="2" s="1"/>
  <c r="G29" i="3"/>
  <c r="G29" i="2" s="1"/>
  <c r="G30" i="3"/>
  <c r="G30" i="2" s="1"/>
  <c r="G31" i="3"/>
  <c r="G31" i="2" s="1"/>
  <c r="G32" i="3"/>
  <c r="G32" i="2" s="1"/>
  <c r="G33" i="3"/>
  <c r="G33" i="2" s="1"/>
  <c r="G34" i="3"/>
  <c r="G34" i="2" s="1"/>
  <c r="G35" i="3"/>
  <c r="G35" i="2" s="1"/>
  <c r="G36" i="3"/>
  <c r="G36" i="2" s="1"/>
  <c r="G37" i="3"/>
  <c r="G37" i="2" s="1"/>
  <c r="G38" i="3"/>
  <c r="G38" i="2" s="1"/>
  <c r="G39" i="3"/>
  <c r="G39" i="2" s="1"/>
  <c r="G40" i="3"/>
  <c r="G40" i="2" s="1"/>
  <c r="G41" i="3"/>
  <c r="G41" i="2" s="1"/>
  <c r="G42" i="3"/>
  <c r="G42" i="2" s="1"/>
  <c r="G43" i="3"/>
  <c r="G43" i="2" s="1"/>
  <c r="G44" i="3"/>
  <c r="G44" i="2" s="1"/>
  <c r="G45" i="3"/>
  <c r="G45" i="2" s="1"/>
  <c r="G46" i="3"/>
  <c r="G46" i="2" s="1"/>
  <c r="G47" i="3"/>
  <c r="G47" i="2" s="1"/>
  <c r="G48" i="3"/>
  <c r="G48" i="2" s="1"/>
  <c r="G49" i="3"/>
  <c r="G49" i="2" s="1"/>
  <c r="G50" i="3"/>
  <c r="G50" i="2" s="1"/>
  <c r="G3" i="3"/>
  <c r="G3" i="2" s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G16" i="2" l="1"/>
  <c r="G4" i="4"/>
  <c r="G263" i="4"/>
  <c r="G239" i="4"/>
  <c r="G167" i="4"/>
  <c r="G142" i="4"/>
  <c r="G135" i="4"/>
  <c r="G129" i="4"/>
  <c r="G90" i="4"/>
  <c r="G80" i="4"/>
  <c r="G77" i="4"/>
  <c r="G19" i="4"/>
  <c r="G12" i="4"/>
  <c r="G388" i="4"/>
  <c r="G370" i="4"/>
  <c r="G345" i="4"/>
  <c r="G315" i="4"/>
  <c r="G125" i="4"/>
  <c r="G65" i="4"/>
  <c r="G358" i="4"/>
  <c r="G330" i="4"/>
  <c r="G306" i="4"/>
  <c r="G280" i="4"/>
  <c r="G267" i="4"/>
  <c r="G234" i="4"/>
  <c r="G29" i="4"/>
  <c r="G399" i="4"/>
  <c r="G297" i="4"/>
  <c r="G253" i="4"/>
  <c r="G228" i="4"/>
  <c r="G158" i="4"/>
  <c r="G147" i="4"/>
  <c r="G100" i="4"/>
  <c r="G52" i="4"/>
  <c r="B7" i="2" l="1"/>
  <c r="C22" i="2" l="1"/>
  <c r="L39" i="1" l="1"/>
  <c r="B45" i="2" l="1"/>
  <c r="C19" i="2" l="1"/>
  <c r="C13" i="2" l="1"/>
  <c r="N13" i="1" l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T23" i="1" l="1"/>
  <c r="X23" i="1" s="1"/>
  <c r="L44" i="1"/>
  <c r="L47" i="1"/>
  <c r="L49" i="1"/>
  <c r="L50" i="1"/>
  <c r="L4" i="1"/>
  <c r="L5" i="1"/>
  <c r="L13" i="1"/>
  <c r="L17" i="1"/>
  <c r="L24" i="1"/>
  <c r="L28" i="1"/>
  <c r="L30" i="1"/>
  <c r="L42" i="1"/>
  <c r="L48" i="1"/>
  <c r="L6" i="1"/>
  <c r="L7" i="1"/>
  <c r="L9" i="1"/>
  <c r="L11" i="1"/>
  <c r="L15" i="1"/>
  <c r="L18" i="1"/>
  <c r="L29" i="1"/>
  <c r="L31" i="1"/>
  <c r="L32" i="1"/>
  <c r="L34" i="1"/>
  <c r="L36" i="1"/>
  <c r="V23" i="1" l="1"/>
  <c r="W23" i="1" s="1"/>
  <c r="N32" i="1" l="1"/>
  <c r="N33" i="1"/>
  <c r="N3" i="1" l="1"/>
  <c r="N4" i="1"/>
  <c r="N5" i="1"/>
  <c r="N6" i="1"/>
  <c r="N7" i="1"/>
  <c r="N8" i="1"/>
  <c r="N9" i="1"/>
  <c r="N10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D46" i="3" l="1"/>
  <c r="D47" i="3"/>
  <c r="D48" i="3"/>
  <c r="D49" i="3"/>
  <c r="D49" i="2" l="1"/>
  <c r="B49" i="2"/>
  <c r="E48" i="2"/>
  <c r="C48" i="2"/>
  <c r="D47" i="2"/>
  <c r="B47" i="2"/>
  <c r="E46" i="2"/>
  <c r="C46" i="2"/>
  <c r="E49" i="2"/>
  <c r="C49" i="2"/>
  <c r="S49" i="2" s="1"/>
  <c r="D48" i="2"/>
  <c r="B48" i="2"/>
  <c r="E47" i="2"/>
  <c r="C47" i="2"/>
  <c r="S47" i="2" s="1"/>
  <c r="D46" i="2"/>
  <c r="B46" i="2"/>
  <c r="R46" i="2" l="1"/>
  <c r="V46" i="2"/>
  <c r="W46" i="2"/>
  <c r="R48" i="2"/>
  <c r="V48" i="2"/>
  <c r="W48" i="2"/>
  <c r="S46" i="2"/>
  <c r="S48" i="2"/>
  <c r="T46" i="2"/>
  <c r="T48" i="2"/>
  <c r="U46" i="2"/>
  <c r="U48" i="2"/>
  <c r="R47" i="2"/>
  <c r="V47" i="2"/>
  <c r="W47" i="2"/>
  <c r="R49" i="2"/>
  <c r="V49" i="2"/>
  <c r="W49" i="2"/>
  <c r="U47" i="2"/>
  <c r="U49" i="2"/>
  <c r="T47" i="2"/>
  <c r="T49" i="2"/>
  <c r="B43" i="2"/>
  <c r="B37" i="2"/>
  <c r="B33" i="2"/>
  <c r="B29" i="2"/>
  <c r="B28" i="2"/>
  <c r="B26" i="2"/>
  <c r="B21" i="2"/>
  <c r="B23" i="2"/>
  <c r="B17" i="2"/>
  <c r="B15" i="2"/>
  <c r="B13" i="2"/>
  <c r="B11" i="2"/>
  <c r="B9" i="2"/>
  <c r="B19" i="2"/>
  <c r="B5" i="2"/>
  <c r="B3" i="2"/>
  <c r="B50" i="2"/>
  <c r="B41" i="2"/>
  <c r="B39" i="2"/>
  <c r="B35" i="2"/>
  <c r="B31" i="2"/>
  <c r="B44" i="2"/>
  <c r="B42" i="2"/>
  <c r="B40" i="2"/>
  <c r="B38" i="2"/>
  <c r="B36" i="2"/>
  <c r="B34" i="2"/>
  <c r="B32" i="2"/>
  <c r="B30" i="2"/>
  <c r="B22" i="2"/>
  <c r="B27" i="2"/>
  <c r="B25" i="2"/>
  <c r="B24" i="2"/>
  <c r="B18" i="2"/>
  <c r="B16" i="2"/>
  <c r="B14" i="2"/>
  <c r="B12" i="2"/>
  <c r="B10" i="2"/>
  <c r="B8" i="2"/>
  <c r="B6" i="2"/>
  <c r="B4" i="2"/>
  <c r="B20" i="2"/>
  <c r="D20" i="3"/>
  <c r="D3" i="3"/>
  <c r="D4" i="3"/>
  <c r="D5" i="3"/>
  <c r="D6" i="3"/>
  <c r="D19" i="3"/>
  <c r="D7" i="3"/>
  <c r="D8" i="3"/>
  <c r="D9" i="3"/>
  <c r="D10" i="3"/>
  <c r="D11" i="3"/>
  <c r="D12" i="3"/>
  <c r="D13" i="3"/>
  <c r="D14" i="3"/>
  <c r="D15" i="3"/>
  <c r="D16" i="3"/>
  <c r="D17" i="3"/>
  <c r="D18" i="3"/>
  <c r="D23" i="3"/>
  <c r="D24" i="3"/>
  <c r="D21" i="3"/>
  <c r="D25" i="3"/>
  <c r="D26" i="3"/>
  <c r="D27" i="3"/>
  <c r="D28" i="3"/>
  <c r="D22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50" i="3"/>
  <c r="D45" i="3"/>
  <c r="E45" i="2" l="1"/>
  <c r="C45" i="2"/>
  <c r="E50" i="2"/>
  <c r="C50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D36" i="2"/>
  <c r="D35" i="2"/>
  <c r="D34" i="2"/>
  <c r="D33" i="2"/>
  <c r="D32" i="2"/>
  <c r="D31" i="2"/>
  <c r="D30" i="2"/>
  <c r="D29" i="2"/>
  <c r="D22" i="2"/>
  <c r="E28" i="2"/>
  <c r="C28" i="2"/>
  <c r="E27" i="2"/>
  <c r="C27" i="2"/>
  <c r="E26" i="2"/>
  <c r="C26" i="2"/>
  <c r="E25" i="2"/>
  <c r="C25" i="2"/>
  <c r="E21" i="2"/>
  <c r="C21" i="2"/>
  <c r="E24" i="2"/>
  <c r="C24" i="2"/>
  <c r="E23" i="2"/>
  <c r="C23" i="2"/>
  <c r="D18" i="2"/>
  <c r="D17" i="2"/>
  <c r="D16" i="2"/>
  <c r="D15" i="2"/>
  <c r="D14" i="2"/>
  <c r="D13" i="2"/>
  <c r="E12" i="2"/>
  <c r="C12" i="2"/>
  <c r="E11" i="2"/>
  <c r="C11" i="2"/>
  <c r="E10" i="2"/>
  <c r="C10" i="2"/>
  <c r="E9" i="2"/>
  <c r="C9" i="2"/>
  <c r="E8" i="2"/>
  <c r="C8" i="2"/>
  <c r="R8" i="2" s="1"/>
  <c r="E7" i="2"/>
  <c r="C7" i="2"/>
  <c r="E19" i="2"/>
  <c r="D6" i="2"/>
  <c r="E5" i="2"/>
  <c r="C5" i="2"/>
  <c r="E4" i="2"/>
  <c r="C4" i="2"/>
  <c r="E3" i="2"/>
  <c r="C3" i="2"/>
  <c r="E20" i="2"/>
  <c r="C20" i="2"/>
  <c r="D45" i="2"/>
  <c r="D50" i="2"/>
  <c r="D44" i="2"/>
  <c r="T44" i="2" s="1"/>
  <c r="D43" i="2"/>
  <c r="D42" i="2"/>
  <c r="D41" i="2"/>
  <c r="D40" i="2"/>
  <c r="T40" i="2" s="1"/>
  <c r="D39" i="2"/>
  <c r="D38" i="2"/>
  <c r="D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2" i="2"/>
  <c r="D28" i="2"/>
  <c r="D27" i="2"/>
  <c r="T27" i="2" s="1"/>
  <c r="D26" i="2"/>
  <c r="D25" i="2"/>
  <c r="W25" i="2" s="1"/>
  <c r="D21" i="2"/>
  <c r="D24" i="2"/>
  <c r="T24" i="2" s="1"/>
  <c r="D23" i="2"/>
  <c r="E18" i="2"/>
  <c r="C18" i="2"/>
  <c r="E17" i="2"/>
  <c r="C17" i="2"/>
  <c r="E16" i="2"/>
  <c r="C16" i="2"/>
  <c r="E15" i="2"/>
  <c r="C15" i="2"/>
  <c r="E14" i="2"/>
  <c r="C14" i="2"/>
  <c r="V14" i="2" s="1"/>
  <c r="E13" i="2"/>
  <c r="U13" i="2" s="1"/>
  <c r="D12" i="2"/>
  <c r="D11" i="2"/>
  <c r="T11" i="2" s="1"/>
  <c r="D10" i="2"/>
  <c r="D9" i="2"/>
  <c r="D8" i="2"/>
  <c r="D7" i="2"/>
  <c r="T7" i="2" s="1"/>
  <c r="D19" i="2"/>
  <c r="E6" i="2"/>
  <c r="C6" i="2"/>
  <c r="D5" i="2"/>
  <c r="T5" i="2" s="1"/>
  <c r="D4" i="2"/>
  <c r="D3" i="2"/>
  <c r="T3" i="2" s="1"/>
  <c r="D20" i="2"/>
  <c r="U17" i="2" l="1"/>
  <c r="U29" i="2"/>
  <c r="U33" i="2"/>
  <c r="U14" i="2"/>
  <c r="U18" i="2"/>
  <c r="U34" i="2"/>
  <c r="U23" i="2"/>
  <c r="U21" i="2"/>
  <c r="W28" i="2"/>
  <c r="U31" i="2"/>
  <c r="U35" i="2"/>
  <c r="T38" i="2"/>
  <c r="T42" i="2"/>
  <c r="T45" i="2"/>
  <c r="R33" i="2"/>
  <c r="V39" i="2"/>
  <c r="V41" i="2"/>
  <c r="U16" i="2"/>
  <c r="U8" i="2"/>
  <c r="V16" i="2"/>
  <c r="R40" i="2"/>
  <c r="W27" i="2"/>
  <c r="W42" i="2"/>
  <c r="W5" i="2"/>
  <c r="V15" i="2"/>
  <c r="R17" i="2"/>
  <c r="R29" i="2"/>
  <c r="W31" i="2"/>
  <c r="V33" i="2"/>
  <c r="R35" i="2"/>
  <c r="V3" i="2"/>
  <c r="W11" i="2"/>
  <c r="R13" i="2"/>
  <c r="R24" i="2"/>
  <c r="V25" i="2"/>
  <c r="W22" i="2"/>
  <c r="R42" i="2"/>
  <c r="W23" i="2"/>
  <c r="S13" i="2"/>
  <c r="V11" i="2"/>
  <c r="V24" i="2"/>
  <c r="U6" i="2"/>
  <c r="W6" i="2"/>
  <c r="U15" i="2"/>
  <c r="R15" i="2"/>
  <c r="U3" i="2"/>
  <c r="U5" i="2"/>
  <c r="U7" i="2"/>
  <c r="U9" i="2"/>
  <c r="U11" i="2"/>
  <c r="T14" i="2"/>
  <c r="T18" i="2"/>
  <c r="R18" i="2"/>
  <c r="W18" i="2"/>
  <c r="U24" i="2"/>
  <c r="U25" i="2"/>
  <c r="U27" i="2"/>
  <c r="T29" i="2"/>
  <c r="T33" i="2"/>
  <c r="S37" i="2"/>
  <c r="V37" i="2"/>
  <c r="W37" i="2"/>
  <c r="S39" i="2"/>
  <c r="R39" i="2"/>
  <c r="W39" i="2"/>
  <c r="S41" i="2"/>
  <c r="W41" i="2"/>
  <c r="R41" i="2"/>
  <c r="S43" i="2"/>
  <c r="R43" i="2"/>
  <c r="V43" i="2"/>
  <c r="W43" i="2"/>
  <c r="S50" i="2"/>
  <c r="R50" i="2"/>
  <c r="V50" i="2"/>
  <c r="W50" i="2"/>
  <c r="W33" i="2"/>
  <c r="V13" i="2"/>
  <c r="R27" i="2"/>
  <c r="V29" i="2"/>
  <c r="W3" i="2"/>
  <c r="V17" i="2"/>
  <c r="R37" i="2"/>
  <c r="T9" i="2"/>
  <c r="W9" i="2"/>
  <c r="R3" i="2"/>
  <c r="R9" i="2"/>
  <c r="W15" i="2"/>
  <c r="T25" i="2"/>
  <c r="R25" i="2"/>
  <c r="U22" i="2"/>
  <c r="V22" i="2"/>
  <c r="S22" i="2"/>
  <c r="U30" i="2"/>
  <c r="R30" i="2"/>
  <c r="W30" i="2"/>
  <c r="U32" i="2"/>
  <c r="V32" i="2"/>
  <c r="U36" i="2"/>
  <c r="V36" i="2"/>
  <c r="U20" i="2"/>
  <c r="W20" i="2"/>
  <c r="R20" i="2"/>
  <c r="U4" i="2"/>
  <c r="R4" i="2"/>
  <c r="U19" i="2"/>
  <c r="R19" i="2"/>
  <c r="U10" i="2"/>
  <c r="V10" i="2"/>
  <c r="U12" i="2"/>
  <c r="V12" i="2"/>
  <c r="T16" i="2"/>
  <c r="U26" i="2"/>
  <c r="V26" i="2"/>
  <c r="U28" i="2"/>
  <c r="R28" i="2"/>
  <c r="T31" i="2"/>
  <c r="V31" i="2"/>
  <c r="T35" i="2"/>
  <c r="S38" i="2"/>
  <c r="R38" i="2"/>
  <c r="V38" i="2"/>
  <c r="S40" i="2"/>
  <c r="V40" i="2"/>
  <c r="W40" i="2"/>
  <c r="S42" i="2"/>
  <c r="V42" i="2"/>
  <c r="S44" i="2"/>
  <c r="V44" i="2"/>
  <c r="W44" i="2"/>
  <c r="R44" i="2"/>
  <c r="S45" i="2"/>
  <c r="R45" i="2"/>
  <c r="V45" i="2"/>
  <c r="W45" i="2"/>
  <c r="V21" i="2"/>
  <c r="R5" i="2"/>
  <c r="V34" i="2"/>
  <c r="W8" i="2"/>
  <c r="R23" i="2"/>
  <c r="V35" i="2"/>
  <c r="R6" i="2"/>
  <c r="W38" i="2"/>
  <c r="W19" i="2"/>
  <c r="T4" i="2"/>
  <c r="T19" i="2"/>
  <c r="T10" i="2"/>
  <c r="S14" i="2"/>
  <c r="S16" i="2"/>
  <c r="S18" i="2"/>
  <c r="T21" i="2"/>
  <c r="T28" i="2"/>
  <c r="S30" i="2"/>
  <c r="S32" i="2"/>
  <c r="S34" i="2"/>
  <c r="S36" i="2"/>
  <c r="T39" i="2"/>
  <c r="T43" i="2"/>
  <c r="S20" i="2"/>
  <c r="S4" i="2"/>
  <c r="T6" i="2"/>
  <c r="S8" i="2"/>
  <c r="S10" i="2"/>
  <c r="S12" i="2"/>
  <c r="T15" i="2"/>
  <c r="S23" i="2"/>
  <c r="S21" i="2"/>
  <c r="S26" i="2"/>
  <c r="S28" i="2"/>
  <c r="T30" i="2"/>
  <c r="T34" i="2"/>
  <c r="U37" i="2"/>
  <c r="U39" i="2"/>
  <c r="U41" i="2"/>
  <c r="U43" i="2"/>
  <c r="U50" i="2"/>
  <c r="R21" i="2"/>
  <c r="R34" i="2"/>
  <c r="W16" i="2"/>
  <c r="V8" i="2"/>
  <c r="W32" i="2"/>
  <c r="R14" i="2"/>
  <c r="V28" i="2"/>
  <c r="W26" i="2"/>
  <c r="V19" i="2"/>
  <c r="W36" i="2"/>
  <c r="V18" i="2"/>
  <c r="R10" i="2"/>
  <c r="V30" i="2"/>
  <c r="R12" i="2"/>
  <c r="W4" i="2"/>
  <c r="T20" i="2"/>
  <c r="S6" i="2"/>
  <c r="T8" i="2"/>
  <c r="T12" i="2"/>
  <c r="S15" i="2"/>
  <c r="S17" i="2"/>
  <c r="T23" i="2"/>
  <c r="T26" i="2"/>
  <c r="S29" i="2"/>
  <c r="S31" i="2"/>
  <c r="S33" i="2"/>
  <c r="S35" i="2"/>
  <c r="T37" i="2"/>
  <c r="T41" i="2"/>
  <c r="T50" i="2"/>
  <c r="S3" i="2"/>
  <c r="S5" i="2"/>
  <c r="S7" i="2"/>
  <c r="R7" i="2"/>
  <c r="V7" i="2"/>
  <c r="W7" i="2"/>
  <c r="S9" i="2"/>
  <c r="S11" i="2"/>
  <c r="T13" i="2"/>
  <c r="T17" i="2"/>
  <c r="S24" i="2"/>
  <c r="S25" i="2"/>
  <c r="S27" i="2"/>
  <c r="T22" i="2"/>
  <c r="T32" i="2"/>
  <c r="T36" i="2"/>
  <c r="U38" i="2"/>
  <c r="U40" i="2"/>
  <c r="U42" i="2"/>
  <c r="U44" i="2"/>
  <c r="U45" i="2"/>
  <c r="W21" i="2"/>
  <c r="W13" i="2"/>
  <c r="V5" i="2"/>
  <c r="W34" i="2"/>
  <c r="V27" i="2"/>
  <c r="R16" i="2"/>
  <c r="W29" i="2"/>
  <c r="V23" i="2"/>
  <c r="R11" i="2"/>
  <c r="W35" i="2"/>
  <c r="R32" i="2"/>
  <c r="W14" i="2"/>
  <c r="V6" i="2"/>
  <c r="W17" i="2"/>
  <c r="V9" i="2"/>
  <c r="W24" i="2"/>
  <c r="R26" i="2"/>
  <c r="S19" i="2"/>
  <c r="R36" i="2"/>
  <c r="R22" i="2"/>
  <c r="W10" i="2"/>
  <c r="V20" i="2"/>
  <c r="R31" i="2"/>
  <c r="W12" i="2"/>
  <c r="V4" i="2"/>
  <c r="I3" i="2"/>
  <c r="I48" i="2"/>
  <c r="I49" i="2"/>
  <c r="I50" i="2"/>
  <c r="J50" i="2" l="1"/>
  <c r="J49" i="2"/>
  <c r="J48" i="2"/>
  <c r="J3" i="2"/>
  <c r="I30" i="2"/>
  <c r="I43" i="2"/>
  <c r="I8" i="2"/>
  <c r="I4" i="2"/>
  <c r="I22" i="2"/>
  <c r="I31" i="2"/>
  <c r="I7" i="2"/>
  <c r="I27" i="2"/>
  <c r="I29" i="2"/>
  <c r="Y50" i="2"/>
  <c r="I5" i="2"/>
  <c r="K50" i="2"/>
  <c r="M50" i="2" s="1"/>
  <c r="K48" i="2"/>
  <c r="M48" i="2" s="1"/>
  <c r="K49" i="2"/>
  <c r="M49" i="2" s="1"/>
  <c r="AH50" i="2"/>
  <c r="AI50" i="2" s="1"/>
  <c r="I32" i="2"/>
  <c r="J32" i="2" l="1"/>
  <c r="AJ50" i="2"/>
  <c r="P50" i="1" s="1"/>
  <c r="Q50" i="1" s="1"/>
  <c r="S50" i="1" s="1"/>
  <c r="J5" i="2"/>
  <c r="J27" i="2"/>
  <c r="J31" i="2"/>
  <c r="J30" i="2"/>
  <c r="J29" i="2"/>
  <c r="J7" i="2"/>
  <c r="J22" i="2"/>
  <c r="J4" i="2"/>
  <c r="J8" i="2"/>
  <c r="J43" i="2"/>
  <c r="L49" i="2"/>
  <c r="N49" i="2" s="1"/>
  <c r="L48" i="2"/>
  <c r="N48" i="2" s="1"/>
  <c r="L50" i="2"/>
  <c r="N50" i="2" s="1"/>
  <c r="K30" i="2"/>
  <c r="M30" i="2" s="1"/>
  <c r="I12" i="2"/>
  <c r="AH30" i="2"/>
  <c r="Y30" i="2"/>
  <c r="K31" i="2"/>
  <c r="Y29" i="2"/>
  <c r="I20" i="2"/>
  <c r="AH31" i="2"/>
  <c r="AH29" i="2"/>
  <c r="Y31" i="2"/>
  <c r="K29" i="2"/>
  <c r="I26" i="2"/>
  <c r="I38" i="2"/>
  <c r="I45" i="2"/>
  <c r="I13" i="2"/>
  <c r="I28" i="2"/>
  <c r="I10" i="2"/>
  <c r="I9" i="2"/>
  <c r="I23" i="2"/>
  <c r="I33" i="2"/>
  <c r="I36" i="2"/>
  <c r="I21" i="2"/>
  <c r="I6" i="2"/>
  <c r="I17" i="2"/>
  <c r="I18" i="2"/>
  <c r="I15" i="2"/>
  <c r="I16" i="2"/>
  <c r="I47" i="2"/>
  <c r="I46" i="2"/>
  <c r="K5" i="2"/>
  <c r="M5" i="2" s="1"/>
  <c r="I11" i="2"/>
  <c r="K7" i="2"/>
  <c r="M7" i="2" s="1"/>
  <c r="K4" i="2"/>
  <c r="M4" i="2" s="1"/>
  <c r="K32" i="2"/>
  <c r="M32" i="2" s="1"/>
  <c r="Y48" i="2"/>
  <c r="Y49" i="2"/>
  <c r="AH48" i="2"/>
  <c r="AH49" i="2"/>
  <c r="I25" i="2"/>
  <c r="I19" i="2"/>
  <c r="I14" i="2"/>
  <c r="I35" i="2"/>
  <c r="I40" i="2"/>
  <c r="I34" i="2"/>
  <c r="I42" i="2"/>
  <c r="I41" i="2"/>
  <c r="I24" i="2"/>
  <c r="I37" i="2"/>
  <c r="I39" i="2"/>
  <c r="I44" i="2"/>
  <c r="L31" i="2" l="1"/>
  <c r="N31" i="2" s="1"/>
  <c r="M31" i="2"/>
  <c r="L29" i="2"/>
  <c r="N29" i="2" s="1"/>
  <c r="M29" i="2"/>
  <c r="J44" i="2"/>
  <c r="J37" i="2"/>
  <c r="J24" i="2"/>
  <c r="J42" i="2"/>
  <c r="J40" i="2"/>
  <c r="J46" i="2"/>
  <c r="J16" i="2"/>
  <c r="J15" i="2"/>
  <c r="J18" i="2"/>
  <c r="J6" i="2"/>
  <c r="J36" i="2"/>
  <c r="J9" i="2"/>
  <c r="J28" i="2"/>
  <c r="J38" i="2"/>
  <c r="J20" i="2"/>
  <c r="J19" i="2"/>
  <c r="J39" i="2"/>
  <c r="J41" i="2"/>
  <c r="J34" i="2"/>
  <c r="J35" i="2"/>
  <c r="J14" i="2"/>
  <c r="J25" i="2"/>
  <c r="J11" i="2"/>
  <c r="J47" i="2"/>
  <c r="J17" i="2"/>
  <c r="J21" i="2"/>
  <c r="J33" i="2"/>
  <c r="J23" i="2"/>
  <c r="J10" i="2"/>
  <c r="J13" i="2"/>
  <c r="J45" i="2"/>
  <c r="J26" i="2"/>
  <c r="J12" i="2"/>
  <c r="L32" i="2"/>
  <c r="N32" i="2" s="1"/>
  <c r="L7" i="2"/>
  <c r="N7" i="2" s="1"/>
  <c r="L4" i="2"/>
  <c r="N4" i="2" s="1"/>
  <c r="L5" i="2"/>
  <c r="N5" i="2" s="1"/>
  <c r="L30" i="2"/>
  <c r="N30" i="2" s="1"/>
  <c r="AC3" i="2"/>
  <c r="AD3" i="2"/>
  <c r="AE3" i="2"/>
  <c r="Y12" i="2"/>
  <c r="AB3" i="2"/>
  <c r="Y32" i="2"/>
  <c r="AF3" i="2"/>
  <c r="Y3" i="2"/>
  <c r="AA3" i="2"/>
  <c r="AH3" i="2"/>
  <c r="AI3" i="2" s="1"/>
  <c r="AH12" i="2"/>
  <c r="Y38" i="2"/>
  <c r="AH20" i="2"/>
  <c r="Y20" i="2"/>
  <c r="Y26" i="2"/>
  <c r="AH38" i="2"/>
  <c r="AH26" i="2"/>
  <c r="K13" i="2"/>
  <c r="M13" i="2" s="1"/>
  <c r="Y5" i="2"/>
  <c r="AH5" i="2"/>
  <c r="K36" i="2"/>
  <c r="M36" i="2" s="1"/>
  <c r="K9" i="2"/>
  <c r="M9" i="2" s="1"/>
  <c r="AH16" i="2"/>
  <c r="K18" i="2"/>
  <c r="M18" i="2" s="1"/>
  <c r="Y17" i="2"/>
  <c r="Y46" i="2"/>
  <c r="Y36" i="2"/>
  <c r="Y13" i="2"/>
  <c r="AH13" i="2"/>
  <c r="K28" i="2"/>
  <c r="M28" i="2" s="1"/>
  <c r="AH36" i="2"/>
  <c r="K6" i="2"/>
  <c r="M6" i="2" s="1"/>
  <c r="AH28" i="2"/>
  <c r="Y23" i="2"/>
  <c r="AH32" i="2"/>
  <c r="AH33" i="2"/>
  <c r="AH17" i="2"/>
  <c r="Y18" i="2"/>
  <c r="AH18" i="2"/>
  <c r="Y16" i="2"/>
  <c r="K47" i="2"/>
  <c r="M47" i="2" s="1"/>
  <c r="AH46" i="2"/>
  <c r="Y21" i="2"/>
  <c r="AH6" i="2"/>
  <c r="Y9" i="2"/>
  <c r="AH15" i="2"/>
  <c r="AH23" i="2"/>
  <c r="AH9" i="2"/>
  <c r="K17" i="2"/>
  <c r="M17" i="2" s="1"/>
  <c r="K15" i="2"/>
  <c r="M15" i="2" s="1"/>
  <c r="Y10" i="2"/>
  <c r="Y28" i="2"/>
  <c r="AH21" i="2"/>
  <c r="Y47" i="2"/>
  <c r="Y6" i="2"/>
  <c r="Y15" i="2"/>
  <c r="Y33" i="2"/>
  <c r="Y27" i="2"/>
  <c r="AH27" i="2"/>
  <c r="AH47" i="2"/>
  <c r="AH10" i="2"/>
  <c r="AH11" i="2"/>
  <c r="AH19" i="2"/>
  <c r="K11" i="2"/>
  <c r="M11" i="2" s="1"/>
  <c r="K44" i="2"/>
  <c r="M44" i="2" s="1"/>
  <c r="K39" i="2"/>
  <c r="M39" i="2" s="1"/>
  <c r="K24" i="2"/>
  <c r="M24" i="2" s="1"/>
  <c r="K42" i="2"/>
  <c r="M42" i="2" s="1"/>
  <c r="K34" i="2"/>
  <c r="M34" i="2" s="1"/>
  <c r="Y39" i="2"/>
  <c r="Y42" i="2"/>
  <c r="Y35" i="2"/>
  <c r="Y25" i="2"/>
  <c r="AE7" i="2"/>
  <c r="Y7" i="2"/>
  <c r="Y40" i="2"/>
  <c r="Y37" i="2"/>
  <c r="AE39" i="2"/>
  <c r="AE37" i="2"/>
  <c r="AE22" i="2"/>
  <c r="AE41" i="2"/>
  <c r="Y22" i="2"/>
  <c r="Y41" i="2"/>
  <c r="Y43" i="2"/>
  <c r="Y34" i="2"/>
  <c r="Y24" i="2"/>
  <c r="Y44" i="2"/>
  <c r="Y8" i="2"/>
  <c r="AE4" i="2"/>
  <c r="AC40" i="2"/>
  <c r="AB19" i="2"/>
  <c r="Y4" i="2"/>
  <c r="AE19" i="2"/>
  <c r="Y19" i="2"/>
  <c r="AE25" i="2"/>
  <c r="AE42" i="2"/>
  <c r="AE34" i="2"/>
  <c r="AC44" i="2"/>
  <c r="AC19" i="2"/>
  <c r="Y14" i="2"/>
  <c r="Y11" i="2"/>
  <c r="Y45" i="2"/>
  <c r="AH14" i="2"/>
  <c r="AH25" i="2"/>
  <c r="AH4" i="2"/>
  <c r="AI4" i="2" s="1"/>
  <c r="AH45" i="2"/>
  <c r="AH7" i="2"/>
  <c r="AH40" i="2"/>
  <c r="AH37" i="2"/>
  <c r="AH22" i="2"/>
  <c r="AH41" i="2"/>
  <c r="AH43" i="2"/>
  <c r="AH34" i="2"/>
  <c r="AH24" i="2"/>
  <c r="AH44" i="2"/>
  <c r="AH8" i="2"/>
  <c r="AH39" i="2"/>
  <c r="AH42" i="2"/>
  <c r="AH35" i="2"/>
  <c r="AJ4" i="2" l="1"/>
  <c r="AJ3" i="2"/>
  <c r="L34" i="2"/>
  <c r="N34" i="2" s="1"/>
  <c r="L39" i="2"/>
  <c r="N39" i="2" s="1"/>
  <c r="L17" i="2"/>
  <c r="N17" i="2" s="1"/>
  <c r="L47" i="2"/>
  <c r="N47" i="2" s="1"/>
  <c r="L28" i="2"/>
  <c r="N28" i="2" s="1"/>
  <c r="L18" i="2"/>
  <c r="N18" i="2" s="1"/>
  <c r="L36" i="2"/>
  <c r="N36" i="2" s="1"/>
  <c r="L42" i="2"/>
  <c r="N42" i="2" s="1"/>
  <c r="L24" i="2"/>
  <c r="N24" i="2" s="1"/>
  <c r="L44" i="2"/>
  <c r="N44" i="2" s="1"/>
  <c r="L11" i="2"/>
  <c r="N11" i="2" s="1"/>
  <c r="L15" i="2"/>
  <c r="N15" i="2" s="1"/>
  <c r="L6" i="2"/>
  <c r="N6" i="2" s="1"/>
  <c r="L9" i="2"/>
  <c r="N9" i="2" s="1"/>
  <c r="L13" i="2"/>
  <c r="N13" i="2" s="1"/>
  <c r="K10" i="2"/>
  <c r="K45" i="2"/>
  <c r="M45" i="2" s="1"/>
  <c r="K26" i="2"/>
  <c r="M26" i="2" s="1"/>
  <c r="K33" i="2"/>
  <c r="M33" i="2" s="1"/>
  <c r="K16" i="2"/>
  <c r="M16" i="2" s="1"/>
  <c r="K3" i="2"/>
  <c r="M3" i="2" s="1"/>
  <c r="K43" i="2"/>
  <c r="M43" i="2" s="1"/>
  <c r="K22" i="2"/>
  <c r="M22" i="2" s="1"/>
  <c r="K27" i="2"/>
  <c r="M27" i="2" s="1"/>
  <c r="K8" i="2"/>
  <c r="M8" i="2" s="1"/>
  <c r="K12" i="2"/>
  <c r="M12" i="2" s="1"/>
  <c r="K20" i="2"/>
  <c r="M20" i="2" s="1"/>
  <c r="AA35" i="2"/>
  <c r="AA42" i="2"/>
  <c r="AA39" i="2"/>
  <c r="AA8" i="2"/>
  <c r="AA44" i="2"/>
  <c r="AA24" i="2"/>
  <c r="AA34" i="2"/>
  <c r="AA43" i="2"/>
  <c r="AA41" i="2"/>
  <c r="AA22" i="2"/>
  <c r="AA37" i="2"/>
  <c r="AA40" i="2"/>
  <c r="AA7" i="2"/>
  <c r="AB14" i="2"/>
  <c r="AC8" i="2"/>
  <c r="AB4" i="2"/>
  <c r="AC25" i="2"/>
  <c r="AC4" i="2"/>
  <c r="AE11" i="2"/>
  <c r="AE8" i="2"/>
  <c r="AE44" i="2"/>
  <c r="AE35" i="2"/>
  <c r="AE24" i="2"/>
  <c r="AE43" i="2"/>
  <c r="AC11" i="2"/>
  <c r="AE32" i="2"/>
  <c r="AE40" i="2"/>
  <c r="AB35" i="2"/>
  <c r="AB43" i="2"/>
  <c r="AF4" i="2"/>
  <c r="AD4" i="2"/>
  <c r="AA32" i="2"/>
  <c r="AF11" i="2"/>
  <c r="AC45" i="2"/>
  <c r="AF8" i="2"/>
  <c r="AC34" i="2"/>
  <c r="AC32" i="2"/>
  <c r="AF24" i="2"/>
  <c r="AB25" i="2"/>
  <c r="AC14" i="2"/>
  <c r="AA11" i="2"/>
  <c r="AF14" i="2"/>
  <c r="AF19" i="2"/>
  <c r="AF45" i="2"/>
  <c r="AF44" i="2"/>
  <c r="AB32" i="2"/>
  <c r="AD33" i="2"/>
  <c r="AD30" i="2"/>
  <c r="AD29" i="2"/>
  <c r="AD31" i="2"/>
  <c r="AD50" i="2"/>
  <c r="AD5" i="2"/>
  <c r="AD38" i="2"/>
  <c r="AD48" i="2"/>
  <c r="AD49" i="2"/>
  <c r="AD23" i="2"/>
  <c r="AD26" i="2"/>
  <c r="AD27" i="2"/>
  <c r="AD28" i="2"/>
  <c r="AD12" i="2"/>
  <c r="AD16" i="2"/>
  <c r="AD17" i="2"/>
  <c r="AD9" i="2"/>
  <c r="AD18" i="2"/>
  <c r="AD10" i="2"/>
  <c r="AD15" i="2"/>
  <c r="AD36" i="2"/>
  <c r="AD46" i="2"/>
  <c r="AD47" i="2"/>
  <c r="AD6" i="2"/>
  <c r="AD13" i="2"/>
  <c r="AD20" i="2"/>
  <c r="AD21" i="2"/>
  <c r="AA33" i="2"/>
  <c r="AA28" i="2"/>
  <c r="AA29" i="2"/>
  <c r="AA50" i="2"/>
  <c r="AA46" i="2"/>
  <c r="AA31" i="2"/>
  <c r="AA30" i="2"/>
  <c r="AA47" i="2"/>
  <c r="AA36" i="2"/>
  <c r="AA19" i="2"/>
  <c r="AA48" i="2"/>
  <c r="AA15" i="2"/>
  <c r="AA49" i="2"/>
  <c r="AA21" i="2"/>
  <c r="AA23" i="2"/>
  <c r="AA16" i="2"/>
  <c r="AA9" i="2"/>
  <c r="AA5" i="2"/>
  <c r="AA10" i="2"/>
  <c r="AA14" i="2"/>
  <c r="AA25" i="2"/>
  <c r="AA13" i="2"/>
  <c r="AA45" i="2"/>
  <c r="AA27" i="2"/>
  <c r="AA12" i="2"/>
  <c r="AA4" i="2"/>
  <c r="AA17" i="2"/>
  <c r="AA38" i="2"/>
  <c r="AA18" i="2"/>
  <c r="AA6" i="2"/>
  <c r="AA20" i="2"/>
  <c r="AA26" i="2"/>
  <c r="AD25" i="2"/>
  <c r="AD35" i="2"/>
  <c r="AD24" i="2"/>
  <c r="AD34" i="2"/>
  <c r="AD43" i="2"/>
  <c r="AD11" i="2"/>
  <c r="AF33" i="2"/>
  <c r="AF29" i="2"/>
  <c r="AF31" i="2"/>
  <c r="AF50" i="2"/>
  <c r="AF30" i="2"/>
  <c r="AF6" i="2"/>
  <c r="AF16" i="2"/>
  <c r="AF9" i="2"/>
  <c r="AF36" i="2"/>
  <c r="AF5" i="2"/>
  <c r="AF28" i="2"/>
  <c r="AF13" i="2"/>
  <c r="AF15" i="2"/>
  <c r="AF17" i="2"/>
  <c r="AF20" i="2"/>
  <c r="AF49" i="2"/>
  <c r="AF21" i="2"/>
  <c r="AF18" i="2"/>
  <c r="AF12" i="2"/>
  <c r="AF38" i="2"/>
  <c r="AF23" i="2"/>
  <c r="AF46" i="2"/>
  <c r="AF47" i="2"/>
  <c r="AF48" i="2"/>
  <c r="AF26" i="2"/>
  <c r="AF27" i="2"/>
  <c r="AF10" i="2"/>
  <c r="AD19" i="2"/>
  <c r="AD14" i="2"/>
  <c r="AD45" i="2"/>
  <c r="AD8" i="2"/>
  <c r="AD44" i="2"/>
  <c r="AC35" i="2"/>
  <c r="AF35" i="2"/>
  <c r="AC24" i="2"/>
  <c r="AB34" i="2"/>
  <c r="AC43" i="2"/>
  <c r="AF43" i="2"/>
  <c r="AB42" i="2"/>
  <c r="AF41" i="2"/>
  <c r="AD22" i="2"/>
  <c r="AB41" i="2"/>
  <c r="AF22" i="2"/>
  <c r="AF37" i="2"/>
  <c r="AC37" i="2"/>
  <c r="AB40" i="2"/>
  <c r="AD39" i="2"/>
  <c r="AD37" i="2"/>
  <c r="AF40" i="2"/>
  <c r="AB7" i="2"/>
  <c r="AD42" i="2"/>
  <c r="AD32" i="2"/>
  <c r="AF25" i="2"/>
  <c r="AB33" i="2"/>
  <c r="AB50" i="2"/>
  <c r="AB30" i="2"/>
  <c r="AB31" i="2"/>
  <c r="AB29" i="2"/>
  <c r="AB5" i="2"/>
  <c r="AB18" i="2"/>
  <c r="AB11" i="2"/>
  <c r="AB15" i="2"/>
  <c r="AB13" i="2"/>
  <c r="AB16" i="2"/>
  <c r="AB17" i="2"/>
  <c r="AB47" i="2"/>
  <c r="AB27" i="2"/>
  <c r="AB12" i="2"/>
  <c r="AB36" i="2"/>
  <c r="AB9" i="2"/>
  <c r="AB10" i="2"/>
  <c r="AB38" i="2"/>
  <c r="AB48" i="2"/>
  <c r="AB26" i="2"/>
  <c r="AB49" i="2"/>
  <c r="AB21" i="2"/>
  <c r="AB6" i="2"/>
  <c r="AB20" i="2"/>
  <c r="AB23" i="2"/>
  <c r="AB28" i="2"/>
  <c r="AB46" i="2"/>
  <c r="AC33" i="2"/>
  <c r="AC30" i="2"/>
  <c r="AC29" i="2"/>
  <c r="AC31" i="2"/>
  <c r="AC50" i="2"/>
  <c r="AC13" i="2"/>
  <c r="AC10" i="2"/>
  <c r="AC36" i="2"/>
  <c r="AC48" i="2"/>
  <c r="AC12" i="2"/>
  <c r="AC5" i="2"/>
  <c r="AC21" i="2"/>
  <c r="AC46" i="2"/>
  <c r="AC28" i="2"/>
  <c r="AC49" i="2"/>
  <c r="AC23" i="2"/>
  <c r="AC9" i="2"/>
  <c r="AC17" i="2"/>
  <c r="AC26" i="2"/>
  <c r="AC27" i="2"/>
  <c r="AC38" i="2"/>
  <c r="AC6" i="2"/>
  <c r="AC15" i="2"/>
  <c r="AC16" i="2"/>
  <c r="AC20" i="2"/>
  <c r="AC18" i="2"/>
  <c r="AC47" i="2"/>
  <c r="AF32" i="2"/>
  <c r="AB45" i="2"/>
  <c r="AB8" i="2"/>
  <c r="AB44" i="2"/>
  <c r="AB24" i="2"/>
  <c r="AF34" i="2"/>
  <c r="AF42" i="2"/>
  <c r="AC42" i="2"/>
  <c r="AC22" i="2"/>
  <c r="AB22" i="2"/>
  <c r="AD41" i="2"/>
  <c r="AC41" i="2"/>
  <c r="AD40" i="2"/>
  <c r="AB39" i="2"/>
  <c r="AC7" i="2"/>
  <c r="AD7" i="2"/>
  <c r="AB37" i="2"/>
  <c r="AF39" i="2"/>
  <c r="AC39" i="2"/>
  <c r="AF7" i="2"/>
  <c r="AE45" i="2"/>
  <c r="AE33" i="2"/>
  <c r="AE31" i="2"/>
  <c r="AE38" i="2"/>
  <c r="AE36" i="2"/>
  <c r="AE9" i="2"/>
  <c r="AE50" i="2"/>
  <c r="AE30" i="2"/>
  <c r="AE15" i="2"/>
  <c r="AE28" i="2"/>
  <c r="AE6" i="2"/>
  <c r="AE29" i="2"/>
  <c r="AE17" i="2"/>
  <c r="AE46" i="2"/>
  <c r="AE14" i="2"/>
  <c r="AE26" i="2"/>
  <c r="AE27" i="2"/>
  <c r="AE20" i="2"/>
  <c r="AE49" i="2"/>
  <c r="AE5" i="2"/>
  <c r="AE48" i="2"/>
  <c r="AE12" i="2"/>
  <c r="AE13" i="2"/>
  <c r="AE16" i="2"/>
  <c r="AE21" i="2"/>
  <c r="AE18" i="2"/>
  <c r="AE23" i="2"/>
  <c r="AE47" i="2"/>
  <c r="AE10" i="2"/>
  <c r="L10" i="2" l="1"/>
  <c r="N10" i="2" s="1"/>
  <c r="M10" i="2"/>
  <c r="P3" i="1"/>
  <c r="Q3" i="1" s="1"/>
  <c r="S3" i="1" s="1"/>
  <c r="T3" i="1" s="1"/>
  <c r="L20" i="2"/>
  <c r="N20" i="2" s="1"/>
  <c r="L12" i="2"/>
  <c r="N12" i="2" s="1"/>
  <c r="L8" i="2"/>
  <c r="N8" i="2" s="1"/>
  <c r="L27" i="2"/>
  <c r="N27" i="2" s="1"/>
  <c r="L22" i="2"/>
  <c r="N22" i="2" s="1"/>
  <c r="L3" i="2"/>
  <c r="N3" i="2" s="1"/>
  <c r="L33" i="2"/>
  <c r="N33" i="2" s="1"/>
  <c r="L26" i="2"/>
  <c r="N26" i="2" s="1"/>
  <c r="L45" i="2"/>
  <c r="N45" i="2" s="1"/>
  <c r="L43" i="2"/>
  <c r="N43" i="2" s="1"/>
  <c r="L16" i="2"/>
  <c r="N16" i="2" s="1"/>
  <c r="L16" i="1"/>
  <c r="L26" i="1"/>
  <c r="L45" i="1"/>
  <c r="L10" i="1"/>
  <c r="L8" i="1"/>
  <c r="L22" i="1"/>
  <c r="L20" i="1"/>
  <c r="L12" i="1"/>
  <c r="L33" i="1"/>
  <c r="L27" i="1"/>
  <c r="L43" i="1"/>
  <c r="L3" i="1"/>
  <c r="K23" i="2"/>
  <c r="M23" i="2" s="1"/>
  <c r="K21" i="2"/>
  <c r="M21" i="2" s="1"/>
  <c r="K46" i="2"/>
  <c r="M46" i="2" s="1"/>
  <c r="K14" i="2"/>
  <c r="M14" i="2" s="1"/>
  <c r="K37" i="2"/>
  <c r="M37" i="2" s="1"/>
  <c r="K41" i="2"/>
  <c r="M41" i="2" s="1"/>
  <c r="K38" i="2"/>
  <c r="M38" i="2" s="1"/>
  <c r="K25" i="2"/>
  <c r="M25" i="2" s="1"/>
  <c r="K40" i="2"/>
  <c r="M40" i="2" s="1"/>
  <c r="K35" i="2"/>
  <c r="M35" i="2" s="1"/>
  <c r="K19" i="2"/>
  <c r="M19" i="2" s="1"/>
  <c r="AI14" i="2"/>
  <c r="AI25" i="2"/>
  <c r="AI7" i="2"/>
  <c r="AI37" i="2"/>
  <c r="AI43" i="2"/>
  <c r="AI34" i="2"/>
  <c r="AI8" i="2"/>
  <c r="AI29" i="2"/>
  <c r="AI31" i="2"/>
  <c r="AI47" i="2"/>
  <c r="AI30" i="2"/>
  <c r="AI6" i="2"/>
  <c r="AI21" i="2"/>
  <c r="AI18" i="2"/>
  <c r="AI38" i="2"/>
  <c r="AI15" i="2"/>
  <c r="AI36" i="2"/>
  <c r="AI10" i="2"/>
  <c r="AI5" i="2"/>
  <c r="AI9" i="2"/>
  <c r="AI12" i="2"/>
  <c r="AI28" i="2"/>
  <c r="AI46" i="2"/>
  <c r="AI20" i="2"/>
  <c r="AI26" i="2"/>
  <c r="AI49" i="2"/>
  <c r="AI19" i="2"/>
  <c r="AI17" i="2"/>
  <c r="AI23" i="2"/>
  <c r="AI48" i="2"/>
  <c r="AI32" i="2"/>
  <c r="AI11" i="2"/>
  <c r="AI27" i="2"/>
  <c r="AI16" i="2"/>
  <c r="AI13" i="2"/>
  <c r="AI33" i="2"/>
  <c r="O3" i="1"/>
  <c r="AI45" i="2"/>
  <c r="AI40" i="2"/>
  <c r="AI22" i="2"/>
  <c r="AI41" i="2"/>
  <c r="AI24" i="2"/>
  <c r="AI44" i="2"/>
  <c r="AI39" i="2"/>
  <c r="AI42" i="2"/>
  <c r="AI35" i="2"/>
  <c r="AJ39" i="2" l="1"/>
  <c r="AJ24" i="2"/>
  <c r="P24" i="1" s="1"/>
  <c r="Q24" i="1" s="1"/>
  <c r="S24" i="1" s="1"/>
  <c r="AJ22" i="2"/>
  <c r="P22" i="1" s="1"/>
  <c r="Q22" i="1" s="1"/>
  <c r="S22" i="1" s="1"/>
  <c r="AJ45" i="2"/>
  <c r="AJ33" i="2"/>
  <c r="AJ16" i="2"/>
  <c r="P16" i="1" s="1"/>
  <c r="AJ11" i="2"/>
  <c r="P11" i="1" s="1"/>
  <c r="Q11" i="1" s="1"/>
  <c r="S11" i="1" s="1"/>
  <c r="AJ48" i="2"/>
  <c r="P48" i="1" s="1"/>
  <c r="Q48" i="1" s="1"/>
  <c r="S48" i="1" s="1"/>
  <c r="AJ17" i="2"/>
  <c r="P17" i="1" s="1"/>
  <c r="Q17" i="1" s="1"/>
  <c r="S17" i="1" s="1"/>
  <c r="AJ49" i="2"/>
  <c r="P49" i="1" s="1"/>
  <c r="Q49" i="1" s="1"/>
  <c r="S49" i="1" s="1"/>
  <c r="AJ20" i="2"/>
  <c r="P20" i="1" s="1"/>
  <c r="Q20" i="1" s="1"/>
  <c r="S20" i="1" s="1"/>
  <c r="AJ28" i="2"/>
  <c r="P28" i="1" s="1"/>
  <c r="Q28" i="1" s="1"/>
  <c r="S28" i="1" s="1"/>
  <c r="AJ9" i="2"/>
  <c r="P9" i="1" s="1"/>
  <c r="Q9" i="1" s="1"/>
  <c r="S9" i="1" s="1"/>
  <c r="AJ10" i="2"/>
  <c r="P10" i="1" s="1"/>
  <c r="Q10" i="1" s="1"/>
  <c r="S10" i="1" s="1"/>
  <c r="AJ15" i="2"/>
  <c r="P15" i="1" s="1"/>
  <c r="Q15" i="1" s="1"/>
  <c r="S15" i="1" s="1"/>
  <c r="AJ18" i="2"/>
  <c r="AJ6" i="2"/>
  <c r="AJ47" i="2"/>
  <c r="P47" i="1" s="1"/>
  <c r="Q47" i="1" s="1"/>
  <c r="S47" i="1" s="1"/>
  <c r="AJ29" i="2"/>
  <c r="P29" i="1" s="1"/>
  <c r="Q29" i="1" s="1"/>
  <c r="S29" i="1" s="1"/>
  <c r="AJ34" i="2"/>
  <c r="P34" i="1" s="1"/>
  <c r="Q34" i="1" s="1"/>
  <c r="S34" i="1" s="1"/>
  <c r="AJ37" i="2"/>
  <c r="P37" i="1" s="1"/>
  <c r="Q37" i="1" s="1"/>
  <c r="S37" i="1" s="1"/>
  <c r="AJ25" i="2"/>
  <c r="P25" i="1" s="1"/>
  <c r="Q25" i="1" s="1"/>
  <c r="S25" i="1" s="1"/>
  <c r="AJ35" i="2"/>
  <c r="P35" i="1" s="1"/>
  <c r="Q35" i="1" s="1"/>
  <c r="S35" i="1" s="1"/>
  <c r="AJ42" i="2"/>
  <c r="P42" i="1" s="1"/>
  <c r="Q42" i="1" s="1"/>
  <c r="S42" i="1" s="1"/>
  <c r="AJ44" i="2"/>
  <c r="AJ41" i="2"/>
  <c r="P41" i="1" s="1"/>
  <c r="Q41" i="1" s="1"/>
  <c r="S41" i="1" s="1"/>
  <c r="AJ40" i="2"/>
  <c r="P40" i="1" s="1"/>
  <c r="Q40" i="1" s="1"/>
  <c r="S40" i="1" s="1"/>
  <c r="AJ13" i="2"/>
  <c r="P13" i="1" s="1"/>
  <c r="Q13" i="1" s="1"/>
  <c r="S13" i="1" s="1"/>
  <c r="AJ27" i="2"/>
  <c r="AJ32" i="2"/>
  <c r="P32" i="1" s="1"/>
  <c r="Q32" i="1" s="1"/>
  <c r="S32" i="1" s="1"/>
  <c r="AJ23" i="2"/>
  <c r="P23" i="1" s="1"/>
  <c r="AJ19" i="2"/>
  <c r="AJ26" i="2"/>
  <c r="P26" i="1" s="1"/>
  <c r="Q26" i="1" s="1"/>
  <c r="S26" i="1" s="1"/>
  <c r="AJ46" i="2"/>
  <c r="P46" i="1" s="1"/>
  <c r="Q46" i="1" s="1"/>
  <c r="S46" i="1" s="1"/>
  <c r="AJ12" i="2"/>
  <c r="P12" i="1" s="1"/>
  <c r="AJ5" i="2"/>
  <c r="P5" i="1" s="1"/>
  <c r="Q5" i="1" s="1"/>
  <c r="S5" i="1" s="1"/>
  <c r="AJ36" i="2"/>
  <c r="AJ38" i="2"/>
  <c r="P38" i="1" s="1"/>
  <c r="Q38" i="1" s="1"/>
  <c r="S38" i="1" s="1"/>
  <c r="AJ21" i="2"/>
  <c r="P21" i="1" s="1"/>
  <c r="Q21" i="1" s="1"/>
  <c r="S21" i="1" s="1"/>
  <c r="AJ30" i="2"/>
  <c r="P30" i="1" s="1"/>
  <c r="AJ31" i="2"/>
  <c r="P31" i="1" s="1"/>
  <c r="Q31" i="1" s="1"/>
  <c r="S31" i="1" s="1"/>
  <c r="AJ8" i="2"/>
  <c r="P8" i="1" s="1"/>
  <c r="AJ43" i="2"/>
  <c r="P43" i="1" s="1"/>
  <c r="Q43" i="1" s="1"/>
  <c r="S43" i="1" s="1"/>
  <c r="AJ7" i="2"/>
  <c r="P7" i="1" s="1"/>
  <c r="Q7" i="1" s="1"/>
  <c r="S7" i="1" s="1"/>
  <c r="AJ14" i="2"/>
  <c r="P14" i="1" s="1"/>
  <c r="Q14" i="1" s="1"/>
  <c r="S14" i="1" s="1"/>
  <c r="L25" i="2"/>
  <c r="N25" i="2" s="1"/>
  <c r="L38" i="2"/>
  <c r="N38" i="2" s="1"/>
  <c r="L41" i="2"/>
  <c r="N41" i="2" s="1"/>
  <c r="L37" i="2"/>
  <c r="N37" i="2" s="1"/>
  <c r="L46" i="2"/>
  <c r="N46" i="2" s="1"/>
  <c r="L21" i="2"/>
  <c r="N21" i="2" s="1"/>
  <c r="L23" i="2"/>
  <c r="N23" i="2" s="1"/>
  <c r="L19" i="2"/>
  <c r="N19" i="2" s="1"/>
  <c r="L35" i="2"/>
  <c r="N35" i="2" s="1"/>
  <c r="L40" i="2"/>
  <c r="N40" i="2" s="1"/>
  <c r="L14" i="2"/>
  <c r="N14" i="2" s="1"/>
  <c r="L35" i="1"/>
  <c r="L14" i="1"/>
  <c r="L40" i="1"/>
  <c r="L41" i="1"/>
  <c r="L19" i="1"/>
  <c r="L46" i="1"/>
  <c r="L23" i="1"/>
  <c r="L38" i="1"/>
  <c r="L25" i="1"/>
  <c r="L21" i="1"/>
  <c r="L37" i="1"/>
  <c r="O42" i="1"/>
  <c r="O44" i="1"/>
  <c r="O41" i="1"/>
  <c r="O4" i="1"/>
  <c r="O33" i="1"/>
  <c r="O16" i="1"/>
  <c r="O11" i="1"/>
  <c r="O17" i="1"/>
  <c r="O49" i="1"/>
  <c r="O20" i="1"/>
  <c r="O28" i="1"/>
  <c r="O9" i="1"/>
  <c r="O15" i="1"/>
  <c r="O18" i="1"/>
  <c r="O6" i="1"/>
  <c r="O47" i="1"/>
  <c r="O31" i="1"/>
  <c r="O8" i="1"/>
  <c r="O43" i="1"/>
  <c r="O14" i="1"/>
  <c r="O35" i="1"/>
  <c r="O39" i="1"/>
  <c r="O24" i="1"/>
  <c r="O22" i="1"/>
  <c r="O45" i="1"/>
  <c r="O13" i="1"/>
  <c r="O27" i="1"/>
  <c r="O32" i="1"/>
  <c r="O23" i="1"/>
  <c r="O19" i="1"/>
  <c r="O26" i="1"/>
  <c r="O46" i="1"/>
  <c r="O12" i="1"/>
  <c r="O5" i="1"/>
  <c r="O36" i="1"/>
  <c r="O38" i="1"/>
  <c r="O21" i="1"/>
  <c r="O30" i="1"/>
  <c r="O29" i="1"/>
  <c r="O37" i="1"/>
  <c r="O25" i="1"/>
  <c r="O40" i="1"/>
  <c r="O48" i="1"/>
  <c r="O10" i="1"/>
  <c r="O7" i="1"/>
  <c r="O50" i="1"/>
  <c r="O34" i="1"/>
  <c r="P44" i="1"/>
  <c r="Q44" i="1" s="1"/>
  <c r="S44" i="1" s="1"/>
  <c r="P4" i="1"/>
  <c r="Q4" i="1" s="1"/>
  <c r="S4" i="1" s="1"/>
  <c r="P27" i="1"/>
  <c r="P19" i="1"/>
  <c r="Q19" i="1" s="1"/>
  <c r="S19" i="1" s="1"/>
  <c r="P39" i="1"/>
  <c r="Q39" i="1" s="1"/>
  <c r="S39" i="1" s="1"/>
  <c r="P45" i="1"/>
  <c r="Q45" i="1" s="1"/>
  <c r="S45" i="1" s="1"/>
  <c r="Y45" i="1" s="1"/>
  <c r="P33" i="1"/>
  <c r="Q33" i="1" s="1"/>
  <c r="S33" i="1" s="1"/>
  <c r="T33" i="1" s="1"/>
  <c r="X33" i="1" s="1"/>
  <c r="P36" i="1"/>
  <c r="Q36" i="1" s="1"/>
  <c r="S36" i="1" s="1"/>
  <c r="P18" i="1"/>
  <c r="Q18" i="1" s="1"/>
  <c r="S18" i="1" s="1"/>
  <c r="P6" i="1"/>
  <c r="Q6" i="1" s="1"/>
  <c r="S6" i="1" s="1"/>
  <c r="V3" i="1" l="1"/>
  <c r="W3" i="1" l="1"/>
  <c r="X3" i="1" s="1"/>
  <c r="T24" i="1"/>
  <c r="X24" i="1" s="1"/>
  <c r="V24" i="1" l="1"/>
  <c r="W24" i="1" s="1"/>
  <c r="T15" i="1"/>
  <c r="T22" i="1"/>
  <c r="X22" i="1" s="1"/>
  <c r="T43" i="1"/>
  <c r="T19" i="1"/>
  <c r="T27" i="1"/>
  <c r="T20" i="1"/>
  <c r="T44" i="1"/>
  <c r="T32" i="1"/>
  <c r="T6" i="1"/>
  <c r="T37" i="1"/>
  <c r="T39" i="1"/>
  <c r="T45" i="1"/>
  <c r="V45" i="1" s="1"/>
  <c r="W45" i="1" s="1"/>
  <c r="T25" i="1"/>
  <c r="T12" i="1"/>
  <c r="X12" i="1" s="1"/>
  <c r="T48" i="1"/>
  <c r="T11" i="1"/>
  <c r="T28" i="1"/>
  <c r="T30" i="1"/>
  <c r="X30" i="1" s="1"/>
  <c r="T21" i="1"/>
  <c r="T7" i="1"/>
  <c r="X7" i="1" s="1"/>
  <c r="T8" i="1"/>
  <c r="X8" i="1" s="1"/>
  <c r="T31" i="1"/>
  <c r="T49" i="1"/>
  <c r="X49" i="1" s="1"/>
  <c r="T42" i="1"/>
  <c r="X42" i="1" s="1"/>
  <c r="T50" i="1"/>
  <c r="V32" i="1" l="1"/>
  <c r="W32" i="1" s="1"/>
  <c r="X32" i="1" s="1"/>
  <c r="V48" i="1"/>
  <c r="W48" i="1" s="1"/>
  <c r="X48" i="1" s="1"/>
  <c r="V6" i="1"/>
  <c r="W6" i="1" s="1"/>
  <c r="X6" i="1" s="1"/>
  <c r="V12" i="1"/>
  <c r="W12" i="1" s="1"/>
  <c r="V37" i="1"/>
  <c r="W37" i="1" s="1"/>
  <c r="X37" i="1" s="1"/>
  <c r="V20" i="1"/>
  <c r="W20" i="1" s="1"/>
  <c r="X20" i="1" s="1"/>
  <c r="V19" i="1"/>
  <c r="W19" i="1" s="1"/>
  <c r="X19" i="1" s="1"/>
  <c r="V22" i="1"/>
  <c r="W22" i="1" s="1"/>
  <c r="V42" i="1"/>
  <c r="W42" i="1" s="1"/>
  <c r="V31" i="1"/>
  <c r="W31" i="1" s="1"/>
  <c r="X31" i="1" s="1"/>
  <c r="V7" i="1"/>
  <c r="W7" i="1" s="1"/>
  <c r="V30" i="1"/>
  <c r="W30" i="1" s="1"/>
  <c r="V11" i="1"/>
  <c r="W11" i="1" s="1"/>
  <c r="X11" i="1" s="1"/>
  <c r="V15" i="1"/>
  <c r="W15" i="1" s="1"/>
  <c r="X15" i="1" s="1"/>
  <c r="V25" i="1"/>
  <c r="W25" i="1" s="1"/>
  <c r="X25" i="1" s="1"/>
  <c r="V39" i="1"/>
  <c r="W39" i="1" s="1"/>
  <c r="X39" i="1" s="1"/>
  <c r="V44" i="1"/>
  <c r="W44" i="1" s="1"/>
  <c r="X44" i="1" s="1"/>
  <c r="V27" i="1"/>
  <c r="W27" i="1" s="1"/>
  <c r="X27" i="1" s="1"/>
  <c r="V43" i="1"/>
  <c r="W43" i="1" s="1"/>
  <c r="X43" i="1" s="1"/>
  <c r="V50" i="1"/>
  <c r="W50" i="1" s="1"/>
  <c r="X50" i="1" s="1"/>
  <c r="V49" i="1"/>
  <c r="W49" i="1" s="1"/>
  <c r="V8" i="1"/>
  <c r="W8" i="1" s="1"/>
  <c r="V21" i="1"/>
  <c r="W21" i="1" s="1"/>
  <c r="X21" i="1" s="1"/>
  <c r="V28" i="1"/>
  <c r="W28" i="1" s="1"/>
  <c r="X28" i="1" s="1"/>
  <c r="V33" i="1"/>
  <c r="W33" i="1" s="1"/>
  <c r="T13" i="1"/>
  <c r="X13" i="1" s="1"/>
  <c r="T14" i="1"/>
  <c r="T17" i="1"/>
  <c r="T40" i="1"/>
  <c r="X40" i="1" s="1"/>
  <c r="T18" i="1"/>
  <c r="T4" i="1"/>
  <c r="X4" i="1" s="1"/>
  <c r="T47" i="1"/>
  <c r="T36" i="1"/>
  <c r="T29" i="1"/>
  <c r="T5" i="1"/>
  <c r="X5" i="1" s="1"/>
  <c r="T35" i="1"/>
  <c r="X35" i="1" s="1"/>
  <c r="T10" i="1"/>
  <c r="T26" i="1"/>
  <c r="T38" i="1"/>
  <c r="T34" i="1"/>
  <c r="T46" i="1"/>
  <c r="T16" i="1"/>
  <c r="X16" i="1" s="1"/>
  <c r="T9" i="1"/>
  <c r="T41" i="1"/>
  <c r="V38" i="1" l="1"/>
  <c r="W38" i="1" s="1"/>
  <c r="X38" i="1" s="1"/>
  <c r="V14" i="1"/>
  <c r="W14" i="1" s="1"/>
  <c r="X14" i="1" s="1"/>
  <c r="V26" i="1"/>
  <c r="W26" i="1" s="1"/>
  <c r="X26" i="1" s="1"/>
  <c r="V18" i="1"/>
  <c r="W18" i="1" s="1"/>
  <c r="X18" i="1" s="1"/>
  <c r="V46" i="1"/>
  <c r="W46" i="1" s="1"/>
  <c r="X46" i="1" s="1"/>
  <c r="V10" i="1"/>
  <c r="W10" i="1" s="1"/>
  <c r="X10" i="1" s="1"/>
  <c r="V29" i="1"/>
  <c r="W29" i="1" s="1"/>
  <c r="X29" i="1" s="1"/>
  <c r="V47" i="1"/>
  <c r="W47" i="1" s="1"/>
  <c r="X47" i="1" s="1"/>
  <c r="V17" i="1"/>
  <c r="W17" i="1" s="1"/>
  <c r="X17" i="1" s="1"/>
  <c r="V13" i="1"/>
  <c r="W13" i="1" s="1"/>
  <c r="V9" i="1"/>
  <c r="W9" i="1" s="1"/>
  <c r="X9" i="1" s="1"/>
  <c r="V5" i="1"/>
  <c r="W5" i="1" s="1"/>
  <c r="V36" i="1"/>
  <c r="W36" i="1" s="1"/>
  <c r="X36" i="1" s="1"/>
  <c r="V4" i="1"/>
  <c r="W4" i="1" s="1"/>
  <c r="V40" i="1"/>
  <c r="W40" i="1" s="1"/>
  <c r="V41" i="1"/>
  <c r="W41" i="1" s="1"/>
  <c r="X41" i="1" s="1"/>
  <c r="V16" i="1"/>
  <c r="W16" i="1" s="1"/>
  <c r="V34" i="1"/>
  <c r="W34" i="1" s="1"/>
  <c r="X34" i="1" s="1"/>
  <c r="V35" i="1"/>
  <c r="W35" i="1" s="1"/>
</calcChain>
</file>

<file path=xl/sharedStrings.xml><?xml version="1.0" encoding="utf-8"?>
<sst xmlns="http://schemas.openxmlformats.org/spreadsheetml/2006/main" count="942" uniqueCount="204">
  <si>
    <t>Selskabsnavn</t>
  </si>
  <si>
    <t>Ledning</t>
  </si>
  <si>
    <t>Kunder</t>
  </si>
  <si>
    <t>0 l/s - 10 l/s (stk)</t>
  </si>
  <si>
    <t>11 l/s - 100 l/s (stk)</t>
  </si>
  <si>
    <t>101 l/s - 300 l/s (stk)</t>
  </si>
  <si>
    <t>301 l/s - 600 l/s (stk)</t>
  </si>
  <si>
    <t>601 l/s - 1000 l/s (stk)</t>
  </si>
  <si>
    <t>over 1000 l/s (stk)</t>
  </si>
  <si>
    <t>Antal (stk)</t>
  </si>
  <si>
    <t>Volumen (m3)</t>
  </si>
  <si>
    <t>Antal målere (målere)</t>
  </si>
  <si>
    <t>Allerød Spildevand A/S</t>
  </si>
  <si>
    <t>Billund Spildevand A/S</t>
  </si>
  <si>
    <t>Bornholms Spildevand A/S</t>
  </si>
  <si>
    <t>Energi Viborg Spildevand A/S</t>
  </si>
  <si>
    <t>Esbjerg Spildevand A/S</t>
  </si>
  <si>
    <t>Fanø Vand A/S</t>
  </si>
  <si>
    <t>FFV Spildevand A/S</t>
  </si>
  <si>
    <t>Fredensborg Spildevand A/S</t>
  </si>
  <si>
    <t>Fredericia Spildevand A/S</t>
  </si>
  <si>
    <t>Gentofte Spildevand A/S</t>
  </si>
  <si>
    <t>Gribvand Spildevand A/S</t>
  </si>
  <si>
    <t>Guldborgsund Spildevand A/S</t>
  </si>
  <si>
    <t>Frederikshavn Spildevand A/S</t>
  </si>
  <si>
    <t>Halsnaes Forsyning A/S</t>
  </si>
  <si>
    <t>Hillerød Spildevand A/S</t>
  </si>
  <si>
    <t>HTK Kloak A/S</t>
  </si>
  <si>
    <t>Ikast-Brande Spildevand A/S</t>
  </si>
  <si>
    <t>Jammerbugt Forsyning A/S</t>
  </si>
  <si>
    <t>Kalundborg Spildevandsanlæg A/S</t>
  </si>
  <si>
    <t>Kerteminde Forsyning - Spildevand A/S</t>
  </si>
  <si>
    <t>Kolding Spildevand A/S</t>
  </si>
  <si>
    <t>Køge Afløb A/S</t>
  </si>
  <si>
    <t>Lyngby-Taarbæk Spildevand A/S</t>
  </si>
  <si>
    <t>Morsø Forsyning A/S</t>
  </si>
  <si>
    <t>Ishøj Spildevand A/S</t>
  </si>
  <si>
    <t>NFS Spildevand A/S</t>
  </si>
  <si>
    <t>Odder Spildevand A/S</t>
  </si>
  <si>
    <t>Samsø Spildevand A/S</t>
  </si>
  <si>
    <t>Syddjurs Spildevand A/S</t>
  </si>
  <si>
    <t>Vandcenter Syd as</t>
  </si>
  <si>
    <t>VARDE KLOAK OG SPILDEVAND A/S</t>
  </si>
  <si>
    <t>Vejle Spildevand a/s</t>
  </si>
  <si>
    <t>NK-Spildevand A/S</t>
  </si>
  <si>
    <t>Aarhus Vand A/S</t>
  </si>
  <si>
    <t>Rudersdal Forsyning A/S</t>
  </si>
  <si>
    <t>Silkeborg Spildevand A/S</t>
  </si>
  <si>
    <t>Skanderborg Forsyningsvirksomhed A/S</t>
  </si>
  <si>
    <t>Skive Vand A/S</t>
  </si>
  <si>
    <t>Solrød Spildevand A/S</t>
  </si>
  <si>
    <t>Spildevandscenter Avedøre I/S</t>
  </si>
  <si>
    <t>Vejen Forsyning A/S</t>
  </si>
  <si>
    <t>Organisk Kapacitet (PE)</t>
  </si>
  <si>
    <t>Faktisk organisk belastningsgrad (PE)</t>
  </si>
  <si>
    <t>Netvolumenbidrag</t>
  </si>
  <si>
    <t>Alder</t>
  </si>
  <si>
    <t>Netvolumemål</t>
  </si>
  <si>
    <t>Netvolumenmål</t>
  </si>
  <si>
    <t>Alderskorrigeret netvolumenmål</t>
  </si>
  <si>
    <t>Rense-anlæg</t>
  </si>
  <si>
    <t>Selskabs navn</t>
  </si>
  <si>
    <t>Lolland Spildevand A/S</t>
  </si>
  <si>
    <t>Arwos Spildevand A/S </t>
  </si>
  <si>
    <t>HOFOR Spildevand Dragør A/S </t>
  </si>
  <si>
    <t>HOFOR Spildevand Herlev A/S </t>
  </si>
  <si>
    <t>Hunseby Renseanlæg </t>
  </si>
  <si>
    <t>HOFOR Spildevand Hvidovre A/S </t>
  </si>
  <si>
    <t>HOFOR Spildevand København A/S </t>
  </si>
  <si>
    <t>Gruppe</t>
  </si>
  <si>
    <t>Reduktion</t>
  </si>
  <si>
    <t>Costdriverandele</t>
  </si>
  <si>
    <t>Costdriverafvigelse</t>
  </si>
  <si>
    <t>Middelværdi</t>
  </si>
  <si>
    <t>Varians</t>
  </si>
  <si>
    <t>Standardafvigelse</t>
  </si>
  <si>
    <t>Standardafvigelse (minus)</t>
  </si>
  <si>
    <t>Potentiale med
 særlige forhold i pct.</t>
  </si>
  <si>
    <t>Potentiale med 
særlige forhold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</si>
  <si>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</si>
  <si>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</si>
  <si>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</si>
  <si>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</si>
  <si>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 + evt. SF</t>
  </si>
  <si>
    <t>Alderskorrigeret netvolumenmål  + evt. SF</t>
  </si>
  <si>
    <t>Netvolumemål + SF</t>
  </si>
  <si>
    <t>DOiPL 2011
 i kr.</t>
  </si>
  <si>
    <t>FADO2010</t>
  </si>
  <si>
    <t>FADO 2011</t>
  </si>
  <si>
    <t>PRISTALS-FREMSKREVET FADO2010</t>
  </si>
  <si>
    <t>Land (længde i km)</t>
  </si>
  <si>
    <t>By (længde i km)</t>
  </si>
  <si>
    <t>City (længde i km)</t>
  </si>
  <si>
    <t>Indre city (længde i km)</t>
  </si>
  <si>
    <t>Renseanlæg</t>
  </si>
  <si>
    <t>Pumper</t>
  </si>
  <si>
    <t>Åbne bassiner</t>
  </si>
  <si>
    <t>Lukkede bassiner</t>
  </si>
  <si>
    <t>Selskab navn</t>
  </si>
  <si>
    <t>Bemærkning til Organisk Kapacitet (PE)</t>
  </si>
  <si>
    <t>Netvolumen bidrag fra de enkelte renseanlæg</t>
  </si>
  <si>
    <t>Samlet netvolumen bidrag</t>
  </si>
  <si>
    <t>Det er ikke muligt at fremskaffe data.</t>
  </si>
  <si>
    <t>Belastningen på COD og T-N er højere end på BOD: 17.600 PE</t>
  </si>
  <si>
    <t>jf. analyser og udledt vand</t>
  </si>
  <si>
    <t>Ikke oplyst</t>
  </si>
  <si>
    <t>jf. tilsynsrapport fra NS</t>
  </si>
  <si>
    <t>(Kap. jf. spv-plan: 3.100)</t>
  </si>
  <si>
    <t>Lyø</t>
  </si>
  <si>
    <t>Korinth</t>
  </si>
  <si>
    <t>Hillerslev</t>
  </si>
  <si>
    <t>Gislev</t>
  </si>
  <si>
    <t>Ryslinge</t>
  </si>
  <si>
    <t>Ferritslev</t>
  </si>
  <si>
    <t>Faaborg</t>
  </si>
  <si>
    <t>Nr.Broby</t>
  </si>
  <si>
    <t>Ringe</t>
  </si>
  <si>
    <t>Sdr. Nærå</t>
  </si>
  <si>
    <t>Kværndrup</t>
  </si>
  <si>
    <t>Minirenseanlæg a´5 PE</t>
  </si>
  <si>
    <t>Ekstern akkrediteret</t>
  </si>
  <si>
    <t>34 minirenseanlæg hver dimensioneret for 5 pe.</t>
  </si>
  <si>
    <t>Skønnet belastning</t>
  </si>
  <si>
    <t>Ukendt</t>
  </si>
  <si>
    <t>Eftermiljøportalen 14500 men er i 2010 udvidet til 28000 projekt med Envidan</t>
  </si>
  <si>
    <t>Beregnet på middelværdi Bi5 588 mg/l flow 1622 m3</t>
  </si>
  <si>
    <t>efter miljøportalen</t>
  </si>
  <si>
    <t>Beregnet på middelværdi Bi5 118 mg/l flow 560 m3</t>
  </si>
  <si>
    <t>Beregnet på middelværdi Bi5 147 mg/l flow 11086 m3</t>
  </si>
  <si>
    <t>Beregnet på middelværdi Bi5 118 mg/l flow 1361 m3</t>
  </si>
  <si>
    <t>Beregnet på middelværdi Bi5 96 mg/l flow 221 m3</t>
  </si>
  <si>
    <t>Sum af i alt 12 minirenseanlæg med O-krav</t>
  </si>
  <si>
    <t>Def. som 2,7 PE pr. husstand</t>
  </si>
  <si>
    <t>Sum af i alt 11 minirenseanlæg med OP-krav</t>
  </si>
  <si>
    <t>Skøn</t>
  </si>
  <si>
    <t>grøn regnskab</t>
  </si>
  <si>
    <t>grønregnskab</t>
  </si>
  <si>
    <t>grøm regnskab</t>
  </si>
  <si>
    <t>græn regnskab</t>
  </si>
  <si>
    <t>ikke målt, men vurderet</t>
  </si>
  <si>
    <t>samlet vurderet</t>
  </si>
  <si>
    <t>Dimensioneret til 123000 PE Godkendt kap 123000 PE</t>
  </si>
  <si>
    <t>BOD indløb 447.816 divideret med 21,9 BOD pr. PE.</t>
  </si>
  <si>
    <t>Meget lav i 2010, men til gengæld er kvælstof steget i 2010</t>
  </si>
  <si>
    <t>Designkapacitet</t>
  </si>
  <si>
    <t>Beregnet på grundlag af BI5</t>
  </si>
  <si>
    <t>60% - fraktil Peakværdi = 15.867 PE</t>
  </si>
  <si>
    <t>60% - fraktil Peakværdi = 16.700 PE</t>
  </si>
  <si>
    <t>60% - fraktil Peakværdi = 9.050 PE</t>
  </si>
  <si>
    <t>60% - fraktil Peakværdi = 1.993 PE</t>
  </si>
  <si>
    <t>60% - fraktil Peakværdi = 5.445 PE</t>
  </si>
  <si>
    <t>fra POLKA</t>
  </si>
  <si>
    <t>Fra WinSpV-Udskrifter/Beregning/Belastningsrapport</t>
  </si>
  <si>
    <t>Nedlagt</t>
  </si>
  <si>
    <t>fra POLKA, værdierne summeret</t>
  </si>
  <si>
    <t>Der er ingen Flow-krav.</t>
  </si>
  <si>
    <t>60% fraktil</t>
  </si>
  <si>
    <t>Middel (stor udsving pga. af slagteri)</t>
  </si>
  <si>
    <t>(77 minirens SOP)</t>
  </si>
  <si>
    <t>skønnet belastning</t>
  </si>
  <si>
    <t>( 3 minirens SO)</t>
  </si>
  <si>
    <t>(1 minirens OP)</t>
  </si>
  <si>
    <t>159 stk. minirenseanlæg á 5 PE</t>
  </si>
  <si>
    <t>Bemærkning til faktisk organisk belastningsgrad (PE)</t>
  </si>
  <si>
    <t>Sum af ledninger, åbne bassiner og kunder</t>
  </si>
  <si>
    <t>Ledninger, åbne bassiner og kunders afvigelse fra middelværdi</t>
  </si>
  <si>
    <t>FADOMAX</t>
  </si>
  <si>
    <t>Diskrepans</t>
  </si>
  <si>
    <t>Rest potentiale i kr.</t>
  </si>
  <si>
    <t>Spildevand</t>
  </si>
  <si>
    <t>FADO 2010</t>
  </si>
  <si>
    <t>FADO 2012</t>
  </si>
  <si>
    <t>Arwos Spildevand A/S</t>
  </si>
  <si>
    <t>Hunseby Renseanlæg</t>
  </si>
  <si>
    <t>Potentiale 2012</t>
  </si>
  <si>
    <t>Potentiale 2013</t>
  </si>
  <si>
    <t>Netvolumenmål + F30 og evt. SF</t>
  </si>
  <si>
    <t>Alderskorrigeret netvolumenmål + F30 og evt. SF</t>
  </si>
  <si>
    <t>Netvolumemål + F30 + SF</t>
  </si>
  <si>
    <t>Potentiale sammenligning</t>
  </si>
  <si>
    <t>Standadrd-afvigelse</t>
  </si>
  <si>
    <t>FADO2011</t>
  </si>
  <si>
    <t>Til Reduktion</t>
  </si>
  <si>
    <t>Potentiale efter sammenligning i kr.</t>
  </si>
  <si>
    <t>Faktiske driftsomkostninger</t>
  </si>
  <si>
    <t>Forskel</t>
  </si>
  <si>
    <t>Rå potentialer</t>
  </si>
  <si>
    <t>Potentialer korrigeret for særlige forhold</t>
  </si>
  <si>
    <t>Potentialer korrigeret for særlige forhold og med forsigtighedshensyn - bruges til potentiale sammenligningen</t>
  </si>
  <si>
    <t>Standardarviglese og reduktion - bruges til costdriversammensætningen</t>
  </si>
  <si>
    <t>Potentiale korrigeret for costdriversammen-sætning</t>
  </si>
  <si>
    <t>Potentiale, der ligger til grund for beregning af krav</t>
  </si>
  <si>
    <t>Effektiviseringskrav</t>
  </si>
  <si>
    <t>FADO2010 prisfrem-skrevet til 2011</t>
  </si>
  <si>
    <t>FADO2012 tilbage-diskonteret til 2011</t>
  </si>
  <si>
    <t>Tillæg for særlige forhold i kr.</t>
  </si>
  <si>
    <t>Afvigelse fra standard-afvigelse i pct.</t>
  </si>
  <si>
    <t>Reduktion i pct.</t>
  </si>
  <si>
    <t>Potentiale 
efter reduktion i pct.</t>
  </si>
  <si>
    <t>Reduktion grundet potentialesammen-lining 2012-2013</t>
  </si>
  <si>
    <r>
      <rPr>
        <b/>
        <sz val="1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otentiale efter sammenligning pct.</t>
    </r>
  </si>
  <si>
    <t>Reelt effektivisering-spres i kr.</t>
  </si>
  <si>
    <t>Endeligt krav i kr. (hvis diskrepans)</t>
  </si>
  <si>
    <t>Endeligt krav i kr. (hvis ingen diskrepans)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</si>
</sst>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0.0"/>
    <numFmt numFmtId="167" formatCode="_(* #,##0.00_);_(* \(#,##0.00\);_(* &quot;-&quot;??_);_(@_)"/>
    <numFmt numFmtId="168" formatCode="0.00000"/>
    <numFmt numFmtId="169" formatCode="\(#,##0\);#,##0_)"/>
    <numFmt numFmtId="170" formatCode="#,##0_);\(#,##0\);0_);@"/>
    <numFmt numFmtId="171" formatCode="#,##0,_);\(#,##0,\)"/>
    <numFmt numFmtId="172" formatCode="\(#,##0,\);#,##0,_)"/>
    <numFmt numFmtId="173" formatCode="\(#,##0.00\);#,##0.00_)"/>
    <numFmt numFmtId="174" formatCode="_-* #,##0.00_-;\-* #,##0.00_-;_-* &quot;-&quot;??_-;_-@_-"/>
    <numFmt numFmtId="175" formatCode="0.0%"/>
    <numFmt numFmtId="176" formatCode="#,##0.0"/>
    <numFmt numFmtId="177" formatCode="#,##0_ ;\-#,##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99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33" applyNumberFormat="0" applyAlignment="0" applyProtection="0"/>
    <xf numFmtId="0" fontId="13" fillId="6" borderId="34" applyNumberFormat="0" applyAlignment="0" applyProtection="0"/>
    <xf numFmtId="0" fontId="14" fillId="6" borderId="33" applyNumberFormat="0" applyAlignment="0" applyProtection="0"/>
    <xf numFmtId="0" fontId="15" fillId="0" borderId="35" applyNumberFormat="0" applyFill="0" applyAlignment="0" applyProtection="0"/>
    <xf numFmtId="0" fontId="16" fillId="7" borderId="36" applyNumberFormat="0" applyAlignment="0" applyProtection="0"/>
    <xf numFmtId="0" fontId="17" fillId="0" borderId="0" applyNumberFormat="0" applyFill="0" applyBorder="0" applyAlignment="0" applyProtection="0"/>
    <xf numFmtId="0" fontId="1" fillId="8" borderId="37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38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20" fillId="0" borderId="0"/>
    <xf numFmtId="0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" fillId="8" borderId="37" applyNumberFormat="0" applyFont="0" applyAlignment="0" applyProtection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70" fontId="20" fillId="0" borderId="0"/>
    <xf numFmtId="3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9" fontId="27" fillId="0" borderId="0" applyFill="0" applyBorder="0" applyProtection="0">
      <alignment horizontal="center"/>
    </xf>
    <xf numFmtId="37" fontId="27" fillId="0" borderId="43" applyFill="0" applyAlignment="0" applyProtection="0"/>
    <xf numFmtId="169" fontId="27" fillId="0" borderId="43" applyFill="0" applyAlignment="0" applyProtection="0"/>
    <xf numFmtId="171" fontId="27" fillId="0" borderId="43" applyFill="0" applyAlignment="0" applyProtection="0"/>
    <xf numFmtId="172" fontId="27" fillId="0" borderId="43" applyFill="0" applyAlignment="0" applyProtection="0"/>
    <xf numFmtId="167" fontId="20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30" fillId="35" borderId="0" applyNumberFormat="0" applyBorder="0" applyAlignment="0" applyProtection="0"/>
    <xf numFmtId="0" fontId="31" fillId="52" borderId="44" applyNumberFormat="0" applyAlignment="0" applyProtection="0"/>
    <xf numFmtId="0" fontId="32" fillId="53" borderId="45" applyNumberFormat="0" applyAlignment="0" applyProtection="0"/>
    <xf numFmtId="174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46" applyNumberFormat="0" applyFill="0" applyAlignment="0" applyProtection="0"/>
    <xf numFmtId="0" fontId="36" fillId="0" borderId="47" applyNumberFormat="0" applyFill="0" applyAlignment="0" applyProtection="0"/>
    <xf numFmtId="0" fontId="37" fillId="0" borderId="48" applyNumberFormat="0" applyFill="0" applyAlignment="0" applyProtection="0"/>
    <xf numFmtId="0" fontId="37" fillId="0" borderId="0" applyNumberFormat="0" applyFill="0" applyBorder="0" applyAlignment="0" applyProtection="0"/>
    <xf numFmtId="0" fontId="38" fillId="39" borderId="44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9" fillId="0" borderId="49" applyNumberFormat="0" applyFill="0" applyAlignment="0" applyProtection="0"/>
    <xf numFmtId="0" fontId="40" fillId="54" borderId="0" applyNumberFormat="0" applyBorder="0" applyAlignment="0" applyProtection="0"/>
    <xf numFmtId="0" fontId="20" fillId="55" borderId="50" applyNumberFormat="0" applyFont="0" applyAlignment="0" applyProtection="0"/>
    <xf numFmtId="0" fontId="41" fillId="52" borderId="51" applyNumberFormat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2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7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7" applyNumberFormat="0" applyFont="0" applyAlignment="0" applyProtection="0"/>
    <xf numFmtId="0" fontId="1" fillId="18" borderId="0" applyNumberFormat="0" applyBorder="0" applyAlignment="0" applyProtection="0"/>
    <xf numFmtId="0" fontId="1" fillId="8" borderId="37" applyNumberFormat="0" applyFont="0" applyAlignment="0" applyProtection="0"/>
    <xf numFmtId="0" fontId="1" fillId="15" borderId="0" applyNumberFormat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7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7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37" fontId="21" fillId="0" borderId="0"/>
  </cellStyleXfs>
  <cellXfs count="336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2" fillId="0" borderId="6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0" xfId="0" applyFont="1" applyFill="1"/>
    <xf numFmtId="0" fontId="2" fillId="0" borderId="1" xfId="0" applyFont="1" applyBorder="1"/>
    <xf numFmtId="0" fontId="0" fillId="0" borderId="0" xfId="0" applyFill="1" applyBorder="1" applyAlignment="1">
      <alignment horizontal="left"/>
    </xf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3" fontId="0" fillId="0" borderId="0" xfId="0" applyNumberFormat="1"/>
    <xf numFmtId="166" fontId="0" fillId="0" borderId="0" xfId="0" applyNumberFormat="1"/>
    <xf numFmtId="0" fontId="0" fillId="0" borderId="2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/>
    <xf numFmtId="0" fontId="0" fillId="0" borderId="1" xfId="0" applyBorder="1"/>
    <xf numFmtId="0" fontId="0" fillId="0" borderId="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3" fontId="0" fillId="0" borderId="0" xfId="0" applyNumberFormat="1" applyFill="1"/>
    <xf numFmtId="166" fontId="0" fillId="0" borderId="0" xfId="0" applyNumberFormat="1" applyFill="1"/>
    <xf numFmtId="0" fontId="0" fillId="0" borderId="0" xfId="0" applyFill="1"/>
    <xf numFmtId="168" fontId="0" fillId="0" borderId="0" xfId="0" applyNumberFormat="1" applyFill="1"/>
    <xf numFmtId="3" fontId="0" fillId="0" borderId="0" xfId="0" applyNumberFormat="1" applyFill="1"/>
    <xf numFmtId="3" fontId="0" fillId="0" borderId="59" xfId="0" applyNumberForma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/>
    <xf numFmtId="3" fontId="0" fillId="0" borderId="5" xfId="0" applyNumberFormat="1" applyFill="1" applyBorder="1"/>
    <xf numFmtId="3" fontId="0" fillId="0" borderId="42" xfId="0" applyNumberFormat="1" applyFill="1" applyBorder="1"/>
    <xf numFmtId="3" fontId="0" fillId="0" borderId="71" xfId="0" applyNumberFormat="1" applyFill="1" applyBorder="1"/>
    <xf numFmtId="1" fontId="0" fillId="0" borderId="0" xfId="0" applyNumberFormat="1" applyFill="1"/>
    <xf numFmtId="3" fontId="0" fillId="0" borderId="2" xfId="0" applyNumberFormat="1" applyFill="1" applyBorder="1"/>
    <xf numFmtId="3" fontId="0" fillId="0" borderId="62" xfId="0" applyNumberFormat="1" applyFont="1" applyFill="1" applyBorder="1" applyAlignment="1"/>
    <xf numFmtId="3" fontId="0" fillId="0" borderId="70" xfId="0" applyNumberFormat="1" applyFill="1" applyBorder="1"/>
    <xf numFmtId="3" fontId="0" fillId="0" borderId="18" xfId="0" applyNumberFormat="1" applyFont="1" applyFill="1" applyBorder="1" applyAlignment="1"/>
    <xf numFmtId="3" fontId="0" fillId="0" borderId="8" xfId="0" applyNumberFormat="1" applyFill="1" applyBorder="1"/>
    <xf numFmtId="3" fontId="0" fillId="0" borderId="65" xfId="0" applyNumberFormat="1" applyFont="1" applyFill="1" applyBorder="1" applyAlignment="1"/>
    <xf numFmtId="3" fontId="0" fillId="0" borderId="25" xfId="0" applyNumberFormat="1" applyFill="1" applyBorder="1"/>
    <xf numFmtId="3" fontId="0" fillId="0" borderId="69" xfId="0" applyNumberFormat="1" applyFill="1" applyBorder="1"/>
    <xf numFmtId="3" fontId="0" fillId="0" borderId="17" xfId="0" applyNumberFormat="1" applyFont="1" applyFill="1" applyBorder="1" applyAlignment="1"/>
    <xf numFmtId="3" fontId="0" fillId="0" borderId="40" xfId="0" applyNumberFormat="1" applyFill="1" applyBorder="1"/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1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 wrapText="1"/>
    </xf>
    <xf numFmtId="3" fontId="0" fillId="0" borderId="76" xfId="0" applyNumberFormat="1" applyFont="1" applyFill="1" applyBorder="1" applyAlignment="1"/>
    <xf numFmtId="3" fontId="0" fillId="0" borderId="78" xfId="0" applyNumberFormat="1" applyFont="1" applyFill="1" applyBorder="1" applyAlignment="1"/>
    <xf numFmtId="3" fontId="0" fillId="0" borderId="77" xfId="0" applyNumberFormat="1" applyFont="1" applyFill="1" applyBorder="1" applyAlignment="1"/>
    <xf numFmtId="3" fontId="0" fillId="0" borderId="54" xfId="0" applyNumberFormat="1" applyFont="1" applyFill="1" applyBorder="1" applyAlignment="1"/>
    <xf numFmtId="3" fontId="0" fillId="0" borderId="81" xfId="0" applyNumberFormat="1" applyFont="1" applyFill="1" applyBorder="1" applyAlignment="1"/>
    <xf numFmtId="3" fontId="0" fillId="0" borderId="39" xfId="0" applyNumberFormat="1" applyFont="1" applyFill="1" applyBorder="1" applyAlignment="1"/>
    <xf numFmtId="3" fontId="0" fillId="0" borderId="56" xfId="0" applyNumberFormat="1" applyFont="1" applyFill="1" applyBorder="1" applyAlignment="1"/>
    <xf numFmtId="3" fontId="0" fillId="0" borderId="57" xfId="0" applyNumberFormat="1" applyFont="1" applyFill="1" applyBorder="1" applyAlignment="1"/>
    <xf numFmtId="3" fontId="0" fillId="0" borderId="11" xfId="0" applyNumberFormat="1" applyFont="1" applyFill="1" applyBorder="1" applyAlignment="1"/>
    <xf numFmtId="3" fontId="0" fillId="0" borderId="53" xfId="0" applyNumberFormat="1" applyFont="1" applyFill="1" applyBorder="1" applyAlignment="1"/>
    <xf numFmtId="3" fontId="0" fillId="0" borderId="74" xfId="0" applyNumberFormat="1" applyFont="1" applyFill="1" applyBorder="1" applyAlignment="1"/>
    <xf numFmtId="3" fontId="0" fillId="0" borderId="80" xfId="0" applyNumberFormat="1" applyFont="1" applyFill="1" applyBorder="1" applyAlignment="1"/>
    <xf numFmtId="3" fontId="0" fillId="0" borderId="79" xfId="0" applyNumberFormat="1" applyFont="1" applyFill="1" applyBorder="1" applyAlignment="1"/>
    <xf numFmtId="3" fontId="0" fillId="0" borderId="68" xfId="0" applyNumberFormat="1" applyFont="1" applyFill="1" applyBorder="1" applyAlignment="1"/>
    <xf numFmtId="3" fontId="0" fillId="0" borderId="82" xfId="0" applyNumberFormat="1" applyFont="1" applyFill="1" applyBorder="1" applyAlignment="1"/>
    <xf numFmtId="3" fontId="0" fillId="0" borderId="19" xfId="0" applyNumberFormat="1" applyFont="1" applyFill="1" applyBorder="1" applyAlignment="1"/>
    <xf numFmtId="3" fontId="0" fillId="0" borderId="67" xfId="0" applyNumberFormat="1" applyFont="1" applyFill="1" applyBorder="1" applyAlignment="1"/>
    <xf numFmtId="3" fontId="0" fillId="0" borderId="16" xfId="0" applyNumberFormat="1" applyFont="1" applyFill="1" applyBorder="1" applyAlignment="1"/>
    <xf numFmtId="3" fontId="0" fillId="0" borderId="58" xfId="0" applyNumberFormat="1" applyFont="1" applyFill="1" applyBorder="1" applyAlignment="1"/>
    <xf numFmtId="0" fontId="3" fillId="0" borderId="15" xfId="0" applyFont="1" applyFill="1" applyBorder="1" applyAlignment="1">
      <alignment vertical="center" wrapText="1"/>
    </xf>
    <xf numFmtId="3" fontId="0" fillId="0" borderId="0" xfId="0" applyNumberFormat="1" applyFont="1" applyFill="1" applyBorder="1"/>
    <xf numFmtId="3" fontId="0" fillId="0" borderId="0" xfId="0" applyNumberFormat="1" applyFont="1" applyFill="1"/>
    <xf numFmtId="0" fontId="20" fillId="0" borderId="0" xfId="110" applyFont="1" applyFill="1" applyBorder="1" applyAlignment="1"/>
    <xf numFmtId="0" fontId="0" fillId="0" borderId="0" xfId="0" applyFont="1" applyFill="1" applyBorder="1"/>
    <xf numFmtId="3" fontId="20" fillId="0" borderId="0" xfId="110" applyNumberFormat="1" applyFont="1" applyFill="1" applyBorder="1" applyAlignment="1"/>
    <xf numFmtId="0" fontId="4" fillId="0" borderId="6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62" xfId="0" applyFont="1" applyFill="1" applyBorder="1"/>
    <xf numFmtId="0" fontId="0" fillId="0" borderId="12" xfId="0" applyFont="1" applyFill="1" applyBorder="1"/>
    <xf numFmtId="0" fontId="0" fillId="0" borderId="17" xfId="0" applyFont="1" applyFill="1" applyBorder="1"/>
    <xf numFmtId="0" fontId="0" fillId="0" borderId="25" xfId="0" applyFont="1" applyFill="1" applyBorder="1" applyAlignment="1">
      <alignment horizontal="left"/>
    </xf>
    <xf numFmtId="3" fontId="4" fillId="0" borderId="63" xfId="110" applyNumberFormat="1" applyFont="1" applyFill="1" applyBorder="1" applyAlignment="1">
      <alignment wrapText="1"/>
    </xf>
    <xf numFmtId="0" fontId="4" fillId="0" borderId="63" xfId="110" applyFont="1" applyFill="1" applyBorder="1" applyAlignment="1">
      <alignment wrapText="1"/>
    </xf>
    <xf numFmtId="3" fontId="4" fillId="0" borderId="63" xfId="110" applyNumberFormat="1" applyFont="1" applyFill="1" applyBorder="1" applyAlignment="1">
      <alignment horizontal="right" wrapText="1"/>
    </xf>
    <xf numFmtId="0" fontId="4" fillId="0" borderId="64" xfId="110" applyFont="1" applyFill="1" applyBorder="1" applyAlignment="1">
      <alignment wrapText="1"/>
    </xf>
    <xf numFmtId="3" fontId="4" fillId="0" borderId="13" xfId="110" applyNumberFormat="1" applyFont="1" applyFill="1" applyBorder="1" applyAlignment="1">
      <alignment wrapText="1"/>
    </xf>
    <xf numFmtId="0" fontId="4" fillId="0" borderId="13" xfId="110" applyFont="1" applyFill="1" applyBorder="1" applyAlignment="1">
      <alignment wrapText="1"/>
    </xf>
    <xf numFmtId="3" fontId="4" fillId="0" borderId="13" xfId="110" applyNumberFormat="1" applyFont="1" applyFill="1" applyBorder="1" applyAlignment="1">
      <alignment horizontal="right" wrapText="1"/>
    </xf>
    <xf numFmtId="0" fontId="4" fillId="0" borderId="14" xfId="110" applyFont="1" applyFill="1" applyBorder="1" applyAlignment="1">
      <alignment wrapText="1"/>
    </xf>
    <xf numFmtId="3" fontId="4" fillId="0" borderId="18" xfId="110" applyNumberFormat="1" applyFont="1" applyFill="1" applyBorder="1" applyAlignment="1">
      <alignment wrapText="1"/>
    </xf>
    <xf numFmtId="0" fontId="4" fillId="0" borderId="18" xfId="110" applyFont="1" applyFill="1" applyBorder="1" applyAlignment="1">
      <alignment wrapText="1"/>
    </xf>
    <xf numFmtId="3" fontId="4" fillId="0" borderId="18" xfId="110" applyNumberFormat="1" applyFont="1" applyFill="1" applyBorder="1" applyAlignment="1">
      <alignment horizontal="right" wrapText="1"/>
    </xf>
    <xf numFmtId="3" fontId="4" fillId="0" borderId="63" xfId="110" applyNumberFormat="1" applyFont="1" applyFill="1" applyBorder="1" applyAlignment="1"/>
    <xf numFmtId="0" fontId="4" fillId="0" borderId="63" xfId="110" applyFont="1" applyFill="1" applyBorder="1" applyAlignment="1"/>
    <xf numFmtId="3" fontId="4" fillId="0" borderId="63" xfId="110" applyNumberFormat="1" applyFont="1" applyFill="1" applyBorder="1" applyAlignment="1">
      <alignment horizontal="right"/>
    </xf>
    <xf numFmtId="0" fontId="4" fillId="0" borderId="64" xfId="110" applyFont="1" applyFill="1" applyBorder="1" applyAlignment="1"/>
    <xf numFmtId="0" fontId="4" fillId="0" borderId="14" xfId="110" applyFont="1" applyFill="1" applyBorder="1" applyAlignment="1"/>
    <xf numFmtId="3" fontId="4" fillId="0" borderId="60" xfId="110" applyNumberFormat="1" applyFont="1" applyFill="1" applyBorder="1" applyAlignment="1">
      <alignment wrapText="1"/>
    </xf>
    <xf numFmtId="0" fontId="4" fillId="0" borderId="60" xfId="110" applyFont="1" applyFill="1" applyBorder="1" applyAlignment="1">
      <alignment horizontal="left"/>
    </xf>
    <xf numFmtId="3" fontId="4" fillId="0" borderId="60" xfId="110" applyNumberFormat="1" applyFont="1" applyFill="1" applyBorder="1" applyAlignment="1">
      <alignment horizontal="right" wrapText="1"/>
    </xf>
    <xf numFmtId="3" fontId="4" fillId="0" borderId="40" xfId="110" applyNumberFormat="1" applyFont="1" applyFill="1" applyBorder="1" applyAlignment="1">
      <alignment wrapText="1"/>
    </xf>
    <xf numFmtId="0" fontId="4" fillId="0" borderId="40" xfId="110" applyFont="1" applyFill="1" applyBorder="1" applyAlignment="1">
      <alignment wrapText="1"/>
    </xf>
    <xf numFmtId="3" fontId="4" fillId="0" borderId="40" xfId="110" applyNumberFormat="1" applyFont="1" applyFill="1" applyBorder="1" applyAlignment="1">
      <alignment horizontal="right" wrapText="1"/>
    </xf>
    <xf numFmtId="0" fontId="4" fillId="0" borderId="40" xfId="110" applyFont="1" applyFill="1" applyBorder="1" applyAlignment="1">
      <alignment horizontal="left"/>
    </xf>
    <xf numFmtId="0" fontId="4" fillId="0" borderId="63" xfId="110" applyFont="1" applyFill="1" applyBorder="1" applyAlignment="1">
      <alignment horizontal="left"/>
    </xf>
    <xf numFmtId="0" fontId="4" fillId="0" borderId="13" xfId="110" applyFont="1" applyFill="1" applyBorder="1" applyAlignment="1"/>
    <xf numFmtId="0" fontId="4" fillId="0" borderId="13" xfId="110" applyFont="1" applyFill="1" applyBorder="1" applyAlignment="1">
      <alignment horizontal="left"/>
    </xf>
    <xf numFmtId="0" fontId="4" fillId="0" borderId="60" xfId="110" applyFont="1" applyFill="1" applyBorder="1" applyAlignment="1"/>
    <xf numFmtId="0" fontId="4" fillId="0" borderId="18" xfId="110" applyFont="1" applyFill="1" applyBorder="1" applyAlignment="1"/>
    <xf numFmtId="3" fontId="4" fillId="0" borderId="7" xfId="110" applyNumberFormat="1" applyFont="1" applyFill="1" applyBorder="1" applyAlignment="1">
      <alignment wrapText="1"/>
    </xf>
    <xf numFmtId="0" fontId="4" fillId="0" borderId="7" xfId="110" applyFont="1" applyFill="1" applyBorder="1" applyAlignment="1">
      <alignment horizontal="left"/>
    </xf>
    <xf numFmtId="3" fontId="4" fillId="0" borderId="7" xfId="110" applyNumberFormat="1" applyFont="1" applyFill="1" applyBorder="1" applyAlignment="1">
      <alignment horizontal="right" wrapText="1"/>
    </xf>
    <xf numFmtId="0" fontId="4" fillId="0" borderId="7" xfId="110" applyFont="1" applyFill="1" applyBorder="1" applyAlignment="1">
      <alignment wrapText="1"/>
    </xf>
    <xf numFmtId="0" fontId="4" fillId="0" borderId="10" xfId="110" applyFont="1" applyFill="1" applyBorder="1" applyAlignment="1">
      <alignment wrapText="1"/>
    </xf>
    <xf numFmtId="0" fontId="4" fillId="0" borderId="13" xfId="110" applyFont="1" applyFill="1" applyBorder="1" applyAlignment="1">
      <alignment horizontal="left" wrapText="1"/>
    </xf>
    <xf numFmtId="0" fontId="4" fillId="0" borderId="60" xfId="110" applyFont="1" applyFill="1" applyBorder="1" applyAlignment="1">
      <alignment horizontal="left" wrapText="1"/>
    </xf>
    <xf numFmtId="0" fontId="4" fillId="0" borderId="60" xfId="110" applyFont="1" applyFill="1" applyBorder="1" applyAlignment="1">
      <alignment wrapText="1"/>
    </xf>
    <xf numFmtId="0" fontId="4" fillId="0" borderId="40" xfId="110" applyFont="1" applyFill="1" applyBorder="1" applyAlignment="1">
      <alignment horizontal="left" wrapText="1"/>
    </xf>
    <xf numFmtId="3" fontId="4" fillId="0" borderId="21" xfId="110" applyNumberFormat="1" applyFont="1" applyFill="1" applyBorder="1" applyAlignment="1">
      <alignment wrapText="1"/>
    </xf>
    <xf numFmtId="0" fontId="4" fillId="0" borderId="21" xfId="110" applyFont="1" applyFill="1" applyBorder="1" applyAlignment="1">
      <alignment wrapText="1"/>
    </xf>
    <xf numFmtId="3" fontId="4" fillId="0" borderId="21" xfId="110" applyNumberFormat="1" applyFont="1" applyFill="1" applyBorder="1" applyAlignment="1">
      <alignment horizontal="right" wrapText="1"/>
    </xf>
    <xf numFmtId="0" fontId="4" fillId="0" borderId="63" xfId="110" applyFont="1" applyFill="1" applyBorder="1" applyAlignment="1">
      <alignment horizontal="left" wrapText="1"/>
    </xf>
    <xf numFmtId="0" fontId="4" fillId="0" borderId="21" xfId="110" applyFont="1" applyFill="1" applyBorder="1" applyAlignment="1">
      <alignment horizontal="left"/>
    </xf>
    <xf numFmtId="3" fontId="4" fillId="0" borderId="71" xfId="110" applyNumberFormat="1" applyFont="1" applyFill="1" applyBorder="1" applyAlignment="1"/>
    <xf numFmtId="0" fontId="4" fillId="0" borderId="71" xfId="110" applyFont="1" applyFill="1" applyBorder="1" applyAlignment="1"/>
    <xf numFmtId="3" fontId="4" fillId="0" borderId="71" xfId="110" applyNumberFormat="1" applyFont="1" applyFill="1" applyBorder="1" applyAlignment="1">
      <alignment horizontal="right"/>
    </xf>
    <xf numFmtId="3" fontId="4" fillId="0" borderId="71" xfId="110" applyNumberFormat="1" applyFont="1" applyFill="1" applyBorder="1" applyAlignment="1">
      <alignment horizontal="right" wrapText="1"/>
    </xf>
    <xf numFmtId="0" fontId="4" fillId="0" borderId="18" xfId="110" applyFont="1" applyFill="1" applyBorder="1" applyAlignment="1">
      <alignment horizontal="left"/>
    </xf>
    <xf numFmtId="3" fontId="45" fillId="0" borderId="19" xfId="110" applyNumberFormat="1" applyFont="1" applyFill="1" applyBorder="1" applyAlignment="1">
      <alignment wrapText="1"/>
    </xf>
    <xf numFmtId="3" fontId="45" fillId="0" borderId="19" xfId="110" applyNumberFormat="1" applyFont="1" applyFill="1" applyBorder="1" applyAlignment="1"/>
    <xf numFmtId="3" fontId="45" fillId="0" borderId="83" xfId="110" applyNumberFormat="1" applyFont="1" applyFill="1" applyBorder="1" applyAlignment="1">
      <alignment wrapText="1"/>
    </xf>
    <xf numFmtId="3" fontId="45" fillId="0" borderId="84" xfId="110" applyNumberFormat="1" applyFont="1" applyFill="1" applyBorder="1" applyAlignment="1">
      <alignment wrapText="1"/>
    </xf>
    <xf numFmtId="3" fontId="45" fillId="0" borderId="83" xfId="110" applyNumberFormat="1" applyFont="1" applyFill="1" applyBorder="1" applyAlignment="1"/>
    <xf numFmtId="3" fontId="45" fillId="0" borderId="22" xfId="110" applyNumberFormat="1" applyFont="1" applyFill="1" applyBorder="1" applyAlignment="1">
      <alignment wrapText="1"/>
    </xf>
    <xf numFmtId="3" fontId="45" fillId="0" borderId="75" xfId="110" applyNumberFormat="1" applyFont="1" applyFill="1" applyBorder="1" applyAlignment="1"/>
    <xf numFmtId="0" fontId="0" fillId="0" borderId="0" xfId="0"/>
    <xf numFmtId="176" fontId="45" fillId="0" borderId="19" xfId="110" applyNumberFormat="1" applyFont="1" applyFill="1" applyBorder="1" applyAlignment="1">
      <alignment wrapText="1"/>
    </xf>
    <xf numFmtId="3" fontId="0" fillId="0" borderId="41" xfId="0" applyNumberFormat="1" applyFill="1" applyBorder="1"/>
    <xf numFmtId="3" fontId="0" fillId="0" borderId="85" xfId="0" applyNumberFormat="1" applyFill="1" applyBorder="1"/>
    <xf numFmtId="3" fontId="0" fillId="0" borderId="86" xfId="0" applyNumberFormat="1" applyFill="1" applyBorder="1"/>
    <xf numFmtId="3" fontId="0" fillId="0" borderId="1" xfId="0" applyNumberFormat="1" applyFill="1" applyBorder="1"/>
    <xf numFmtId="165" fontId="0" fillId="0" borderId="27" xfId="0" applyNumberFormat="1" applyFill="1" applyBorder="1"/>
    <xf numFmtId="165" fontId="0" fillId="0" borderId="0" xfId="0" applyNumberFormat="1" applyFill="1" applyBorder="1"/>
    <xf numFmtId="165" fontId="0" fillId="0" borderId="26" xfId="0" applyNumberFormat="1" applyFill="1" applyBorder="1"/>
    <xf numFmtId="3" fontId="0" fillId="0" borderId="4" xfId="0" applyNumberFormat="1" applyFill="1" applyBorder="1"/>
    <xf numFmtId="0" fontId="2" fillId="0" borderId="22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left"/>
    </xf>
    <xf numFmtId="3" fontId="0" fillId="0" borderId="76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84" xfId="0" applyNumberFormat="1" applyFill="1" applyBorder="1"/>
    <xf numFmtId="3" fontId="0" fillId="0" borderId="87" xfId="0" applyNumberFormat="1" applyFill="1" applyBorder="1"/>
    <xf numFmtId="3" fontId="0" fillId="0" borderId="75" xfId="0" applyNumberFormat="1" applyFill="1" applyBorder="1"/>
    <xf numFmtId="0" fontId="2" fillId="0" borderId="1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0" xfId="0" applyFont="1"/>
    <xf numFmtId="0" fontId="3" fillId="0" borderId="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/>
    </xf>
    <xf numFmtId="0" fontId="0" fillId="0" borderId="0" xfId="0"/>
    <xf numFmtId="3" fontId="0" fillId="0" borderId="0" xfId="0" applyNumberFormat="1" applyFill="1" applyBorder="1"/>
    <xf numFmtId="3" fontId="0" fillId="0" borderId="26" xfId="0" applyNumberFormat="1" applyFill="1" applyBorder="1"/>
    <xf numFmtId="0" fontId="2" fillId="0" borderId="2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0" fontId="0" fillId="0" borderId="0" xfId="49" applyNumberFormat="1" applyFont="1"/>
    <xf numFmtId="10" fontId="0" fillId="0" borderId="0" xfId="0" applyNumberFormat="1" applyFill="1"/>
    <xf numFmtId="0" fontId="0" fillId="0" borderId="0" xfId="0" applyFill="1"/>
    <xf numFmtId="0" fontId="0" fillId="0" borderId="0" xfId="0"/>
    <xf numFmtId="3" fontId="0" fillId="0" borderId="0" xfId="0" applyNumberFormat="1" applyFill="1"/>
    <xf numFmtId="10" fontId="0" fillId="0" borderId="2" xfId="0" applyNumberFormat="1" applyBorder="1"/>
    <xf numFmtId="10" fontId="0" fillId="0" borderId="0" xfId="0" applyNumberFormat="1" applyBorder="1"/>
    <xf numFmtId="10" fontId="0" fillId="0" borderId="3" xfId="0" applyNumberFormat="1" applyBorder="1"/>
    <xf numFmtId="10" fontId="0" fillId="0" borderId="4" xfId="0" applyNumberFormat="1" applyBorder="1"/>
    <xf numFmtId="10" fontId="0" fillId="0" borderId="27" xfId="0" applyNumberFormat="1" applyBorder="1"/>
    <xf numFmtId="10" fontId="0" fillId="0" borderId="28" xfId="0" applyNumberFormat="1" applyBorder="1"/>
    <xf numFmtId="10" fontId="0" fillId="0" borderId="25" xfId="0" applyNumberFormat="1" applyBorder="1"/>
    <xf numFmtId="10" fontId="0" fillId="0" borderId="26" xfId="0" applyNumberFormat="1" applyBorder="1"/>
    <xf numFmtId="10" fontId="0" fillId="0" borderId="29" xfId="0" applyNumberFormat="1" applyBorder="1"/>
    <xf numFmtId="10" fontId="0" fillId="0" borderId="40" xfId="0" applyNumberFormat="1" applyBorder="1"/>
    <xf numFmtId="10" fontId="0" fillId="0" borderId="59" xfId="0" applyNumberFormat="1" applyBorder="1"/>
    <xf numFmtId="10" fontId="0" fillId="0" borderId="71" xfId="0" applyNumberFormat="1" applyBorder="1"/>
    <xf numFmtId="9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0" fontId="0" fillId="0" borderId="0" xfId="49" applyNumberFormat="1" applyFont="1"/>
    <xf numFmtId="9" fontId="0" fillId="0" borderId="0" xfId="0" applyNumberFormat="1" applyBorder="1"/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10" fontId="0" fillId="0" borderId="5" xfId="0" applyNumberFormat="1" applyBorder="1"/>
    <xf numFmtId="10" fontId="0" fillId="0" borderId="8" xfId="0" applyNumberFormat="1" applyBorder="1"/>
    <xf numFmtId="0" fontId="0" fillId="0" borderId="4" xfId="0" applyBorder="1"/>
    <xf numFmtId="9" fontId="0" fillId="0" borderId="27" xfId="0" applyNumberFormat="1" applyBorder="1"/>
    <xf numFmtId="9" fontId="0" fillId="0" borderId="28" xfId="0" applyNumberFormat="1" applyBorder="1"/>
    <xf numFmtId="0" fontId="0" fillId="0" borderId="2" xfId="0" applyBorder="1"/>
    <xf numFmtId="9" fontId="0" fillId="0" borderId="3" xfId="0" applyNumberFormat="1" applyBorder="1"/>
    <xf numFmtId="0" fontId="0" fillId="0" borderId="25" xfId="0" applyBorder="1"/>
    <xf numFmtId="9" fontId="0" fillId="0" borderId="26" xfId="0" applyNumberFormat="1" applyBorder="1"/>
    <xf numFmtId="9" fontId="0" fillId="0" borderId="29" xfId="0" applyNumberFormat="1" applyBorder="1"/>
    <xf numFmtId="0" fontId="2" fillId="0" borderId="5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0" fillId="0" borderId="62" xfId="0" applyBorder="1"/>
    <xf numFmtId="0" fontId="0" fillId="0" borderId="12" xfId="0" applyBorder="1"/>
    <xf numFmtId="0" fontId="0" fillId="0" borderId="12" xfId="0" applyFill="1" applyBorder="1" applyAlignment="1">
      <alignment horizontal="left"/>
    </xf>
    <xf numFmtId="0" fontId="0" fillId="0" borderId="17" xfId="0" applyBorder="1"/>
    <xf numFmtId="164" fontId="0" fillId="0" borderId="14" xfId="414" applyNumberFormat="1" applyFont="1" applyBorder="1"/>
    <xf numFmtId="3" fontId="4" fillId="0" borderId="64" xfId="110" applyNumberFormat="1" applyFont="1" applyFill="1" applyBorder="1" applyAlignment="1">
      <alignment horizontal="right" wrapText="1"/>
    </xf>
    <xf numFmtId="164" fontId="0" fillId="0" borderId="19" xfId="414" applyNumberFormat="1" applyFont="1" applyBorder="1"/>
    <xf numFmtId="0" fontId="46" fillId="0" borderId="20" xfId="110" applyFont="1" applyFill="1" applyBorder="1" applyAlignment="1">
      <alignment wrapText="1"/>
    </xf>
    <xf numFmtId="3" fontId="46" fillId="0" borderId="21" xfId="110" applyNumberFormat="1" applyFont="1" applyFill="1" applyBorder="1" applyAlignment="1">
      <alignment wrapText="1"/>
    </xf>
    <xf numFmtId="0" fontId="46" fillId="0" borderId="21" xfId="110" applyFont="1" applyFill="1" applyBorder="1" applyAlignment="1">
      <alignment wrapText="1"/>
    </xf>
    <xf numFmtId="0" fontId="46" fillId="0" borderId="22" xfId="110" applyFont="1" applyFill="1" applyBorder="1" applyAlignment="1">
      <alignment wrapText="1"/>
    </xf>
    <xf numFmtId="0" fontId="0" fillId="0" borderId="13" xfId="0" applyFill="1" applyBorder="1"/>
    <xf numFmtId="164" fontId="0" fillId="0" borderId="13" xfId="414" applyNumberFormat="1" applyFont="1" applyFill="1" applyBorder="1"/>
    <xf numFmtId="0" fontId="4" fillId="0" borderId="13" xfId="0" applyFont="1" applyFill="1" applyBorder="1"/>
    <xf numFmtId="0" fontId="2" fillId="0" borderId="13" xfId="0" applyFont="1" applyFill="1" applyBorder="1"/>
    <xf numFmtId="164" fontId="2" fillId="0" borderId="13" xfId="414" applyNumberFormat="1" applyFont="1" applyFill="1" applyBorder="1"/>
    <xf numFmtId="0" fontId="0" fillId="0" borderId="60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10" fontId="0" fillId="0" borderId="88" xfId="49" applyNumberFormat="1" applyFont="1" applyFill="1" applyBorder="1"/>
    <xf numFmtId="10" fontId="0" fillId="33" borderId="88" xfId="49" applyNumberFormat="1" applyFont="1" applyFill="1" applyBorder="1"/>
    <xf numFmtId="3" fontId="0" fillId="0" borderId="74" xfId="0" applyNumberFormat="1" applyBorder="1"/>
    <xf numFmtId="0" fontId="0" fillId="0" borderId="7" xfId="0" applyFill="1" applyBorder="1" applyAlignment="1">
      <alignment horizontal="left"/>
    </xf>
    <xf numFmtId="177" fontId="0" fillId="0" borderId="91" xfId="414" applyNumberFormat="1" applyFont="1" applyBorder="1" applyAlignment="1">
      <alignment horizontal="center"/>
    </xf>
    <xf numFmtId="177" fontId="0" fillId="0" borderId="74" xfId="414" applyNumberFormat="1" applyFont="1" applyBorder="1" applyAlignment="1">
      <alignment horizontal="center"/>
    </xf>
    <xf numFmtId="10" fontId="0" fillId="0" borderId="74" xfId="49" applyNumberFormat="1" applyFont="1" applyFill="1" applyBorder="1"/>
    <xf numFmtId="3" fontId="0" fillId="0" borderId="91" xfId="0" applyNumberFormat="1" applyBorder="1"/>
    <xf numFmtId="0" fontId="0" fillId="0" borderId="7" xfId="0" applyFill="1" applyBorder="1"/>
    <xf numFmtId="0" fontId="4" fillId="0" borderId="59" xfId="0" applyFont="1" applyFill="1" applyBorder="1" applyAlignment="1">
      <alignment horizontal="left"/>
    </xf>
    <xf numFmtId="177" fontId="0" fillId="0" borderId="88" xfId="414" applyNumberFormat="1" applyFont="1" applyBorder="1"/>
    <xf numFmtId="3" fontId="2" fillId="0" borderId="6" xfId="0" applyNumberFormat="1" applyFont="1" applyFill="1" applyBorder="1" applyAlignment="1">
      <alignment wrapText="1"/>
    </xf>
    <xf numFmtId="10" fontId="0" fillId="0" borderId="91" xfId="49" applyNumberFormat="1" applyFont="1" applyFill="1" applyBorder="1"/>
    <xf numFmtId="3" fontId="0" fillId="0" borderId="88" xfId="0" applyNumberFormat="1" applyBorder="1"/>
    <xf numFmtId="3" fontId="17" fillId="0" borderId="59" xfId="0" applyNumberFormat="1" applyFont="1" applyFill="1" applyBorder="1"/>
    <xf numFmtId="0" fontId="0" fillId="0" borderId="59" xfId="0" applyFill="1" applyBorder="1"/>
    <xf numFmtId="177" fontId="0" fillId="0" borderId="88" xfId="414" applyNumberFormat="1" applyFont="1" applyBorder="1" applyAlignment="1">
      <alignment horizontal="center"/>
    </xf>
    <xf numFmtId="3" fontId="2" fillId="0" borderId="74" xfId="0" applyNumberFormat="1" applyFont="1" applyFill="1" applyBorder="1" applyAlignment="1">
      <alignment wrapText="1"/>
    </xf>
    <xf numFmtId="3" fontId="0" fillId="0" borderId="59" xfId="0" applyNumberFormat="1" applyFill="1" applyBorder="1"/>
    <xf numFmtId="3" fontId="0" fillId="0" borderId="85" xfId="0" applyNumberFormat="1" applyFill="1" applyBorder="1"/>
    <xf numFmtId="3" fontId="0" fillId="0" borderId="0" xfId="0" applyNumberFormat="1" applyFill="1" applyBorder="1"/>
    <xf numFmtId="175" fontId="0" fillId="33" borderId="88" xfId="49" applyNumberFormat="1" applyFont="1" applyFill="1" applyBorder="1"/>
    <xf numFmtId="10" fontId="0" fillId="0" borderId="85" xfId="0" applyNumberFormat="1" applyFill="1" applyBorder="1"/>
    <xf numFmtId="175" fontId="0" fillId="33" borderId="74" xfId="49" applyNumberFormat="1" applyFont="1" applyFill="1" applyBorder="1"/>
    <xf numFmtId="10" fontId="0" fillId="0" borderId="6" xfId="0" applyNumberFormat="1" applyFill="1" applyBorder="1"/>
    <xf numFmtId="175" fontId="0" fillId="33" borderId="91" xfId="49" applyNumberFormat="1" applyFont="1" applyFill="1" applyBorder="1"/>
    <xf numFmtId="10" fontId="0" fillId="0" borderId="89" xfId="0" applyNumberFormat="1" applyFill="1" applyBorder="1"/>
    <xf numFmtId="3" fontId="2" fillId="0" borderId="91" xfId="0" applyNumberFormat="1" applyFont="1" applyFill="1" applyBorder="1" applyAlignment="1">
      <alignment wrapText="1"/>
    </xf>
    <xf numFmtId="175" fontId="0" fillId="33" borderId="89" xfId="49" applyNumberFormat="1" applyFont="1" applyFill="1" applyBorder="1"/>
    <xf numFmtId="166" fontId="2" fillId="0" borderId="13" xfId="0" applyNumberFormat="1" applyFont="1" applyFill="1" applyBorder="1" applyAlignment="1">
      <alignment wrapText="1"/>
    </xf>
    <xf numFmtId="3" fontId="0" fillId="0" borderId="79" xfId="0" applyNumberFormat="1" applyFill="1" applyBorder="1"/>
    <xf numFmtId="3" fontId="2" fillId="0" borderId="39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left" wrapText="1"/>
    </xf>
    <xf numFmtId="10" fontId="0" fillId="0" borderId="6" xfId="49" applyNumberFormat="1" applyFont="1" applyFill="1" applyBorder="1"/>
    <xf numFmtId="3" fontId="2" fillId="0" borderId="13" xfId="0" applyNumberFormat="1" applyFont="1" applyFill="1" applyBorder="1" applyAlignment="1">
      <alignment wrapText="1"/>
    </xf>
    <xf numFmtId="0" fontId="2" fillId="0" borderId="57" xfId="0" applyFont="1" applyFill="1" applyBorder="1" applyAlignment="1">
      <alignment wrapText="1"/>
    </xf>
    <xf numFmtId="3" fontId="2" fillId="0" borderId="66" xfId="0" applyNumberFormat="1" applyFont="1" applyFill="1" applyBorder="1" applyAlignment="1">
      <alignment wrapText="1"/>
    </xf>
    <xf numFmtId="0" fontId="2" fillId="0" borderId="66" xfId="0" applyFont="1" applyFill="1" applyBorder="1"/>
    <xf numFmtId="3" fontId="24" fillId="0" borderId="91" xfId="0" applyNumberFormat="1" applyFont="1" applyFill="1" applyBorder="1" applyAlignment="1">
      <alignment wrapText="1"/>
    </xf>
    <xf numFmtId="3" fontId="0" fillId="0" borderId="6" xfId="0" applyNumberFormat="1" applyFill="1" applyBorder="1"/>
    <xf numFmtId="3" fontId="0" fillId="0" borderId="74" xfId="0" applyNumberFormat="1" applyFill="1" applyBorder="1"/>
    <xf numFmtId="0" fontId="0" fillId="0" borderId="79" xfId="0" applyBorder="1"/>
    <xf numFmtId="0" fontId="2" fillId="0" borderId="39" xfId="0" applyFont="1" applyFill="1" applyBorder="1" applyAlignment="1">
      <alignment wrapText="1"/>
    </xf>
    <xf numFmtId="0" fontId="2" fillId="0" borderId="66" xfId="0" applyFont="1" applyFill="1" applyBorder="1" applyAlignment="1">
      <alignment wrapText="1"/>
    </xf>
    <xf numFmtId="0" fontId="2" fillId="0" borderId="39" xfId="0" applyFont="1" applyFill="1" applyBorder="1"/>
    <xf numFmtId="175" fontId="0" fillId="33" borderId="85" xfId="49" applyNumberFormat="1" applyFont="1" applyFill="1" applyBorder="1"/>
    <xf numFmtId="175" fontId="0" fillId="33" borderId="6" xfId="49" applyNumberFormat="1" applyFont="1" applyFill="1" applyBorder="1"/>
    <xf numFmtId="166" fontId="2" fillId="0" borderId="39" xfId="0" applyNumberFormat="1" applyFont="1" applyFill="1" applyBorder="1" applyAlignment="1">
      <alignment wrapText="1"/>
    </xf>
    <xf numFmtId="166" fontId="2" fillId="0" borderId="89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wrapText="1"/>
    </xf>
    <xf numFmtId="0" fontId="0" fillId="0" borderId="6" xfId="0" applyBorder="1"/>
    <xf numFmtId="0" fontId="24" fillId="0" borderId="66" xfId="0" applyFont="1" applyFill="1" applyBorder="1" applyAlignment="1">
      <alignment wrapText="1"/>
    </xf>
    <xf numFmtId="3" fontId="0" fillId="0" borderId="88" xfId="0" applyNumberFormat="1" applyFill="1" applyBorder="1"/>
    <xf numFmtId="3" fontId="0" fillId="0" borderId="89" xfId="0" applyNumberFormat="1" applyFill="1" applyBorder="1"/>
    <xf numFmtId="3" fontId="0" fillId="0" borderId="90" xfId="0" applyNumberFormat="1" applyFill="1" applyBorder="1"/>
    <xf numFmtId="3" fontId="0" fillId="0" borderId="91" xfId="0" applyNumberFormat="1" applyFill="1" applyBorder="1"/>
    <xf numFmtId="3" fontId="0" fillId="0" borderId="7" xfId="0" applyNumberFormat="1" applyFill="1" applyBorder="1"/>
    <xf numFmtId="10" fontId="0" fillId="0" borderId="85" xfId="49" applyNumberFormat="1" applyFont="1" applyFill="1" applyBorder="1"/>
    <xf numFmtId="10" fontId="0" fillId="0" borderId="89" xfId="49" applyNumberFormat="1" applyFont="1" applyFill="1" applyBorder="1"/>
    <xf numFmtId="3" fontId="0" fillId="0" borderId="60" xfId="0" applyNumberFormat="1" applyFill="1" applyBorder="1"/>
    <xf numFmtId="3" fontId="2" fillId="0" borderId="13" xfId="0" applyNumberFormat="1" applyFont="1" applyFill="1" applyBorder="1" applyAlignment="1">
      <alignment vertical="center"/>
    </xf>
    <xf numFmtId="166" fontId="2" fillId="0" borderId="13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/>
    <xf numFmtId="3" fontId="2" fillId="0" borderId="13" xfId="0" applyNumberFormat="1" applyFont="1" applyFill="1" applyBorder="1"/>
    <xf numFmtId="3" fontId="0" fillId="0" borderId="85" xfId="0" applyNumberFormat="1" applyFill="1" applyBorder="1" applyAlignment="1">
      <alignment horizontal="center"/>
    </xf>
    <xf numFmtId="3" fontId="2" fillId="0" borderId="66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3" fontId="2" fillId="0" borderId="66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166" fontId="2" fillId="0" borderId="66" xfId="0" applyNumberFormat="1" applyFont="1" applyFill="1" applyBorder="1" applyAlignment="1">
      <alignment horizontal="center" vertical="center" wrapText="1"/>
    </xf>
    <xf numFmtId="166" fontId="2" fillId="0" borderId="39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</cellXfs>
  <cellStyles count="999">
    <cellStyle name="20 % - Markeringsfarve1" xfId="20" builtinId="30" customBuiltin="1"/>
    <cellStyle name="20 % - Markeringsfarve1 2" xfId="53"/>
    <cellStyle name="20 % - Markeringsfarve1 2 2" xfId="78"/>
    <cellStyle name="20 % - Markeringsfarve1 2 2 2" xfId="146"/>
    <cellStyle name="20 % - Markeringsfarve1 2 2 2 2" xfId="521"/>
    <cellStyle name="20 % - Markeringsfarve1 2 2 2 3" xfId="795"/>
    <cellStyle name="20 % - Markeringsfarve1 2 2 3" xfId="201"/>
    <cellStyle name="20 % - Markeringsfarve1 2 2 3 2" xfId="575"/>
    <cellStyle name="20 % - Markeringsfarve1 2 2 3 3" xfId="849"/>
    <cellStyle name="20 % - Markeringsfarve1 2 2 4" xfId="256"/>
    <cellStyle name="20 % - Markeringsfarve1 2 2 4 2" xfId="630"/>
    <cellStyle name="20 % - Markeringsfarve1 2 2 4 3" xfId="904"/>
    <cellStyle name="20 % - Markeringsfarve1 2 2 5" xfId="312"/>
    <cellStyle name="20 % - Markeringsfarve1 2 2 5 2" xfId="686"/>
    <cellStyle name="20 % - Markeringsfarve1 2 2 5 3" xfId="960"/>
    <cellStyle name="20 % - Markeringsfarve1 2 2 6" xfId="453"/>
    <cellStyle name="20 % - Markeringsfarve1 2 2 7" xfId="741"/>
    <cellStyle name="20 % - Markeringsfarve1 2 3" xfId="129"/>
    <cellStyle name="20 % - Markeringsfarve1 2 3 2" xfId="504"/>
    <cellStyle name="20 % - Markeringsfarve1 2 3 3" xfId="778"/>
    <cellStyle name="20 % - Markeringsfarve1 2 4" xfId="183"/>
    <cellStyle name="20 % - Markeringsfarve1 2 4 2" xfId="557"/>
    <cellStyle name="20 % - Markeringsfarve1 2 4 3" xfId="831"/>
    <cellStyle name="20 % - Markeringsfarve1 2 5" xfId="237"/>
    <cellStyle name="20 % - Markeringsfarve1 2 5 2" xfId="611"/>
    <cellStyle name="20 % - Markeringsfarve1 2 5 3" xfId="885"/>
    <cellStyle name="20 % - Markeringsfarve1 2 6" xfId="293"/>
    <cellStyle name="20 % - Markeringsfarve1 2 6 2" xfId="667"/>
    <cellStyle name="20 % - Markeringsfarve1 2 6 3" xfId="941"/>
    <cellStyle name="20 % - Markeringsfarve1 2 7" xfId="442"/>
    <cellStyle name="20 % - Markeringsfarve1 2 8" xfId="723"/>
    <cellStyle name="20 % - Markeringsfarve1 3" xfId="116"/>
    <cellStyle name="20 % - Markeringsfarve1 3 2" xfId="491"/>
    <cellStyle name="20 % - Markeringsfarve1 3 3" xfId="765"/>
    <cellStyle name="20 % - Markeringsfarve1 4" xfId="169"/>
    <cellStyle name="20 % - Markeringsfarve1 4 2" xfId="544"/>
    <cellStyle name="20 % - Markeringsfarve1 4 3" xfId="818"/>
    <cellStyle name="20 % - Markeringsfarve1 5" xfId="225"/>
    <cellStyle name="20 % - Markeringsfarve1 5 2" xfId="599"/>
    <cellStyle name="20 % - Markeringsfarve1 5 3" xfId="873"/>
    <cellStyle name="20 % - Markeringsfarve1 6" xfId="280"/>
    <cellStyle name="20 % - Markeringsfarve1 6 2" xfId="654"/>
    <cellStyle name="20 % - Markeringsfarve1 6 3" xfId="928"/>
    <cellStyle name="20 % - Markeringsfarve1 7" xfId="463"/>
    <cellStyle name="20 % - Markeringsfarve1 8" xfId="710"/>
    <cellStyle name="20 % - Markeringsfarve2" xfId="24" builtinId="34" customBuiltin="1"/>
    <cellStyle name="20 % - Markeringsfarve2 2" xfId="54"/>
    <cellStyle name="20 % - Markeringsfarve2 2 2" xfId="79"/>
    <cellStyle name="20 % - Markeringsfarve2 2 2 2" xfId="147"/>
    <cellStyle name="20 % - Markeringsfarve2 2 2 2 2" xfId="522"/>
    <cellStyle name="20 % - Markeringsfarve2 2 2 2 3" xfId="796"/>
    <cellStyle name="20 % - Markeringsfarve2 2 2 3" xfId="202"/>
    <cellStyle name="20 % - Markeringsfarve2 2 2 3 2" xfId="576"/>
    <cellStyle name="20 % - Markeringsfarve2 2 2 3 3" xfId="850"/>
    <cellStyle name="20 % - Markeringsfarve2 2 2 4" xfId="257"/>
    <cellStyle name="20 % - Markeringsfarve2 2 2 4 2" xfId="631"/>
    <cellStyle name="20 % - Markeringsfarve2 2 2 4 3" xfId="905"/>
    <cellStyle name="20 % - Markeringsfarve2 2 2 5" xfId="313"/>
    <cellStyle name="20 % - Markeringsfarve2 2 2 5 2" xfId="687"/>
    <cellStyle name="20 % - Markeringsfarve2 2 2 5 3" xfId="961"/>
    <cellStyle name="20 % - Markeringsfarve2 2 2 6" xfId="444"/>
    <cellStyle name="20 % - Markeringsfarve2 2 2 7" xfId="742"/>
    <cellStyle name="20 % - Markeringsfarve2 2 3" xfId="130"/>
    <cellStyle name="20 % - Markeringsfarve2 2 3 2" xfId="505"/>
    <cellStyle name="20 % - Markeringsfarve2 2 3 3" xfId="779"/>
    <cellStyle name="20 % - Markeringsfarve2 2 4" xfId="184"/>
    <cellStyle name="20 % - Markeringsfarve2 2 4 2" xfId="558"/>
    <cellStyle name="20 % - Markeringsfarve2 2 4 3" xfId="832"/>
    <cellStyle name="20 % - Markeringsfarve2 2 5" xfId="238"/>
    <cellStyle name="20 % - Markeringsfarve2 2 5 2" xfId="612"/>
    <cellStyle name="20 % - Markeringsfarve2 2 5 3" xfId="886"/>
    <cellStyle name="20 % - Markeringsfarve2 2 6" xfId="294"/>
    <cellStyle name="20 % - Markeringsfarve2 2 6 2" xfId="668"/>
    <cellStyle name="20 % - Markeringsfarve2 2 6 3" xfId="942"/>
    <cellStyle name="20 % - Markeringsfarve2 2 7" xfId="470"/>
    <cellStyle name="20 % - Markeringsfarve2 2 8" xfId="724"/>
    <cellStyle name="20 % - Markeringsfarve2 3" xfId="118"/>
    <cellStyle name="20 % - Markeringsfarve2 3 2" xfId="493"/>
    <cellStyle name="20 % - Markeringsfarve2 3 3" xfId="767"/>
    <cellStyle name="20 % - Markeringsfarve2 4" xfId="171"/>
    <cellStyle name="20 % - Markeringsfarve2 4 2" xfId="546"/>
    <cellStyle name="20 % - Markeringsfarve2 4 3" xfId="820"/>
    <cellStyle name="20 % - Markeringsfarve2 5" xfId="227"/>
    <cellStyle name="20 % - Markeringsfarve2 5 2" xfId="601"/>
    <cellStyle name="20 % - Markeringsfarve2 5 3" xfId="875"/>
    <cellStyle name="20 % - Markeringsfarve2 6" xfId="282"/>
    <cellStyle name="20 % - Markeringsfarve2 6 2" xfId="656"/>
    <cellStyle name="20 % - Markeringsfarve2 6 3" xfId="930"/>
    <cellStyle name="20 % - Markeringsfarve2 7" xfId="446"/>
    <cellStyle name="20 % - Markeringsfarve2 8" xfId="712"/>
    <cellStyle name="20 % - Markeringsfarve3" xfId="28" builtinId="38" customBuiltin="1"/>
    <cellStyle name="20 % - Markeringsfarve3 2" xfId="55"/>
    <cellStyle name="20 % - Markeringsfarve3 2 2" xfId="80"/>
    <cellStyle name="20 % - Markeringsfarve3 2 2 2" xfId="148"/>
    <cellStyle name="20 % - Markeringsfarve3 2 2 2 2" xfId="523"/>
    <cellStyle name="20 % - Markeringsfarve3 2 2 2 3" xfId="797"/>
    <cellStyle name="20 % - Markeringsfarve3 2 2 3" xfId="203"/>
    <cellStyle name="20 % - Markeringsfarve3 2 2 3 2" xfId="577"/>
    <cellStyle name="20 % - Markeringsfarve3 2 2 3 3" xfId="851"/>
    <cellStyle name="20 % - Markeringsfarve3 2 2 4" xfId="258"/>
    <cellStyle name="20 % - Markeringsfarve3 2 2 4 2" xfId="632"/>
    <cellStyle name="20 % - Markeringsfarve3 2 2 4 3" xfId="906"/>
    <cellStyle name="20 % - Markeringsfarve3 2 2 5" xfId="314"/>
    <cellStyle name="20 % - Markeringsfarve3 2 2 5 2" xfId="688"/>
    <cellStyle name="20 % - Markeringsfarve3 2 2 5 3" xfId="962"/>
    <cellStyle name="20 % - Markeringsfarve3 2 2 6" xfId="472"/>
    <cellStyle name="20 % - Markeringsfarve3 2 2 7" xfId="743"/>
    <cellStyle name="20 % - Markeringsfarve3 2 3" xfId="131"/>
    <cellStyle name="20 % - Markeringsfarve3 2 3 2" xfId="506"/>
    <cellStyle name="20 % - Markeringsfarve3 2 3 3" xfId="780"/>
    <cellStyle name="20 % - Markeringsfarve3 2 4" xfId="185"/>
    <cellStyle name="20 % - Markeringsfarve3 2 4 2" xfId="559"/>
    <cellStyle name="20 % - Markeringsfarve3 2 4 3" xfId="833"/>
    <cellStyle name="20 % - Markeringsfarve3 2 5" xfId="239"/>
    <cellStyle name="20 % - Markeringsfarve3 2 5 2" xfId="613"/>
    <cellStyle name="20 % - Markeringsfarve3 2 5 3" xfId="887"/>
    <cellStyle name="20 % - Markeringsfarve3 2 6" xfId="295"/>
    <cellStyle name="20 % - Markeringsfarve3 2 6 2" xfId="669"/>
    <cellStyle name="20 % - Markeringsfarve3 2 6 3" xfId="943"/>
    <cellStyle name="20 % - Markeringsfarve3 2 7" xfId="462"/>
    <cellStyle name="20 % - Markeringsfarve3 2 8" xfId="725"/>
    <cellStyle name="20 % - Markeringsfarve3 3" xfId="120"/>
    <cellStyle name="20 % - Markeringsfarve3 3 2" xfId="495"/>
    <cellStyle name="20 % - Markeringsfarve3 3 3" xfId="769"/>
    <cellStyle name="20 % - Markeringsfarve3 4" xfId="173"/>
    <cellStyle name="20 % - Markeringsfarve3 4 2" xfId="548"/>
    <cellStyle name="20 % - Markeringsfarve3 4 3" xfId="822"/>
    <cellStyle name="20 % - Markeringsfarve3 5" xfId="229"/>
    <cellStyle name="20 % - Markeringsfarve3 5 2" xfId="603"/>
    <cellStyle name="20 % - Markeringsfarve3 5 3" xfId="877"/>
    <cellStyle name="20 % - Markeringsfarve3 6" xfId="284"/>
    <cellStyle name="20 % - Markeringsfarve3 6 2" xfId="658"/>
    <cellStyle name="20 % - Markeringsfarve3 6 3" xfId="932"/>
    <cellStyle name="20 % - Markeringsfarve3 7" xfId="466"/>
    <cellStyle name="20 % - Markeringsfarve3 8" xfId="714"/>
    <cellStyle name="20 % - Markeringsfarve4" xfId="32" builtinId="42" customBuiltin="1"/>
    <cellStyle name="20 % - Markeringsfarve4 2" xfId="56"/>
    <cellStyle name="20 % - Markeringsfarve4 2 2" xfId="81"/>
    <cellStyle name="20 % - Markeringsfarve4 2 2 2" xfId="149"/>
    <cellStyle name="20 % - Markeringsfarve4 2 2 2 2" xfId="524"/>
    <cellStyle name="20 % - Markeringsfarve4 2 2 2 3" xfId="798"/>
    <cellStyle name="20 % - Markeringsfarve4 2 2 3" xfId="204"/>
    <cellStyle name="20 % - Markeringsfarve4 2 2 3 2" xfId="578"/>
    <cellStyle name="20 % - Markeringsfarve4 2 2 3 3" xfId="852"/>
    <cellStyle name="20 % - Markeringsfarve4 2 2 4" xfId="259"/>
    <cellStyle name="20 % - Markeringsfarve4 2 2 4 2" xfId="633"/>
    <cellStyle name="20 % - Markeringsfarve4 2 2 4 3" xfId="907"/>
    <cellStyle name="20 % - Markeringsfarve4 2 2 5" xfId="315"/>
    <cellStyle name="20 % - Markeringsfarve4 2 2 5 2" xfId="689"/>
    <cellStyle name="20 % - Markeringsfarve4 2 2 5 3" xfId="963"/>
    <cellStyle name="20 % - Markeringsfarve4 2 2 6" xfId="464"/>
    <cellStyle name="20 % - Markeringsfarve4 2 2 7" xfId="744"/>
    <cellStyle name="20 % - Markeringsfarve4 2 3" xfId="132"/>
    <cellStyle name="20 % - Markeringsfarve4 2 3 2" xfId="507"/>
    <cellStyle name="20 % - Markeringsfarve4 2 3 3" xfId="781"/>
    <cellStyle name="20 % - Markeringsfarve4 2 4" xfId="186"/>
    <cellStyle name="20 % - Markeringsfarve4 2 4 2" xfId="560"/>
    <cellStyle name="20 % - Markeringsfarve4 2 4 3" xfId="834"/>
    <cellStyle name="20 % - Markeringsfarve4 2 5" xfId="240"/>
    <cellStyle name="20 % - Markeringsfarve4 2 5 2" xfId="614"/>
    <cellStyle name="20 % - Markeringsfarve4 2 5 3" xfId="888"/>
    <cellStyle name="20 % - Markeringsfarve4 2 6" xfId="296"/>
    <cellStyle name="20 % - Markeringsfarve4 2 6 2" xfId="670"/>
    <cellStyle name="20 % - Markeringsfarve4 2 6 3" xfId="944"/>
    <cellStyle name="20 % - Markeringsfarve4 2 7" xfId="454"/>
    <cellStyle name="20 % - Markeringsfarve4 2 8" xfId="726"/>
    <cellStyle name="20 % - Markeringsfarve4 3" xfId="122"/>
    <cellStyle name="20 % - Markeringsfarve4 3 2" xfId="497"/>
    <cellStyle name="20 % - Markeringsfarve4 3 3" xfId="771"/>
    <cellStyle name="20 % - Markeringsfarve4 4" xfId="175"/>
    <cellStyle name="20 % - Markeringsfarve4 4 2" xfId="550"/>
    <cellStyle name="20 % - Markeringsfarve4 4 3" xfId="824"/>
    <cellStyle name="20 % - Markeringsfarve4 5" xfId="231"/>
    <cellStyle name="20 % - Markeringsfarve4 5 2" xfId="605"/>
    <cellStyle name="20 % - Markeringsfarve4 5 3" xfId="879"/>
    <cellStyle name="20 % - Markeringsfarve4 6" xfId="286"/>
    <cellStyle name="20 % - Markeringsfarve4 6 2" xfId="660"/>
    <cellStyle name="20 % - Markeringsfarve4 6 3" xfId="934"/>
    <cellStyle name="20 % - Markeringsfarve4 7" xfId="449"/>
    <cellStyle name="20 % - Markeringsfarve4 8" xfId="716"/>
    <cellStyle name="20 % - Markeringsfarve5" xfId="36" builtinId="46" customBuiltin="1"/>
    <cellStyle name="20 % - Markeringsfarve5 2" xfId="74"/>
    <cellStyle name="20 % - Markeringsfarve5 2 2" xfId="142"/>
    <cellStyle name="20 % - Markeringsfarve5 2 2 2" xfId="517"/>
    <cellStyle name="20 % - Markeringsfarve5 2 2 3" xfId="791"/>
    <cellStyle name="20 % - Markeringsfarve5 2 3" xfId="197"/>
    <cellStyle name="20 % - Markeringsfarve5 2 3 2" xfId="571"/>
    <cellStyle name="20 % - Markeringsfarve5 2 3 3" xfId="845"/>
    <cellStyle name="20 % - Markeringsfarve5 2 4" xfId="252"/>
    <cellStyle name="20 % - Markeringsfarve5 2 4 2" xfId="626"/>
    <cellStyle name="20 % - Markeringsfarve5 2 4 3" xfId="900"/>
    <cellStyle name="20 % - Markeringsfarve5 2 5" xfId="308"/>
    <cellStyle name="20 % - Markeringsfarve5 2 5 2" xfId="682"/>
    <cellStyle name="20 % - Markeringsfarve5 2 5 3" xfId="956"/>
    <cellStyle name="20 % - Markeringsfarve5 2 6" xfId="450"/>
    <cellStyle name="20 % - Markeringsfarve5 2 7" xfId="737"/>
    <cellStyle name="20 % - Markeringsfarve5 3" xfId="101"/>
    <cellStyle name="20 % - Markeringsfarve5 3 2" xfId="161"/>
    <cellStyle name="20 % - Markeringsfarve5 3 2 2" xfId="536"/>
    <cellStyle name="20 % - Markeringsfarve5 3 2 3" xfId="810"/>
    <cellStyle name="20 % - Markeringsfarve5 3 3" xfId="216"/>
    <cellStyle name="20 % - Markeringsfarve5 3 3 2" xfId="590"/>
    <cellStyle name="20 % - Markeringsfarve5 3 3 3" xfId="864"/>
    <cellStyle name="20 % - Markeringsfarve5 3 4" xfId="271"/>
    <cellStyle name="20 % - Markeringsfarve5 3 4 2" xfId="645"/>
    <cellStyle name="20 % - Markeringsfarve5 3 4 3" xfId="919"/>
    <cellStyle name="20 % - Markeringsfarve5 3 5" xfId="327"/>
    <cellStyle name="20 % - Markeringsfarve5 3 5 2" xfId="701"/>
    <cellStyle name="20 % - Markeringsfarve5 3 5 3" xfId="975"/>
    <cellStyle name="20 % - Markeringsfarve5 3 6" xfId="482"/>
    <cellStyle name="20 % - Markeringsfarve5 3 7" xfId="756"/>
    <cellStyle name="20 % - Markeringsfarve5 4" xfId="124"/>
    <cellStyle name="20 % - Markeringsfarve5 4 2" xfId="499"/>
    <cellStyle name="20 % - Markeringsfarve5 4 3" xfId="773"/>
    <cellStyle name="20 % - Markeringsfarve5 5" xfId="177"/>
    <cellStyle name="20 % - Markeringsfarve5 5 2" xfId="552"/>
    <cellStyle name="20 % - Markeringsfarve5 5 3" xfId="826"/>
    <cellStyle name="20 % - Markeringsfarve5 6" xfId="233"/>
    <cellStyle name="20 % - Markeringsfarve5 6 2" xfId="607"/>
    <cellStyle name="20 % - Markeringsfarve5 6 3" xfId="881"/>
    <cellStyle name="20 % - Markeringsfarve5 7" xfId="288"/>
    <cellStyle name="20 % - Markeringsfarve5 7 2" xfId="662"/>
    <cellStyle name="20 % - Markeringsfarve5 7 3" xfId="936"/>
    <cellStyle name="20 % - Markeringsfarve5 8" xfId="437"/>
    <cellStyle name="20 % - Markeringsfarve5 9" xfId="718"/>
    <cellStyle name="20 % - Markeringsfarve6" xfId="40" builtinId="50" customBuiltin="1"/>
    <cellStyle name="20 % - Markeringsfarve6 2" xfId="76"/>
    <cellStyle name="20 % - Markeringsfarve6 2 2" xfId="144"/>
    <cellStyle name="20 % - Markeringsfarve6 2 2 2" xfId="519"/>
    <cellStyle name="20 % - Markeringsfarve6 2 2 3" xfId="793"/>
    <cellStyle name="20 % - Markeringsfarve6 2 3" xfId="199"/>
    <cellStyle name="20 % - Markeringsfarve6 2 3 2" xfId="573"/>
    <cellStyle name="20 % - Markeringsfarve6 2 3 3" xfId="847"/>
    <cellStyle name="20 % - Markeringsfarve6 2 4" xfId="254"/>
    <cellStyle name="20 % - Markeringsfarve6 2 4 2" xfId="628"/>
    <cellStyle name="20 % - Markeringsfarve6 2 4 3" xfId="902"/>
    <cellStyle name="20 % - Markeringsfarve6 2 5" xfId="310"/>
    <cellStyle name="20 % - Markeringsfarve6 2 5 2" xfId="684"/>
    <cellStyle name="20 % - Markeringsfarve6 2 5 3" xfId="958"/>
    <cellStyle name="20 % - Markeringsfarve6 2 6" xfId="469"/>
    <cellStyle name="20 % - Markeringsfarve6 2 7" xfId="739"/>
    <cellStyle name="20 % - Markeringsfarve6 3" xfId="103"/>
    <cellStyle name="20 % - Markeringsfarve6 3 2" xfId="163"/>
    <cellStyle name="20 % - Markeringsfarve6 3 2 2" xfId="538"/>
    <cellStyle name="20 % - Markeringsfarve6 3 2 3" xfId="812"/>
    <cellStyle name="20 % - Markeringsfarve6 3 3" xfId="218"/>
    <cellStyle name="20 % - Markeringsfarve6 3 3 2" xfId="592"/>
    <cellStyle name="20 % - Markeringsfarve6 3 3 3" xfId="866"/>
    <cellStyle name="20 % - Markeringsfarve6 3 4" xfId="273"/>
    <cellStyle name="20 % - Markeringsfarve6 3 4 2" xfId="647"/>
    <cellStyle name="20 % - Markeringsfarve6 3 4 3" xfId="921"/>
    <cellStyle name="20 % - Markeringsfarve6 3 5" xfId="329"/>
    <cellStyle name="20 % - Markeringsfarve6 3 5 2" xfId="703"/>
    <cellStyle name="20 % - Markeringsfarve6 3 5 3" xfId="977"/>
    <cellStyle name="20 % - Markeringsfarve6 3 6" xfId="484"/>
    <cellStyle name="20 % - Markeringsfarve6 3 7" xfId="758"/>
    <cellStyle name="20 % - Markeringsfarve6 4" xfId="126"/>
    <cellStyle name="20 % - Markeringsfarve6 4 2" xfId="501"/>
    <cellStyle name="20 % - Markeringsfarve6 4 3" xfId="775"/>
    <cellStyle name="20 % - Markeringsfarve6 5" xfId="179"/>
    <cellStyle name="20 % - Markeringsfarve6 5 2" xfId="554"/>
    <cellStyle name="20 % - Markeringsfarve6 5 3" xfId="828"/>
    <cellStyle name="20 % - Markeringsfarve6 6" xfId="235"/>
    <cellStyle name="20 % - Markeringsfarve6 6 2" xfId="609"/>
    <cellStyle name="20 % - Markeringsfarve6 6 3" xfId="883"/>
    <cellStyle name="20 % - Markeringsfarve6 7" xfId="290"/>
    <cellStyle name="20 % - Markeringsfarve6 7 2" xfId="664"/>
    <cellStyle name="20 % - Markeringsfarve6 7 3" xfId="938"/>
    <cellStyle name="20 % - Markeringsfarve6 8" xfId="468"/>
    <cellStyle name="20 % - Markeringsfarve6 9" xfId="720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40 % - Markeringsfarve1" xfId="21" builtinId="31" customBuiltin="1"/>
    <cellStyle name="40 % - Markeringsfarve1 2" xfId="71"/>
    <cellStyle name="40 % - Markeringsfarve1 2 2" xfId="139"/>
    <cellStyle name="40 % - Markeringsfarve1 2 2 2" xfId="514"/>
    <cellStyle name="40 % - Markeringsfarve1 2 2 3" xfId="788"/>
    <cellStyle name="40 % - Markeringsfarve1 2 3" xfId="194"/>
    <cellStyle name="40 % - Markeringsfarve1 2 3 2" xfId="568"/>
    <cellStyle name="40 % - Markeringsfarve1 2 3 3" xfId="842"/>
    <cellStyle name="40 % - Markeringsfarve1 2 4" xfId="249"/>
    <cellStyle name="40 % - Markeringsfarve1 2 4 2" xfId="623"/>
    <cellStyle name="40 % - Markeringsfarve1 2 4 3" xfId="897"/>
    <cellStyle name="40 % - Markeringsfarve1 2 5" xfId="305"/>
    <cellStyle name="40 % - Markeringsfarve1 2 5 2" xfId="679"/>
    <cellStyle name="40 % - Markeringsfarve1 2 5 3" xfId="953"/>
    <cellStyle name="40 % - Markeringsfarve1 2 6" xfId="433"/>
    <cellStyle name="40 % - Markeringsfarve1 2 7" xfId="734"/>
    <cellStyle name="40 % - Markeringsfarve1 3" xfId="98"/>
    <cellStyle name="40 % - Markeringsfarve1 3 2" xfId="158"/>
    <cellStyle name="40 % - Markeringsfarve1 3 2 2" xfId="533"/>
    <cellStyle name="40 % - Markeringsfarve1 3 2 3" xfId="807"/>
    <cellStyle name="40 % - Markeringsfarve1 3 3" xfId="213"/>
    <cellStyle name="40 % - Markeringsfarve1 3 3 2" xfId="587"/>
    <cellStyle name="40 % - Markeringsfarve1 3 3 3" xfId="861"/>
    <cellStyle name="40 % - Markeringsfarve1 3 4" xfId="268"/>
    <cellStyle name="40 % - Markeringsfarve1 3 4 2" xfId="642"/>
    <cellStyle name="40 % - Markeringsfarve1 3 4 3" xfId="916"/>
    <cellStyle name="40 % - Markeringsfarve1 3 5" xfId="324"/>
    <cellStyle name="40 % - Markeringsfarve1 3 5 2" xfId="698"/>
    <cellStyle name="40 % - Markeringsfarve1 3 5 3" xfId="972"/>
    <cellStyle name="40 % - Markeringsfarve1 3 6" xfId="479"/>
    <cellStyle name="40 % - Markeringsfarve1 3 7" xfId="753"/>
    <cellStyle name="40 % - Markeringsfarve1 4" xfId="117"/>
    <cellStyle name="40 % - Markeringsfarve1 4 2" xfId="492"/>
    <cellStyle name="40 % - Markeringsfarve1 4 3" xfId="766"/>
    <cellStyle name="40 % - Markeringsfarve1 5" xfId="170"/>
    <cellStyle name="40 % - Markeringsfarve1 5 2" xfId="545"/>
    <cellStyle name="40 % - Markeringsfarve1 5 3" xfId="819"/>
    <cellStyle name="40 % - Markeringsfarve1 6" xfId="226"/>
    <cellStyle name="40 % - Markeringsfarve1 6 2" xfId="600"/>
    <cellStyle name="40 % - Markeringsfarve1 6 3" xfId="874"/>
    <cellStyle name="40 % - Markeringsfarve1 7" xfId="281"/>
    <cellStyle name="40 % - Markeringsfarve1 7 2" xfId="655"/>
    <cellStyle name="40 % - Markeringsfarve1 7 3" xfId="929"/>
    <cellStyle name="40 % - Markeringsfarve1 8" xfId="455"/>
    <cellStyle name="40 % - Markeringsfarve1 9" xfId="711"/>
    <cellStyle name="40 % - Markeringsfarve2" xfId="25" builtinId="35" customBuiltin="1"/>
    <cellStyle name="40 % - Markeringsfarve2 2" xfId="72"/>
    <cellStyle name="40 % - Markeringsfarve2 2 2" xfId="140"/>
    <cellStyle name="40 % - Markeringsfarve2 2 2 2" xfId="515"/>
    <cellStyle name="40 % - Markeringsfarve2 2 2 3" xfId="789"/>
    <cellStyle name="40 % - Markeringsfarve2 2 3" xfId="195"/>
    <cellStyle name="40 % - Markeringsfarve2 2 3 2" xfId="569"/>
    <cellStyle name="40 % - Markeringsfarve2 2 3 3" xfId="843"/>
    <cellStyle name="40 % - Markeringsfarve2 2 4" xfId="250"/>
    <cellStyle name="40 % - Markeringsfarve2 2 4 2" xfId="624"/>
    <cellStyle name="40 % - Markeringsfarve2 2 4 3" xfId="898"/>
    <cellStyle name="40 % - Markeringsfarve2 2 5" xfId="306"/>
    <cellStyle name="40 % - Markeringsfarve2 2 5 2" xfId="680"/>
    <cellStyle name="40 % - Markeringsfarve2 2 5 3" xfId="954"/>
    <cellStyle name="40 % - Markeringsfarve2 2 6" xfId="467"/>
    <cellStyle name="40 % - Markeringsfarve2 2 7" xfId="735"/>
    <cellStyle name="40 % - Markeringsfarve2 3" xfId="99"/>
    <cellStyle name="40 % - Markeringsfarve2 3 2" xfId="159"/>
    <cellStyle name="40 % - Markeringsfarve2 3 2 2" xfId="534"/>
    <cellStyle name="40 % - Markeringsfarve2 3 2 3" xfId="808"/>
    <cellStyle name="40 % - Markeringsfarve2 3 3" xfId="214"/>
    <cellStyle name="40 % - Markeringsfarve2 3 3 2" xfId="588"/>
    <cellStyle name="40 % - Markeringsfarve2 3 3 3" xfId="862"/>
    <cellStyle name="40 % - Markeringsfarve2 3 4" xfId="269"/>
    <cellStyle name="40 % - Markeringsfarve2 3 4 2" xfId="643"/>
    <cellStyle name="40 % - Markeringsfarve2 3 4 3" xfId="917"/>
    <cellStyle name="40 % - Markeringsfarve2 3 5" xfId="325"/>
    <cellStyle name="40 % - Markeringsfarve2 3 5 2" xfId="699"/>
    <cellStyle name="40 % - Markeringsfarve2 3 5 3" xfId="973"/>
    <cellStyle name="40 % - Markeringsfarve2 3 6" xfId="480"/>
    <cellStyle name="40 % - Markeringsfarve2 3 7" xfId="754"/>
    <cellStyle name="40 % - Markeringsfarve2 4" xfId="119"/>
    <cellStyle name="40 % - Markeringsfarve2 4 2" xfId="494"/>
    <cellStyle name="40 % - Markeringsfarve2 4 3" xfId="768"/>
    <cellStyle name="40 % - Markeringsfarve2 5" xfId="172"/>
    <cellStyle name="40 % - Markeringsfarve2 5 2" xfId="547"/>
    <cellStyle name="40 % - Markeringsfarve2 5 3" xfId="821"/>
    <cellStyle name="40 % - Markeringsfarve2 6" xfId="228"/>
    <cellStyle name="40 % - Markeringsfarve2 6 2" xfId="602"/>
    <cellStyle name="40 % - Markeringsfarve2 6 3" xfId="876"/>
    <cellStyle name="40 % - Markeringsfarve2 7" xfId="283"/>
    <cellStyle name="40 % - Markeringsfarve2 7 2" xfId="657"/>
    <cellStyle name="40 % - Markeringsfarve2 7 3" xfId="931"/>
    <cellStyle name="40 % - Markeringsfarve2 8" xfId="474"/>
    <cellStyle name="40 % - Markeringsfarve2 9" xfId="713"/>
    <cellStyle name="40 % - Markeringsfarve3" xfId="29" builtinId="39" customBuiltin="1"/>
    <cellStyle name="40 % - Markeringsfarve3 2" xfId="57"/>
    <cellStyle name="40 % - Markeringsfarve3 2 2" xfId="82"/>
    <cellStyle name="40 % - Markeringsfarve3 2 2 2" xfId="150"/>
    <cellStyle name="40 % - Markeringsfarve3 2 2 2 2" xfId="525"/>
    <cellStyle name="40 % - Markeringsfarve3 2 2 2 3" xfId="799"/>
    <cellStyle name="40 % - Markeringsfarve3 2 2 3" xfId="205"/>
    <cellStyle name="40 % - Markeringsfarve3 2 2 3 2" xfId="579"/>
    <cellStyle name="40 % - Markeringsfarve3 2 2 3 3" xfId="853"/>
    <cellStyle name="40 % - Markeringsfarve3 2 2 4" xfId="260"/>
    <cellStyle name="40 % - Markeringsfarve3 2 2 4 2" xfId="634"/>
    <cellStyle name="40 % - Markeringsfarve3 2 2 4 3" xfId="908"/>
    <cellStyle name="40 % - Markeringsfarve3 2 2 5" xfId="316"/>
    <cellStyle name="40 % - Markeringsfarve3 2 2 5 2" xfId="690"/>
    <cellStyle name="40 % - Markeringsfarve3 2 2 5 3" xfId="964"/>
    <cellStyle name="40 % - Markeringsfarve3 2 2 6" xfId="456"/>
    <cellStyle name="40 % - Markeringsfarve3 2 2 7" xfId="745"/>
    <cellStyle name="40 % - Markeringsfarve3 2 3" xfId="133"/>
    <cellStyle name="40 % - Markeringsfarve3 2 3 2" xfId="508"/>
    <cellStyle name="40 % - Markeringsfarve3 2 3 3" xfId="782"/>
    <cellStyle name="40 % - Markeringsfarve3 2 4" xfId="187"/>
    <cellStyle name="40 % - Markeringsfarve3 2 4 2" xfId="561"/>
    <cellStyle name="40 % - Markeringsfarve3 2 4 3" xfId="835"/>
    <cellStyle name="40 % - Markeringsfarve3 2 5" xfId="241"/>
    <cellStyle name="40 % - Markeringsfarve3 2 5 2" xfId="615"/>
    <cellStyle name="40 % - Markeringsfarve3 2 5 3" xfId="889"/>
    <cellStyle name="40 % - Markeringsfarve3 2 6" xfId="297"/>
    <cellStyle name="40 % - Markeringsfarve3 2 6 2" xfId="671"/>
    <cellStyle name="40 % - Markeringsfarve3 2 6 3" xfId="945"/>
    <cellStyle name="40 % - Markeringsfarve3 2 7" xfId="445"/>
    <cellStyle name="40 % - Markeringsfarve3 2 8" xfId="727"/>
    <cellStyle name="40 % - Markeringsfarve3 3" xfId="121"/>
    <cellStyle name="40 % - Markeringsfarve3 3 2" xfId="496"/>
    <cellStyle name="40 % - Markeringsfarve3 3 3" xfId="770"/>
    <cellStyle name="40 % - Markeringsfarve3 4" xfId="174"/>
    <cellStyle name="40 % - Markeringsfarve3 4 2" xfId="549"/>
    <cellStyle name="40 % - Markeringsfarve3 4 3" xfId="823"/>
    <cellStyle name="40 % - Markeringsfarve3 5" xfId="230"/>
    <cellStyle name="40 % - Markeringsfarve3 5 2" xfId="604"/>
    <cellStyle name="40 % - Markeringsfarve3 5 3" xfId="878"/>
    <cellStyle name="40 % - Markeringsfarve3 6" xfId="285"/>
    <cellStyle name="40 % - Markeringsfarve3 6 2" xfId="659"/>
    <cellStyle name="40 % - Markeringsfarve3 6 3" xfId="933"/>
    <cellStyle name="40 % - Markeringsfarve3 7" xfId="458"/>
    <cellStyle name="40 % - Markeringsfarve3 8" xfId="715"/>
    <cellStyle name="40 % - Markeringsfarve4" xfId="33" builtinId="43" customBuiltin="1"/>
    <cellStyle name="40 % - Markeringsfarve4 2" xfId="73"/>
    <cellStyle name="40 % - Markeringsfarve4 2 2" xfId="141"/>
    <cellStyle name="40 % - Markeringsfarve4 2 2 2" xfId="516"/>
    <cellStyle name="40 % - Markeringsfarve4 2 2 3" xfId="790"/>
    <cellStyle name="40 % - Markeringsfarve4 2 3" xfId="196"/>
    <cellStyle name="40 % - Markeringsfarve4 2 3 2" xfId="570"/>
    <cellStyle name="40 % - Markeringsfarve4 2 3 3" xfId="844"/>
    <cellStyle name="40 % - Markeringsfarve4 2 4" xfId="251"/>
    <cellStyle name="40 % - Markeringsfarve4 2 4 2" xfId="625"/>
    <cellStyle name="40 % - Markeringsfarve4 2 4 3" xfId="899"/>
    <cellStyle name="40 % - Markeringsfarve4 2 5" xfId="307"/>
    <cellStyle name="40 % - Markeringsfarve4 2 5 2" xfId="681"/>
    <cellStyle name="40 % - Markeringsfarve4 2 5 3" xfId="955"/>
    <cellStyle name="40 % - Markeringsfarve4 2 6" xfId="459"/>
    <cellStyle name="40 % - Markeringsfarve4 2 7" xfId="736"/>
    <cellStyle name="40 % - Markeringsfarve4 3" xfId="100"/>
    <cellStyle name="40 % - Markeringsfarve4 3 2" xfId="160"/>
    <cellStyle name="40 % - Markeringsfarve4 3 2 2" xfId="535"/>
    <cellStyle name="40 % - Markeringsfarve4 3 2 3" xfId="809"/>
    <cellStyle name="40 % - Markeringsfarve4 3 3" xfId="215"/>
    <cellStyle name="40 % - Markeringsfarve4 3 3 2" xfId="589"/>
    <cellStyle name="40 % - Markeringsfarve4 3 3 3" xfId="863"/>
    <cellStyle name="40 % - Markeringsfarve4 3 4" xfId="270"/>
    <cellStyle name="40 % - Markeringsfarve4 3 4 2" xfId="644"/>
    <cellStyle name="40 % - Markeringsfarve4 3 4 3" xfId="918"/>
    <cellStyle name="40 % - Markeringsfarve4 3 5" xfId="326"/>
    <cellStyle name="40 % - Markeringsfarve4 3 5 2" xfId="700"/>
    <cellStyle name="40 % - Markeringsfarve4 3 5 3" xfId="974"/>
    <cellStyle name="40 % - Markeringsfarve4 3 6" xfId="481"/>
    <cellStyle name="40 % - Markeringsfarve4 3 7" xfId="755"/>
    <cellStyle name="40 % - Markeringsfarve4 4" xfId="123"/>
    <cellStyle name="40 % - Markeringsfarve4 4 2" xfId="498"/>
    <cellStyle name="40 % - Markeringsfarve4 4 3" xfId="772"/>
    <cellStyle name="40 % - Markeringsfarve4 5" xfId="176"/>
    <cellStyle name="40 % - Markeringsfarve4 5 2" xfId="551"/>
    <cellStyle name="40 % - Markeringsfarve4 5 3" xfId="825"/>
    <cellStyle name="40 % - Markeringsfarve4 6" xfId="232"/>
    <cellStyle name="40 % - Markeringsfarve4 6 2" xfId="606"/>
    <cellStyle name="40 % - Markeringsfarve4 6 3" xfId="880"/>
    <cellStyle name="40 % - Markeringsfarve4 7" xfId="287"/>
    <cellStyle name="40 % - Markeringsfarve4 7 2" xfId="661"/>
    <cellStyle name="40 % - Markeringsfarve4 7 3" xfId="935"/>
    <cellStyle name="40 % - Markeringsfarve4 8" xfId="440"/>
    <cellStyle name="40 % - Markeringsfarve4 9" xfId="717"/>
    <cellStyle name="40 % - Markeringsfarve5" xfId="37" builtinId="47" customBuiltin="1"/>
    <cellStyle name="40 % - Markeringsfarve5 2" xfId="75"/>
    <cellStyle name="40 % - Markeringsfarve5 2 2" xfId="143"/>
    <cellStyle name="40 % - Markeringsfarve5 2 2 2" xfId="518"/>
    <cellStyle name="40 % - Markeringsfarve5 2 2 3" xfId="792"/>
    <cellStyle name="40 % - Markeringsfarve5 2 3" xfId="198"/>
    <cellStyle name="40 % - Markeringsfarve5 2 3 2" xfId="572"/>
    <cellStyle name="40 % - Markeringsfarve5 2 3 3" xfId="846"/>
    <cellStyle name="40 % - Markeringsfarve5 2 4" xfId="253"/>
    <cellStyle name="40 % - Markeringsfarve5 2 4 2" xfId="627"/>
    <cellStyle name="40 % - Markeringsfarve5 2 4 3" xfId="901"/>
    <cellStyle name="40 % - Markeringsfarve5 2 5" xfId="309"/>
    <cellStyle name="40 % - Markeringsfarve5 2 5 2" xfId="683"/>
    <cellStyle name="40 % - Markeringsfarve5 2 5 3" xfId="957"/>
    <cellStyle name="40 % - Markeringsfarve5 2 6" xfId="441"/>
    <cellStyle name="40 % - Markeringsfarve5 2 7" xfId="738"/>
    <cellStyle name="40 % - Markeringsfarve5 3" xfId="102"/>
    <cellStyle name="40 % - Markeringsfarve5 3 2" xfId="162"/>
    <cellStyle name="40 % - Markeringsfarve5 3 2 2" xfId="537"/>
    <cellStyle name="40 % - Markeringsfarve5 3 2 3" xfId="811"/>
    <cellStyle name="40 % - Markeringsfarve5 3 3" xfId="217"/>
    <cellStyle name="40 % - Markeringsfarve5 3 3 2" xfId="591"/>
    <cellStyle name="40 % - Markeringsfarve5 3 3 3" xfId="865"/>
    <cellStyle name="40 % - Markeringsfarve5 3 4" xfId="272"/>
    <cellStyle name="40 % - Markeringsfarve5 3 4 2" xfId="646"/>
    <cellStyle name="40 % - Markeringsfarve5 3 4 3" xfId="920"/>
    <cellStyle name="40 % - Markeringsfarve5 3 5" xfId="328"/>
    <cellStyle name="40 % - Markeringsfarve5 3 5 2" xfId="702"/>
    <cellStyle name="40 % - Markeringsfarve5 3 5 3" xfId="976"/>
    <cellStyle name="40 % - Markeringsfarve5 3 6" xfId="483"/>
    <cellStyle name="40 % - Markeringsfarve5 3 7" xfId="757"/>
    <cellStyle name="40 % - Markeringsfarve5 4" xfId="125"/>
    <cellStyle name="40 % - Markeringsfarve5 4 2" xfId="500"/>
    <cellStyle name="40 % - Markeringsfarve5 4 3" xfId="774"/>
    <cellStyle name="40 % - Markeringsfarve5 5" xfId="178"/>
    <cellStyle name="40 % - Markeringsfarve5 5 2" xfId="553"/>
    <cellStyle name="40 % - Markeringsfarve5 5 3" xfId="827"/>
    <cellStyle name="40 % - Markeringsfarve5 6" xfId="234"/>
    <cellStyle name="40 % - Markeringsfarve5 6 2" xfId="608"/>
    <cellStyle name="40 % - Markeringsfarve5 6 3" xfId="882"/>
    <cellStyle name="40 % - Markeringsfarve5 7" xfId="289"/>
    <cellStyle name="40 % - Markeringsfarve5 7 2" xfId="663"/>
    <cellStyle name="40 % - Markeringsfarve5 7 3" xfId="937"/>
    <cellStyle name="40 % - Markeringsfarve5 8" xfId="434"/>
    <cellStyle name="40 % - Markeringsfarve5 9" xfId="719"/>
    <cellStyle name="40 % - Markeringsfarve6" xfId="41" builtinId="51" customBuiltin="1"/>
    <cellStyle name="40 % - Markeringsfarve6 2" xfId="77"/>
    <cellStyle name="40 % - Markeringsfarve6 2 2" xfId="145"/>
    <cellStyle name="40 % - Markeringsfarve6 2 2 2" xfId="520"/>
    <cellStyle name="40 % - Markeringsfarve6 2 2 3" xfId="794"/>
    <cellStyle name="40 % - Markeringsfarve6 2 3" xfId="200"/>
    <cellStyle name="40 % - Markeringsfarve6 2 3 2" xfId="574"/>
    <cellStyle name="40 % - Markeringsfarve6 2 3 3" xfId="848"/>
    <cellStyle name="40 % - Markeringsfarve6 2 4" xfId="255"/>
    <cellStyle name="40 % - Markeringsfarve6 2 4 2" xfId="629"/>
    <cellStyle name="40 % - Markeringsfarve6 2 4 3" xfId="903"/>
    <cellStyle name="40 % - Markeringsfarve6 2 5" xfId="311"/>
    <cellStyle name="40 % - Markeringsfarve6 2 5 2" xfId="685"/>
    <cellStyle name="40 % - Markeringsfarve6 2 5 3" xfId="959"/>
    <cellStyle name="40 % - Markeringsfarve6 2 6" xfId="461"/>
    <cellStyle name="40 % - Markeringsfarve6 2 7" xfId="740"/>
    <cellStyle name="40 % - Markeringsfarve6 3" xfId="104"/>
    <cellStyle name="40 % - Markeringsfarve6 3 2" xfId="164"/>
    <cellStyle name="40 % - Markeringsfarve6 3 2 2" xfId="539"/>
    <cellStyle name="40 % - Markeringsfarve6 3 2 3" xfId="813"/>
    <cellStyle name="40 % - Markeringsfarve6 3 3" xfId="219"/>
    <cellStyle name="40 % - Markeringsfarve6 3 3 2" xfId="593"/>
    <cellStyle name="40 % - Markeringsfarve6 3 3 3" xfId="867"/>
    <cellStyle name="40 % - Markeringsfarve6 3 4" xfId="274"/>
    <cellStyle name="40 % - Markeringsfarve6 3 4 2" xfId="648"/>
    <cellStyle name="40 % - Markeringsfarve6 3 4 3" xfId="922"/>
    <cellStyle name="40 % - Markeringsfarve6 3 5" xfId="330"/>
    <cellStyle name="40 % - Markeringsfarve6 3 5 2" xfId="704"/>
    <cellStyle name="40 % - Markeringsfarve6 3 5 3" xfId="978"/>
    <cellStyle name="40 % - Markeringsfarve6 3 6" xfId="485"/>
    <cellStyle name="40 % - Markeringsfarve6 3 7" xfId="759"/>
    <cellStyle name="40 % - Markeringsfarve6 4" xfId="127"/>
    <cellStyle name="40 % - Markeringsfarve6 4 2" xfId="502"/>
    <cellStyle name="40 % - Markeringsfarve6 4 3" xfId="776"/>
    <cellStyle name="40 % - Markeringsfarve6 5" xfId="180"/>
    <cellStyle name="40 % - Markeringsfarve6 5 2" xfId="555"/>
    <cellStyle name="40 % - Markeringsfarve6 5 3" xfId="829"/>
    <cellStyle name="40 % - Markeringsfarve6 6" xfId="236"/>
    <cellStyle name="40 % - Markeringsfarve6 6 2" xfId="610"/>
    <cellStyle name="40 % - Markeringsfarve6 6 3" xfId="884"/>
    <cellStyle name="40 % - Markeringsfarve6 7" xfId="291"/>
    <cellStyle name="40 % - Markeringsfarve6 7 2" xfId="665"/>
    <cellStyle name="40 % - Markeringsfarve6 7 3" xfId="939"/>
    <cellStyle name="40 % - Markeringsfarve6 8" xfId="460"/>
    <cellStyle name="40 % - Markeringsfarve6 9" xfId="721"/>
    <cellStyle name="40% - Accent1" xfId="351"/>
    <cellStyle name="40% - Accent2" xfId="352"/>
    <cellStyle name="40% - Accent3" xfId="353"/>
    <cellStyle name="40% - Accent4" xfId="354"/>
    <cellStyle name="40% - Accent5" xfId="355"/>
    <cellStyle name="40% - Accent6" xfId="356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3 2" xfId="58"/>
    <cellStyle name="60 % - Markeringsfarve4" xfId="34" builtinId="44" customBuiltin="1"/>
    <cellStyle name="60 % - Markeringsfarve4 2" xfId="59"/>
    <cellStyle name="60 % - Markeringsfarve5" xfId="38" builtinId="48" customBuiltin="1"/>
    <cellStyle name="60 % - Markeringsfarve6" xfId="42" builtinId="52" customBuiltin="1"/>
    <cellStyle name="60 % - Markeringsfarve6 2" xfId="60"/>
    <cellStyle name="60% - Accent1" xfId="357"/>
    <cellStyle name="60% - Accent2" xfId="358"/>
    <cellStyle name="60% - Accent3" xfId="359"/>
    <cellStyle name="60% - Accent4" xfId="360"/>
    <cellStyle name="60% - Accent5" xfId="361"/>
    <cellStyle name="60% - Accent6" xfId="362"/>
    <cellStyle name="Accent1" xfId="363"/>
    <cellStyle name="Accent2" xfId="364"/>
    <cellStyle name="Accent3" xfId="365"/>
    <cellStyle name="Accent4" xfId="366"/>
    <cellStyle name="Accent5" xfId="367"/>
    <cellStyle name="Accent6" xfId="368"/>
    <cellStyle name="Advarselstekst" xfId="15" builtinId="11" customBuiltin="1"/>
    <cellStyle name="Bad" xfId="369"/>
    <cellStyle name="Beløb" xfId="333"/>
    <cellStyle name="Beløb (negative)" xfId="334"/>
    <cellStyle name="Beløb 1000" xfId="335"/>
    <cellStyle name="Beløb 1000 (negative)" xfId="336"/>
    <cellStyle name="Bemærk!" xfId="16" builtinId="10" customBuiltin="1"/>
    <cellStyle name="Bemærk! 2" xfId="61"/>
    <cellStyle name="Bemærk! 2 2" xfId="83"/>
    <cellStyle name="Bemærk! 2 2 2" xfId="151"/>
    <cellStyle name="Bemærk! 2 2 2 2" xfId="526"/>
    <cellStyle name="Bemærk! 2 2 2 3" xfId="800"/>
    <cellStyle name="Bemærk! 2 2 3" xfId="206"/>
    <cellStyle name="Bemærk! 2 2 3 2" xfId="580"/>
    <cellStyle name="Bemærk! 2 2 3 3" xfId="854"/>
    <cellStyle name="Bemærk! 2 2 4" xfId="261"/>
    <cellStyle name="Bemærk! 2 2 4 2" xfId="635"/>
    <cellStyle name="Bemærk! 2 2 4 3" xfId="909"/>
    <cellStyle name="Bemærk! 2 2 5" xfId="317"/>
    <cellStyle name="Bemærk! 2 2 5 2" xfId="691"/>
    <cellStyle name="Bemærk! 2 2 5 3" xfId="965"/>
    <cellStyle name="Bemærk! 2 2 6" xfId="447"/>
    <cellStyle name="Bemærk! 2 2 7" xfId="746"/>
    <cellStyle name="Bemærk! 2 3" xfId="134"/>
    <cellStyle name="Bemærk! 2 3 2" xfId="509"/>
    <cellStyle name="Bemærk! 2 3 3" xfId="783"/>
    <cellStyle name="Bemærk! 2 4" xfId="188"/>
    <cellStyle name="Bemærk! 2 4 2" xfId="562"/>
    <cellStyle name="Bemærk! 2 4 3" xfId="836"/>
    <cellStyle name="Bemærk! 2 5" xfId="242"/>
    <cellStyle name="Bemærk! 2 5 2" xfId="616"/>
    <cellStyle name="Bemærk! 2 5 3" xfId="890"/>
    <cellStyle name="Bemærk! 2 6" xfId="298"/>
    <cellStyle name="Bemærk! 2 6 2" xfId="672"/>
    <cellStyle name="Bemærk! 2 6 3" xfId="946"/>
    <cellStyle name="Bemærk! 2 7" xfId="473"/>
    <cellStyle name="Bemærk! 2 8" xfId="728"/>
    <cellStyle name="Bemærk! 3" xfId="97"/>
    <cellStyle name="Bemærk! 3 2" xfId="157"/>
    <cellStyle name="Bemærk! 3 2 2" xfId="532"/>
    <cellStyle name="Bemærk! 3 2 3" xfId="806"/>
    <cellStyle name="Bemærk! 3 3" xfId="212"/>
    <cellStyle name="Bemærk! 3 3 2" xfId="586"/>
    <cellStyle name="Bemærk! 3 3 3" xfId="860"/>
    <cellStyle name="Bemærk! 3 4" xfId="267"/>
    <cellStyle name="Bemærk! 3 4 2" xfId="641"/>
    <cellStyle name="Bemærk! 3 4 3" xfId="915"/>
    <cellStyle name="Bemærk! 3 5" xfId="323"/>
    <cellStyle name="Bemærk! 3 5 2" xfId="697"/>
    <cellStyle name="Bemærk! 3 5 3" xfId="971"/>
    <cellStyle name="Bemærk! 3 6" xfId="478"/>
    <cellStyle name="Bemærk! 3 7" xfId="752"/>
    <cellStyle name="Bemærk! 4" xfId="115"/>
    <cellStyle name="Bemærk! 4 2" xfId="490"/>
    <cellStyle name="Bemærk! 4 3" xfId="764"/>
    <cellStyle name="Bemærk! 5" xfId="168"/>
    <cellStyle name="Bemærk! 5 2" xfId="543"/>
    <cellStyle name="Bemærk! 5 3" xfId="817"/>
    <cellStyle name="Bemærk! 6" xfId="224"/>
    <cellStyle name="Bemærk! 6 2" xfId="598"/>
    <cellStyle name="Bemærk! 6 3" xfId="872"/>
    <cellStyle name="Bemærk! 7" xfId="279"/>
    <cellStyle name="Bemærk! 7 2" xfId="653"/>
    <cellStyle name="Bemærk! 7 3" xfId="927"/>
    <cellStyle name="Bemærk! 8" xfId="471"/>
    <cellStyle name="Bemærk! 9" xfId="709"/>
    <cellStyle name="Beregning" xfId="12" builtinId="22" customBuiltin="1"/>
    <cellStyle name="Calculation" xfId="370"/>
    <cellStyle name="Check Cell" xfId="371"/>
    <cellStyle name="Comma_Vandforsyning_standardpriser_27Okt_final" xfId="372"/>
    <cellStyle name="Decimal" xfId="337"/>
    <cellStyle name="Decimal (negative)" xfId="338"/>
    <cellStyle name="Explanatory Text" xfId="373"/>
    <cellStyle name="Forklarende tekst" xfId="17" builtinId="53" customBuiltin="1"/>
    <cellStyle name="God" xfId="7" builtinId="26" customBuiltin="1"/>
    <cellStyle name="Good" xfId="374"/>
    <cellStyle name="Heading 1" xfId="375"/>
    <cellStyle name="Heading 2" xfId="376"/>
    <cellStyle name="Heading 3" xfId="377"/>
    <cellStyle name="Heading 4" xfId="378"/>
    <cellStyle name="Input" xfId="10" builtinId="20" customBuiltin="1"/>
    <cellStyle name="Input 2" xfId="379"/>
    <cellStyle name="Komma" xfId="414" builtinId="3"/>
    <cellStyle name="Komma 10" xfId="111"/>
    <cellStyle name="Komma 11" xfId="706"/>
    <cellStyle name="Komma 12" xfId="980"/>
    <cellStyle name="Komma 2" xfId="63"/>
    <cellStyle name="Komma 2 2" xfId="85"/>
    <cellStyle name="Komma 2 2 2" xfId="152"/>
    <cellStyle name="Komma 2 2 2 2" xfId="527"/>
    <cellStyle name="Komma 2 2 2 3" xfId="801"/>
    <cellStyle name="Komma 2 2 3" xfId="207"/>
    <cellStyle name="Komma 2 2 3 2" xfId="581"/>
    <cellStyle name="Komma 2 2 3 3" xfId="855"/>
    <cellStyle name="Komma 2 2 4" xfId="262"/>
    <cellStyle name="Komma 2 2 4 2" xfId="636"/>
    <cellStyle name="Komma 2 2 4 3" xfId="910"/>
    <cellStyle name="Komma 2 2 5" xfId="318"/>
    <cellStyle name="Komma 2 2 5 2" xfId="692"/>
    <cellStyle name="Komma 2 2 5 3" xfId="966"/>
    <cellStyle name="Komma 2 2 6" xfId="438"/>
    <cellStyle name="Komma 2 2 7" xfId="747"/>
    <cellStyle name="Komma 2 3" xfId="135"/>
    <cellStyle name="Komma 2 3 2" xfId="380"/>
    <cellStyle name="Komma 2 3 3" xfId="428"/>
    <cellStyle name="Komma 2 3 3 2" xfId="984"/>
    <cellStyle name="Komma 2 3 4" xfId="510"/>
    <cellStyle name="Komma 2 3 5" xfId="784"/>
    <cellStyle name="Komma 2 4" xfId="189"/>
    <cellStyle name="Komma 2 4 2" xfId="563"/>
    <cellStyle name="Komma 2 4 3" xfId="837"/>
    <cellStyle name="Komma 2 5" xfId="243"/>
    <cellStyle name="Komma 2 5 2" xfId="617"/>
    <cellStyle name="Komma 2 5 3" xfId="891"/>
    <cellStyle name="Komma 2 6" xfId="299"/>
    <cellStyle name="Komma 2 6 2" xfId="673"/>
    <cellStyle name="Komma 2 6 3" xfId="947"/>
    <cellStyle name="Komma 2 7" xfId="424"/>
    <cellStyle name="Komma 2 7 2" xfId="430"/>
    <cellStyle name="Komma 2 8" xfId="465"/>
    <cellStyle name="Komma 2 9" xfId="729"/>
    <cellStyle name="Komma 2_Ark1" xfId="992"/>
    <cellStyle name="Komma 3" xfId="84"/>
    <cellStyle name="Komma 3 2" xfId="381"/>
    <cellStyle name="Komma 3 3" xfId="403"/>
    <cellStyle name="Komma 4" xfId="68"/>
    <cellStyle name="Komma 4 2" xfId="137"/>
    <cellStyle name="Komma 4 2 2" xfId="344"/>
    <cellStyle name="Komma 4 2 3" xfId="429"/>
    <cellStyle name="Komma 4 2 3 2" xfId="985"/>
    <cellStyle name="Komma 4 2 4" xfId="512"/>
    <cellStyle name="Komma 4 2 5" xfId="786"/>
    <cellStyle name="Komma 4 2_Ark1" xfId="993"/>
    <cellStyle name="Komma 4 3" xfId="192"/>
    <cellStyle name="Komma 4 3 2" xfId="566"/>
    <cellStyle name="Komma 4 3 3" xfId="840"/>
    <cellStyle name="Komma 4 3_Ark1" xfId="996"/>
    <cellStyle name="Komma 4 4" xfId="247"/>
    <cellStyle name="Komma 4 4 2" xfId="621"/>
    <cellStyle name="Komma 4 4 3" xfId="895"/>
    <cellStyle name="Komma 4 5" xfId="303"/>
    <cellStyle name="Komma 4 5 2" xfId="677"/>
    <cellStyle name="Komma 4 5 3" xfId="951"/>
    <cellStyle name="Komma 4 6" xfId="439"/>
    <cellStyle name="Komma 4 7" xfId="732"/>
    <cellStyle name="Komma 4_Ark1" xfId="994"/>
    <cellStyle name="Komma 5" xfId="96"/>
    <cellStyle name="Komma 5 2" xfId="156"/>
    <cellStyle name="Komma 5 2 2" xfId="531"/>
    <cellStyle name="Komma 5 2 3" xfId="805"/>
    <cellStyle name="Komma 5 3" xfId="211"/>
    <cellStyle name="Komma 5 3 2" xfId="585"/>
    <cellStyle name="Komma 5 3 3" xfId="859"/>
    <cellStyle name="Komma 5 4" xfId="266"/>
    <cellStyle name="Komma 5 4 2" xfId="640"/>
    <cellStyle name="Komma 5 4 3" xfId="914"/>
    <cellStyle name="Komma 5 5" xfId="322"/>
    <cellStyle name="Komma 5 5 2" xfId="696"/>
    <cellStyle name="Komma 5 5 3" xfId="970"/>
    <cellStyle name="Komma 5 6" xfId="421"/>
    <cellStyle name="Komma 5 6 2" xfId="982"/>
    <cellStyle name="Komma 5 7" xfId="416"/>
    <cellStyle name="Komma 5 8" xfId="477"/>
    <cellStyle name="Komma 5 9" xfId="751"/>
    <cellStyle name="Komma 5_Ark1" xfId="419"/>
    <cellStyle name="Komma 6" xfId="62"/>
    <cellStyle name="Komma 6 2" xfId="399"/>
    <cellStyle name="Komma 7" xfId="114"/>
    <cellStyle name="Komma 7 2" xfId="489"/>
    <cellStyle name="Komma 7 3" xfId="763"/>
    <cellStyle name="Komma 8" xfId="276"/>
    <cellStyle name="Komma 8 2" xfId="650"/>
    <cellStyle name="Komma 8 3" xfId="924"/>
    <cellStyle name="Komma 9" xfId="278"/>
    <cellStyle name="Komma 9 2" xfId="652"/>
    <cellStyle name="Komma 9 3" xfId="926"/>
    <cellStyle name="Kontroller celle" xfId="14" builtinId="23" customBuiltin="1"/>
    <cellStyle name="Linked Cell" xfId="382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383"/>
    <cellStyle name="Normal" xfId="0" builtinId="0"/>
    <cellStyle name="Normal 10" xfId="222"/>
    <cellStyle name="Normal 10 2" xfId="596"/>
    <cellStyle name="Normal 10 3" xfId="870"/>
    <cellStyle name="Normal 11" xfId="277"/>
    <cellStyle name="Normal 11 2" xfId="651"/>
    <cellStyle name="Normal 11 3" xfId="925"/>
    <cellStyle name="Normal 12" xfId="110"/>
    <cellStyle name="Normal 12 2" xfId="423"/>
    <cellStyle name="Normal 13" xfId="431"/>
    <cellStyle name="Normal 13 2" xfId="475"/>
    <cellStyle name="Normal 13 3" xfId="986"/>
    <cellStyle name="Normal 13 3 2" xfId="991"/>
    <cellStyle name="Normal 13 3 3" xfId="989"/>
    <cellStyle name="Normal 13 3 4" xfId="988"/>
    <cellStyle name="Normal 13 3 5" xfId="987"/>
    <cellStyle name="Normal 13 3_Potentialer og krav" xfId="990"/>
    <cellStyle name="Normal 13_Bilag med pot og krav" xfId="997"/>
    <cellStyle name="Normal 14" xfId="452"/>
    <cellStyle name="Normal 15" xfId="707"/>
    <cellStyle name="Normal 2" xfId="43"/>
    <cellStyle name="Normal 2 2" xfId="44"/>
    <cellStyle name="Normal 2 2 2" xfId="87"/>
    <cellStyle name="Normal 2 2 2 2" xfId="405"/>
    <cellStyle name="Normal 2 2 3" xfId="392"/>
    <cellStyle name="Normal 2 3" xfId="50"/>
    <cellStyle name="Normal 2 3 2" xfId="86"/>
    <cellStyle name="Normal 2 3 2 2" xfId="404"/>
    <cellStyle name="Normal 2 3 3" xfId="182"/>
    <cellStyle name="Normal 2 3 4" xfId="425"/>
    <cellStyle name="Normal 2 3_Ark1" xfId="998"/>
    <cellStyle name="Normal 2 4" xfId="107"/>
    <cellStyle name="Normal 2 4 2" xfId="390"/>
    <cellStyle name="Normal 2 4 3" xfId="411"/>
    <cellStyle name="Normal 2 4 4" xfId="426"/>
    <cellStyle name="Normal 2 5" xfId="391"/>
    <cellStyle name="Normal 3" xfId="1"/>
    <cellStyle name="Normal 3 2" xfId="46"/>
    <cellStyle name="Normal 3 2 2" xfId="89"/>
    <cellStyle name="Normal 3 2 2 2" xfId="406"/>
    <cellStyle name="Normal 3 2 3" xfId="394"/>
    <cellStyle name="Normal 3 3" xfId="45"/>
    <cellStyle name="Normal 3 3 2" xfId="90"/>
    <cellStyle name="Normal 3 3 2 2" xfId="407"/>
    <cellStyle name="Normal 3 3 3" xfId="393"/>
    <cellStyle name="Normal 3 4" xfId="88"/>
    <cellStyle name="Normal 3 4 2" xfId="153"/>
    <cellStyle name="Normal 3 4 2 2" xfId="528"/>
    <cellStyle name="Normal 3 4 2 3" xfId="802"/>
    <cellStyle name="Normal 3 4 3" xfId="208"/>
    <cellStyle name="Normal 3 4 3 2" xfId="582"/>
    <cellStyle name="Normal 3 4 3 3" xfId="856"/>
    <cellStyle name="Normal 3 4 4" xfId="263"/>
    <cellStyle name="Normal 3 4 4 2" xfId="637"/>
    <cellStyle name="Normal 3 4 4 3" xfId="911"/>
    <cellStyle name="Normal 3 4 5" xfId="319"/>
    <cellStyle name="Normal 3 4 5 2" xfId="693"/>
    <cellStyle name="Normal 3 4 5 3" xfId="967"/>
    <cellStyle name="Normal 3 4 6" xfId="435"/>
    <cellStyle name="Normal 3 4 7" xfId="748"/>
    <cellStyle name="Normal 3 5" xfId="106"/>
    <cellStyle name="Normal 3 5 2" xfId="221"/>
    <cellStyle name="Normal 3 5 2 2" xfId="595"/>
    <cellStyle name="Normal 3 5 2 3" xfId="869"/>
    <cellStyle name="Normal 3 5 3" xfId="244"/>
    <cellStyle name="Normal 3 5 3 2" xfId="618"/>
    <cellStyle name="Normal 3 5 3 3" xfId="892"/>
    <cellStyle name="Normal 3 5 4" xfId="300"/>
    <cellStyle name="Normal 3 5 4 2" xfId="674"/>
    <cellStyle name="Normal 3 5 4 3" xfId="948"/>
    <cellStyle name="Normal 3 5 5" xfId="487"/>
    <cellStyle name="Normal 3 5 6" xfId="761"/>
    <cellStyle name="Normal 3 6" xfId="167"/>
    <cellStyle name="Normal 3 6 2" xfId="542"/>
    <cellStyle name="Normal 3 6 3" xfId="816"/>
    <cellStyle name="Normal 3 7" xfId="443"/>
    <cellStyle name="Normal 3 8" xfId="708"/>
    <cellStyle name="Normal 4" xfId="51"/>
    <cellStyle name="Normal 4 2" xfId="70"/>
    <cellStyle name="Normal 4 2 2" xfId="402"/>
    <cellStyle name="Normal 4 3" xfId="108"/>
    <cellStyle name="Normal 4 3 2" xfId="332"/>
    <cellStyle name="Normal 4 3 3" xfId="412"/>
    <cellStyle name="Normal 4 3 4" xfId="427"/>
    <cellStyle name="Normal 4 4" xfId="397"/>
    <cellStyle name="Normal 5" xfId="67"/>
    <cellStyle name="Normal 5 2" xfId="136"/>
    <cellStyle name="Normal 5 2 2" xfId="511"/>
    <cellStyle name="Normal 5 2 3" xfId="785"/>
    <cellStyle name="Normal 5 3" xfId="191"/>
    <cellStyle name="Normal 5 3 2" xfId="565"/>
    <cellStyle name="Normal 5 3 3" xfId="839"/>
    <cellStyle name="Normal 5 4" xfId="246"/>
    <cellStyle name="Normal 5 4 2" xfId="620"/>
    <cellStyle name="Normal 5 4 3" xfId="894"/>
    <cellStyle name="Normal 5 5" xfId="302"/>
    <cellStyle name="Normal 5 5 2" xfId="676"/>
    <cellStyle name="Normal 5 5 3" xfId="950"/>
    <cellStyle name="Normal 5 6" xfId="448"/>
    <cellStyle name="Normal 5 7" xfId="731"/>
    <cellStyle name="Normal 6" xfId="95"/>
    <cellStyle name="Normal 6 2" xfId="155"/>
    <cellStyle name="Normal 6 2 2" xfId="530"/>
    <cellStyle name="Normal 6 2 3" xfId="804"/>
    <cellStyle name="Normal 6 3" xfId="210"/>
    <cellStyle name="Normal 6 3 2" xfId="584"/>
    <cellStyle name="Normal 6 3 3" xfId="858"/>
    <cellStyle name="Normal 6 4" xfId="265"/>
    <cellStyle name="Normal 6 4 2" xfId="639"/>
    <cellStyle name="Normal 6 4 3" xfId="913"/>
    <cellStyle name="Normal 6 5" xfId="321"/>
    <cellStyle name="Normal 6 5 2" xfId="695"/>
    <cellStyle name="Normal 6 5 3" xfId="969"/>
    <cellStyle name="Normal 6 6" xfId="420"/>
    <cellStyle name="Normal 6 6 2" xfId="981"/>
    <cellStyle name="Normal 6 7" xfId="415"/>
    <cellStyle name="Normal 6 8" xfId="476"/>
    <cellStyle name="Normal 6 9" xfId="750"/>
    <cellStyle name="Normal 6_Ark1" xfId="418"/>
    <cellStyle name="Normal 7" xfId="52"/>
    <cellStyle name="Normal 7 2" xfId="109"/>
    <cellStyle name="Normal 7 2 2" xfId="413"/>
    <cellStyle name="Normal 7 3" xfId="398"/>
    <cellStyle name="Normal 7_Bilag med pot og krav" xfId="995"/>
    <cellStyle name="Normal 8" xfId="113"/>
    <cellStyle name="Normal 8 2" xfId="488"/>
    <cellStyle name="Normal 8 3" xfId="762"/>
    <cellStyle name="Normal 9" xfId="166"/>
    <cellStyle name="Normal 9 2" xfId="541"/>
    <cellStyle name="Normal 9 3" xfId="815"/>
    <cellStyle name="Note" xfId="384"/>
    <cellStyle name="Output" xfId="11" builtinId="21" customBuiltin="1"/>
    <cellStyle name="Output 2" xfId="385"/>
    <cellStyle name="Overskrift" xfId="339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49" builtinId="5"/>
    <cellStyle name="Procent 10" xfId="292"/>
    <cellStyle name="Procent 10 2" xfId="666"/>
    <cellStyle name="Procent 10 3" xfId="940"/>
    <cellStyle name="Procent 11" xfId="112"/>
    <cellStyle name="Procent 12" xfId="451"/>
    <cellStyle name="Procent 13" xfId="722"/>
    <cellStyle name="Procent 2" xfId="47"/>
    <cellStyle name="Procent 2 2" xfId="48"/>
    <cellStyle name="Procent 2 2 2" xfId="93"/>
    <cellStyle name="Procent 2 2 2 2" xfId="409"/>
    <cellStyle name="Procent 2 2 3" xfId="396"/>
    <cellStyle name="Procent 2 3" xfId="66"/>
    <cellStyle name="Procent 2 3 2" xfId="94"/>
    <cellStyle name="Procent 2 3 2 2" xfId="410"/>
    <cellStyle name="Procent 2 3 3" xfId="401"/>
    <cellStyle name="Procent 2 4" xfId="92"/>
    <cellStyle name="Procent 2 4 2" xfId="154"/>
    <cellStyle name="Procent 2 4 2 2" xfId="529"/>
    <cellStyle name="Procent 2 4 2 3" xfId="803"/>
    <cellStyle name="Procent 2 4 3" xfId="209"/>
    <cellStyle name="Procent 2 4 3 2" xfId="583"/>
    <cellStyle name="Procent 2 4 3 3" xfId="857"/>
    <cellStyle name="Procent 2 4 4" xfId="264"/>
    <cellStyle name="Procent 2 4 4 2" xfId="638"/>
    <cellStyle name="Procent 2 4 4 3" xfId="912"/>
    <cellStyle name="Procent 2 4 5" xfId="320"/>
    <cellStyle name="Procent 2 4 5 2" xfId="694"/>
    <cellStyle name="Procent 2 4 5 3" xfId="968"/>
    <cellStyle name="Procent 2 4 6" xfId="432"/>
    <cellStyle name="Procent 2 4 7" xfId="749"/>
    <cellStyle name="Procent 2 5" xfId="65"/>
    <cellStyle name="Procent 2 5 2" xfId="190"/>
    <cellStyle name="Procent 2 5 2 2" xfId="564"/>
    <cellStyle name="Procent 2 5 2 3" xfId="838"/>
    <cellStyle name="Procent 2 5 3" xfId="245"/>
    <cellStyle name="Procent 2 5 3 2" xfId="619"/>
    <cellStyle name="Procent 2 5 3 3" xfId="893"/>
    <cellStyle name="Procent 2 5 4" xfId="301"/>
    <cellStyle name="Procent 2 5 4 2" xfId="675"/>
    <cellStyle name="Procent 2 5 4 3" xfId="949"/>
    <cellStyle name="Procent 2 5 5" xfId="457"/>
    <cellStyle name="Procent 2 5 6" xfId="730"/>
    <cellStyle name="Procent 2 6" xfId="386"/>
    <cellStyle name="Procent 2 7" xfId="395"/>
    <cellStyle name="Procent 3" xfId="91"/>
    <cellStyle name="Procent 3 2" xfId="408"/>
    <cellStyle name="Procent 4" xfId="69"/>
    <cellStyle name="Procent 4 2" xfId="138"/>
    <cellStyle name="Procent 4 2 2" xfId="513"/>
    <cellStyle name="Procent 4 2 3" xfId="787"/>
    <cellStyle name="Procent 4 3" xfId="193"/>
    <cellStyle name="Procent 4 3 2" xfId="567"/>
    <cellStyle name="Procent 4 3 3" xfId="841"/>
    <cellStyle name="Procent 4 4" xfId="248"/>
    <cellStyle name="Procent 4 4 2" xfId="622"/>
    <cellStyle name="Procent 4 4 3" xfId="896"/>
    <cellStyle name="Procent 4 5" xfId="304"/>
    <cellStyle name="Procent 4 5 2" xfId="678"/>
    <cellStyle name="Procent 4 5 3" xfId="952"/>
    <cellStyle name="Procent 4 6" xfId="436"/>
    <cellStyle name="Procent 4 7" xfId="733"/>
    <cellStyle name="Procent 5" xfId="105"/>
    <cellStyle name="Procent 5 2" xfId="165"/>
    <cellStyle name="Procent 5 2 2" xfId="540"/>
    <cellStyle name="Procent 5 2 3" xfId="814"/>
    <cellStyle name="Procent 5 3" xfId="220"/>
    <cellStyle name="Procent 5 3 2" xfId="594"/>
    <cellStyle name="Procent 5 3 3" xfId="868"/>
    <cellStyle name="Procent 5 4" xfId="275"/>
    <cellStyle name="Procent 5 4 2" xfId="649"/>
    <cellStyle name="Procent 5 4 3" xfId="923"/>
    <cellStyle name="Procent 5 5" xfId="331"/>
    <cellStyle name="Procent 5 5 2" xfId="705"/>
    <cellStyle name="Procent 5 5 3" xfId="979"/>
    <cellStyle name="Procent 5 6" xfId="422"/>
    <cellStyle name="Procent 5 6 2" xfId="983"/>
    <cellStyle name="Procent 5 7" xfId="417"/>
    <cellStyle name="Procent 5 8" xfId="486"/>
    <cellStyle name="Procent 5 9" xfId="760"/>
    <cellStyle name="Procent 6" xfId="64"/>
    <cellStyle name="Procent 6 2" xfId="400"/>
    <cellStyle name="Procent 7" xfId="128"/>
    <cellStyle name="Procent 7 2" xfId="503"/>
    <cellStyle name="Procent 7 3" xfId="777"/>
    <cellStyle name="Procent 8" xfId="181"/>
    <cellStyle name="Procent 8 2" xfId="556"/>
    <cellStyle name="Procent 8 3" xfId="830"/>
    <cellStyle name="Procent 9" xfId="223"/>
    <cellStyle name="Procent 9 2" xfId="597"/>
    <cellStyle name="Procent 9 3" xfId="871"/>
    <cellStyle name="Sammenkædet celle" xfId="13" builtinId="24" customBuiltin="1"/>
    <cellStyle name="Titel" xfId="2" builtinId="15" customBuiltin="1"/>
    <cellStyle name="Title" xfId="387"/>
    <cellStyle name="Total" xfId="18" builtinId="25" customBuiltin="1"/>
    <cellStyle name="Total (negative)" xfId="341"/>
    <cellStyle name="Total 1000" xfId="342"/>
    <cellStyle name="Total 1000 (negative)" xfId="343"/>
    <cellStyle name="Total 2" xfId="388"/>
    <cellStyle name="Total 3" xfId="340"/>
    <cellStyle name="Ugyldig" xfId="8" builtinId="27" customBuiltin="1"/>
    <cellStyle name="Warning Text" xfId="389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Normal="10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E62" sqref="E62"/>
    </sheetView>
  </sheetViews>
  <sheetFormatPr defaultRowHeight="14.4" x14ac:dyDescent="0.3"/>
  <cols>
    <col min="1" max="1" width="35" style="21" customWidth="1"/>
    <col min="2" max="2" width="7.6640625" style="195" bestFit="1" customWidth="1"/>
    <col min="3" max="6" width="11.109375" style="52" bestFit="1" customWidth="1"/>
    <col min="7" max="7" width="12.5546875" style="14" customWidth="1"/>
    <col min="8" max="8" width="10.33203125" style="23" customWidth="1"/>
    <col min="9" max="9" width="11.5546875" style="23" customWidth="1"/>
    <col min="10" max="10" width="13.88671875" style="197" customWidth="1"/>
    <col min="11" max="11" width="12.5546875" style="23" customWidth="1"/>
    <col min="12" max="12" width="12.6640625" style="23" customWidth="1"/>
    <col min="13" max="13" width="19.109375" style="15" customWidth="1"/>
    <col min="14" max="14" width="19.33203125" style="14" customWidth="1"/>
    <col min="15" max="15" width="15.109375" style="15" customWidth="1"/>
    <col min="16" max="16" width="14.5546875" style="15" customWidth="1"/>
    <col min="17" max="17" width="19" style="28" customWidth="1"/>
    <col min="18" max="18" width="19" style="15" customWidth="1"/>
    <col min="19" max="19" width="18.5546875" style="23" customWidth="1"/>
    <col min="20" max="20" width="15.33203125" bestFit="1" customWidth="1"/>
    <col min="21" max="21" width="17.44140625" style="23" customWidth="1"/>
    <col min="22" max="22" width="15.6640625" style="23" customWidth="1"/>
    <col min="23" max="23" width="20.109375" style="197" bestFit="1" customWidth="1"/>
    <col min="24" max="24" width="14.5546875" style="23" customWidth="1"/>
    <col min="25" max="25" width="14.109375" customWidth="1"/>
    <col min="27" max="27" width="36.88671875" customWidth="1"/>
    <col min="28" max="30" width="12" customWidth="1"/>
  </cols>
  <sheetData>
    <row r="1" spans="1:30" s="196" customFormat="1" ht="57.6" x14ac:dyDescent="0.3">
      <c r="A1" s="298"/>
      <c r="B1" s="289"/>
      <c r="C1" s="315" t="s">
        <v>184</v>
      </c>
      <c r="D1" s="316"/>
      <c r="E1" s="316"/>
      <c r="F1" s="317"/>
      <c r="G1" s="289"/>
      <c r="H1" s="313" t="s">
        <v>186</v>
      </c>
      <c r="I1" s="314"/>
      <c r="J1" s="308"/>
      <c r="K1" s="318" t="s">
        <v>187</v>
      </c>
      <c r="L1" s="319"/>
      <c r="M1" s="320" t="s">
        <v>188</v>
      </c>
      <c r="N1" s="321"/>
      <c r="O1" s="320" t="s">
        <v>189</v>
      </c>
      <c r="P1" s="321"/>
      <c r="Q1" s="309" t="s">
        <v>190</v>
      </c>
      <c r="R1" s="310"/>
      <c r="S1" s="318" t="s">
        <v>191</v>
      </c>
      <c r="T1" s="319"/>
      <c r="U1" s="311"/>
      <c r="V1" s="311"/>
      <c r="W1" s="311"/>
      <c r="X1" s="313" t="s">
        <v>192</v>
      </c>
      <c r="Y1" s="314"/>
    </row>
    <row r="2" spans="1:30" ht="68.25" customHeight="1" x14ac:dyDescent="0.3">
      <c r="A2" s="285" t="s">
        <v>61</v>
      </c>
      <c r="B2" s="292" t="s">
        <v>69</v>
      </c>
      <c r="C2" s="291" t="s">
        <v>193</v>
      </c>
      <c r="D2" s="283" t="s">
        <v>181</v>
      </c>
      <c r="E2" s="283" t="s">
        <v>194</v>
      </c>
      <c r="F2" s="290" t="s">
        <v>166</v>
      </c>
      <c r="G2" s="280" t="s">
        <v>86</v>
      </c>
      <c r="H2" s="291" t="s">
        <v>79</v>
      </c>
      <c r="I2" s="290" t="s">
        <v>80</v>
      </c>
      <c r="J2" s="286" t="s">
        <v>195</v>
      </c>
      <c r="K2" s="296" t="s">
        <v>77</v>
      </c>
      <c r="L2" s="275" t="s">
        <v>78</v>
      </c>
      <c r="M2" s="291" t="s">
        <v>81</v>
      </c>
      <c r="N2" s="290" t="s">
        <v>82</v>
      </c>
      <c r="O2" s="299" t="s">
        <v>196</v>
      </c>
      <c r="P2" s="295" t="s">
        <v>197</v>
      </c>
      <c r="Q2" s="277" t="s">
        <v>198</v>
      </c>
      <c r="R2" s="277" t="s">
        <v>199</v>
      </c>
      <c r="S2" s="284" t="s">
        <v>200</v>
      </c>
      <c r="T2" s="279" t="s">
        <v>183</v>
      </c>
      <c r="U2" s="297" t="s">
        <v>167</v>
      </c>
      <c r="V2" s="282" t="s">
        <v>168</v>
      </c>
      <c r="W2" s="282" t="s">
        <v>201</v>
      </c>
      <c r="X2" s="259" t="s">
        <v>202</v>
      </c>
      <c r="Y2" s="265" t="s">
        <v>203</v>
      </c>
      <c r="AA2" s="244" t="s">
        <v>169</v>
      </c>
      <c r="AB2" s="245" t="s">
        <v>170</v>
      </c>
      <c r="AC2" s="245" t="s">
        <v>88</v>
      </c>
      <c r="AD2" s="245" t="s">
        <v>171</v>
      </c>
    </row>
    <row r="3" spans="1:30" x14ac:dyDescent="0.3">
      <c r="A3" s="246" t="s">
        <v>12</v>
      </c>
      <c r="B3" s="307"/>
      <c r="C3" s="287">
        <f>AB3*1.005</f>
        <v>17457009.794999998</v>
      </c>
      <c r="D3" s="278">
        <f>AC3</f>
        <v>16505569</v>
      </c>
      <c r="E3" s="278">
        <f>AD3/1.023</f>
        <v>16822767.350928642</v>
      </c>
      <c r="F3" s="288">
        <f>MAX(C3:E3)</f>
        <v>17457009.794999998</v>
      </c>
      <c r="G3" s="307">
        <v>17978360.6021684</v>
      </c>
      <c r="H3" s="272">
        <v>0.4768</v>
      </c>
      <c r="I3" s="288">
        <f t="shared" ref="I3:I17" si="0">G3*H3</f>
        <v>8572082.3351138923</v>
      </c>
      <c r="J3" s="307">
        <v>0</v>
      </c>
      <c r="K3" s="272">
        <v>0.4768</v>
      </c>
      <c r="L3" s="250">
        <f t="shared" ref="L3:L17" si="1">K3*G3</f>
        <v>8572082.3351138923</v>
      </c>
      <c r="M3" s="281">
        <v>0.28179999999999999</v>
      </c>
      <c r="N3" s="278">
        <f t="shared" ref="N3:N17" si="2">G3*M3</f>
        <v>5066302.0176910553</v>
      </c>
      <c r="O3" s="294">
        <f>IF(Netvolumenmål!AI3&lt;Netvolumenmål!$Y$55,(Netvolumenmål!AI3-Netvolumenmål!$Y$55),0)</f>
        <v>0</v>
      </c>
      <c r="P3" s="271">
        <f>Netvolumenmål!AJ3*0.7</f>
        <v>0</v>
      </c>
      <c r="Q3" s="281">
        <f>IF(M3=0,0,IF(M3&lt;-P3,0,M3+P3))</f>
        <v>0.28179999999999999</v>
      </c>
      <c r="R3" s="254">
        <f>-VLOOKUP($A$3:$A$50,Potentialesammenligning!$A$2:$I$49,9,FALSE)</f>
        <v>0</v>
      </c>
      <c r="S3" s="272">
        <f>IF(Q3+R3&gt;0,IF(R3=0,Q3,Q3+R3),0)</f>
        <v>0.28179999999999999</v>
      </c>
      <c r="T3" s="250">
        <f>S3*G3</f>
        <v>5066302.0176910553</v>
      </c>
      <c r="U3" s="307">
        <f t="shared" ref="U3:U50" si="3">IF(G3-F3&gt;0,G3-F3,0)</f>
        <v>521350.80716840178</v>
      </c>
      <c r="V3" s="307">
        <f t="shared" ref="V3:V50" si="4">IF(T3-U3&gt;0,T3-U3,0)</f>
        <v>4544951.2105226535</v>
      </c>
      <c r="W3" s="307">
        <f t="shared" ref="W3:W50" si="5">IF(V3/4&lt;=0.05*F3,V3/4,0.05*F3)</f>
        <v>872850.48974999995</v>
      </c>
      <c r="X3" s="287">
        <f t="shared" ref="X3:X50" si="6">IF(U3=0,"til højre",IF(U3&gt;T3,T3,IF(G3-U3-W3+0.023*G3&lt;AD3,(1.023*G3)-AD3,U3+W3)))</f>
        <v>1182171.8960182704</v>
      </c>
      <c r="Y3" s="253" t="str">
        <f t="shared" ref="Y3:Y50" si="7">IF(U3=0,IF(S3/4&lt;0.01,0,IF(S3/4&gt;0.05,IF(1.023*G3-0.05*G3&gt;AD3,0.05*G3,IF(1.023*G3-AD3&lt;0,0,1.023*G3-AD3)),IF(1.023*G3-(S3/4)*G3&gt;AD3,(S3/4)*G3,IF(1.023*G3-AD3&lt;0,0,1.023*G3-AD3)))),"diskrepans")</f>
        <v>diskrepans</v>
      </c>
      <c r="AA3" s="241" t="s">
        <v>12</v>
      </c>
      <c r="AB3" s="242">
        <v>17370159</v>
      </c>
      <c r="AC3" s="242">
        <v>16505569</v>
      </c>
      <c r="AD3" s="242">
        <v>17209691</v>
      </c>
    </row>
    <row r="4" spans="1:30" x14ac:dyDescent="0.3">
      <c r="A4" s="247" t="s">
        <v>63</v>
      </c>
      <c r="B4" s="263"/>
      <c r="C4" s="267">
        <f t="shared" ref="C4:C50" si="8">AB4*1.005</f>
        <v>44923164.329999998</v>
      </c>
      <c r="D4" s="268">
        <f t="shared" ref="D4:D50" si="9">AC4</f>
        <v>46677007</v>
      </c>
      <c r="E4" s="268">
        <f t="shared" ref="E4:E50" si="10">AD4/1.023</f>
        <v>44156710.654936463</v>
      </c>
      <c r="F4" s="300">
        <f t="shared" ref="F4:F50" si="11">MAX(C4:E4)</f>
        <v>46677007</v>
      </c>
      <c r="G4" s="266">
        <v>53684313.470370799</v>
      </c>
      <c r="H4" s="270">
        <v>0.25619999999999998</v>
      </c>
      <c r="I4" s="300">
        <f t="shared" si="0"/>
        <v>13753921.111108998</v>
      </c>
      <c r="J4" s="266">
        <v>0</v>
      </c>
      <c r="K4" s="270">
        <v>0.25619999999999998</v>
      </c>
      <c r="L4" s="261">
        <f t="shared" si="1"/>
        <v>13753921.111108998</v>
      </c>
      <c r="M4" s="305">
        <v>6.1199999999999997E-2</v>
      </c>
      <c r="N4" s="268">
        <f t="shared" si="2"/>
        <v>3285479.9843866928</v>
      </c>
      <c r="O4" s="293">
        <f>IF(Netvolumenmål!AI4&lt;Netvolumenmål!$Y$55,(Netvolumenmål!AI4-Netvolumenmål!$Y$55),0)</f>
        <v>0</v>
      </c>
      <c r="P4" s="269">
        <f>Netvolumenmål!AJ4*0.7</f>
        <v>0</v>
      </c>
      <c r="Q4" s="305">
        <f t="shared" ref="Q4:Q50" si="12">IF(M4=0,0,IF(M4&lt;-P4,0,M4+P4))</f>
        <v>6.1199999999999997E-2</v>
      </c>
      <c r="R4" s="248">
        <f>-VLOOKUP($A$3:$A$50,Potentialesammenligning!$A$2:$I$49,9,FALSE)</f>
        <v>0</v>
      </c>
      <c r="S4" s="270">
        <f t="shared" ref="S4:S50" si="13">IF(Q4+R4&gt;0,IF(R4=0,Q4,Q4+R4),0)</f>
        <v>6.1199999999999997E-2</v>
      </c>
      <c r="T4" s="261">
        <f t="shared" ref="T4:T50" si="14">S4*G4</f>
        <v>3285479.9843866928</v>
      </c>
      <c r="U4" s="266">
        <f t="shared" si="3"/>
        <v>7007306.4703707993</v>
      </c>
      <c r="V4" s="266">
        <f t="shared" si="4"/>
        <v>0</v>
      </c>
      <c r="W4" s="266">
        <f t="shared" si="5"/>
        <v>0</v>
      </c>
      <c r="X4" s="267">
        <f t="shared" si="6"/>
        <v>3285479.9843866928</v>
      </c>
      <c r="Y4" s="264" t="str">
        <f t="shared" si="7"/>
        <v>diskrepans</v>
      </c>
      <c r="AA4" s="241" t="s">
        <v>172</v>
      </c>
      <c r="AB4" s="242">
        <v>44699666</v>
      </c>
      <c r="AC4" s="242">
        <v>46677007</v>
      </c>
      <c r="AD4" s="242">
        <v>45172315</v>
      </c>
    </row>
    <row r="5" spans="1:30" ht="15" x14ac:dyDescent="0.25">
      <c r="A5" s="247" t="s">
        <v>13</v>
      </c>
      <c r="B5" s="263"/>
      <c r="C5" s="267">
        <f t="shared" si="8"/>
        <v>18405777.029999997</v>
      </c>
      <c r="D5" s="268">
        <f t="shared" si="9"/>
        <v>14932428</v>
      </c>
      <c r="E5" s="268">
        <f t="shared" si="10"/>
        <v>16638094.819159336</v>
      </c>
      <c r="F5" s="300">
        <f t="shared" si="11"/>
        <v>18405777.029999997</v>
      </c>
      <c r="G5" s="266">
        <v>22640205.327527203</v>
      </c>
      <c r="H5" s="270">
        <v>0.25679999999999997</v>
      </c>
      <c r="I5" s="300">
        <f t="shared" si="0"/>
        <v>5814004.7281089853</v>
      </c>
      <c r="J5" s="266">
        <v>0</v>
      </c>
      <c r="K5" s="270">
        <v>0.25679999999999997</v>
      </c>
      <c r="L5" s="261">
        <f t="shared" si="1"/>
        <v>5814004.7281089853</v>
      </c>
      <c r="M5" s="305">
        <v>8.9599999999999999E-2</v>
      </c>
      <c r="N5" s="268">
        <f t="shared" si="2"/>
        <v>2028562.3973464374</v>
      </c>
      <c r="O5" s="293">
        <f>IF(Netvolumenmål!AI5&lt;Netvolumenmål!$Y$55,(Netvolumenmål!AI5-Netvolumenmål!$Y$55),0)</f>
        <v>0</v>
      </c>
      <c r="P5" s="269">
        <f>Netvolumenmål!AJ5*0.7</f>
        <v>0</v>
      </c>
      <c r="Q5" s="305">
        <f t="shared" si="12"/>
        <v>8.9599999999999999E-2</v>
      </c>
      <c r="R5" s="248">
        <f>-VLOOKUP($A$3:$A$50,Potentialesammenligning!$A$2:$I$49,9,FALSE)</f>
        <v>0</v>
      </c>
      <c r="S5" s="270">
        <f t="shared" si="13"/>
        <v>8.9599999999999999E-2</v>
      </c>
      <c r="T5" s="261">
        <f t="shared" si="14"/>
        <v>2028562.3973464374</v>
      </c>
      <c r="U5" s="266">
        <f t="shared" si="3"/>
        <v>4234428.2975272052</v>
      </c>
      <c r="V5" s="266">
        <f t="shared" si="4"/>
        <v>0</v>
      </c>
      <c r="W5" s="266">
        <f t="shared" si="5"/>
        <v>0</v>
      </c>
      <c r="X5" s="267">
        <f t="shared" si="6"/>
        <v>2028562.3973464374</v>
      </c>
      <c r="Y5" s="264" t="str">
        <f t="shared" si="7"/>
        <v>diskrepans</v>
      </c>
      <c r="AA5" s="241" t="s">
        <v>13</v>
      </c>
      <c r="AB5" s="242">
        <v>18314206</v>
      </c>
      <c r="AC5" s="242">
        <v>14932428</v>
      </c>
      <c r="AD5" s="242">
        <v>17020771</v>
      </c>
    </row>
    <row r="6" spans="1:30" ht="15" x14ac:dyDescent="0.25">
      <c r="A6" s="247" t="s">
        <v>14</v>
      </c>
      <c r="B6" s="263"/>
      <c r="C6" s="267">
        <f t="shared" si="8"/>
        <v>31418195.429999996</v>
      </c>
      <c r="D6" s="268">
        <f t="shared" si="9"/>
        <v>32135079</v>
      </c>
      <c r="E6" s="268">
        <f t="shared" si="10"/>
        <v>30684034.213098731</v>
      </c>
      <c r="F6" s="300">
        <f t="shared" si="11"/>
        <v>32135079</v>
      </c>
      <c r="G6" s="266">
        <v>34642368.074462406</v>
      </c>
      <c r="H6" s="270">
        <v>0.38340000000000002</v>
      </c>
      <c r="I6" s="300">
        <f t="shared" si="0"/>
        <v>13281883.919748887</v>
      </c>
      <c r="J6" s="266">
        <v>0</v>
      </c>
      <c r="K6" s="270">
        <v>0.38340000000000002</v>
      </c>
      <c r="L6" s="261">
        <f t="shared" si="1"/>
        <v>13281883.919748887</v>
      </c>
      <c r="M6" s="305">
        <v>0.21609999999999999</v>
      </c>
      <c r="N6" s="268">
        <f t="shared" si="2"/>
        <v>7486215.7408913253</v>
      </c>
      <c r="O6" s="293">
        <f>IF(Netvolumenmål!AI6&lt;Netvolumenmål!$Y$55,(Netvolumenmål!AI6-Netvolumenmål!$Y$55),0)</f>
        <v>0</v>
      </c>
      <c r="P6" s="269">
        <f>Netvolumenmål!AJ6*0.7</f>
        <v>0</v>
      </c>
      <c r="Q6" s="305">
        <f t="shared" si="12"/>
        <v>0.21609999999999999</v>
      </c>
      <c r="R6" s="248">
        <f>-VLOOKUP($A$3:$A$50,Potentialesammenligning!$A$2:$I$49,9,FALSE)</f>
        <v>0</v>
      </c>
      <c r="S6" s="270">
        <f t="shared" si="13"/>
        <v>0.21609999999999999</v>
      </c>
      <c r="T6" s="261">
        <f t="shared" si="14"/>
        <v>7486215.7408913253</v>
      </c>
      <c r="U6" s="266">
        <f t="shared" si="3"/>
        <v>2507289.0744624063</v>
      </c>
      <c r="V6" s="266">
        <f t="shared" si="4"/>
        <v>4978926.666428919</v>
      </c>
      <c r="W6" s="266">
        <f t="shared" si="5"/>
        <v>1244731.6666072297</v>
      </c>
      <c r="X6" s="267">
        <f t="shared" si="6"/>
        <v>3752020.7410696363</v>
      </c>
      <c r="Y6" s="264" t="str">
        <f t="shared" si="7"/>
        <v>diskrepans</v>
      </c>
      <c r="AA6" s="241" t="s">
        <v>14</v>
      </c>
      <c r="AB6" s="242">
        <v>31261886</v>
      </c>
      <c r="AC6" s="242">
        <v>32135079</v>
      </c>
      <c r="AD6" s="242">
        <v>31389767</v>
      </c>
    </row>
    <row r="7" spans="1:30" ht="15" x14ac:dyDescent="0.25">
      <c r="A7" s="247" t="s">
        <v>15</v>
      </c>
      <c r="B7" s="263"/>
      <c r="C7" s="267">
        <f t="shared" si="8"/>
        <v>55972890.089999996</v>
      </c>
      <c r="D7" s="268">
        <f t="shared" si="9"/>
        <v>50732736</v>
      </c>
      <c r="E7" s="268">
        <f t="shared" si="10"/>
        <v>48851802.541544482</v>
      </c>
      <c r="F7" s="300">
        <f t="shared" si="11"/>
        <v>55972890.089999996</v>
      </c>
      <c r="G7" s="266">
        <v>62224905.200920001</v>
      </c>
      <c r="H7" s="270">
        <f>1-0.7421010555</f>
        <v>0.25789894449999995</v>
      </c>
      <c r="I7" s="300">
        <f t="shared" si="0"/>
        <v>16047737.372929825</v>
      </c>
      <c r="J7" s="266">
        <v>0</v>
      </c>
      <c r="K7" s="270">
        <f>1-0.7421010555</f>
        <v>0.25789894449999995</v>
      </c>
      <c r="L7" s="261">
        <f t="shared" si="1"/>
        <v>16047737.372929825</v>
      </c>
      <c r="M7" s="305">
        <f>1-0.937112</f>
        <v>6.2888000000000055E-2</v>
      </c>
      <c r="N7" s="268">
        <f t="shared" si="2"/>
        <v>3913199.8382754605</v>
      </c>
      <c r="O7" s="293">
        <f>IF(Netvolumenmål!AI7&lt;Netvolumenmål!$Y$55,(Netvolumenmål!AI7-Netvolumenmål!$Y$55),0)</f>
        <v>0</v>
      </c>
      <c r="P7" s="269">
        <f>Netvolumenmål!AJ7*0.7</f>
        <v>0</v>
      </c>
      <c r="Q7" s="305">
        <f t="shared" si="12"/>
        <v>6.2888000000000055E-2</v>
      </c>
      <c r="R7" s="248">
        <f>-VLOOKUP($A$3:$A$50,Potentialesammenligning!$A$2:$I$49,9,FALSE)</f>
        <v>0</v>
      </c>
      <c r="S7" s="270">
        <f t="shared" si="13"/>
        <v>6.2888000000000055E-2</v>
      </c>
      <c r="T7" s="261">
        <f t="shared" si="14"/>
        <v>3913199.8382754605</v>
      </c>
      <c r="U7" s="266">
        <f t="shared" si="3"/>
        <v>6252015.1109200045</v>
      </c>
      <c r="V7" s="266">
        <f t="shared" si="4"/>
        <v>0</v>
      </c>
      <c r="W7" s="266">
        <f t="shared" si="5"/>
        <v>0</v>
      </c>
      <c r="X7" s="267">
        <f t="shared" si="6"/>
        <v>3913199.8382754605</v>
      </c>
      <c r="Y7" s="264" t="str">
        <f t="shared" si="7"/>
        <v>diskrepans</v>
      </c>
      <c r="AA7" s="241" t="s">
        <v>15</v>
      </c>
      <c r="AB7" s="242">
        <v>55694418</v>
      </c>
      <c r="AC7" s="242">
        <v>50732736</v>
      </c>
      <c r="AD7" s="242">
        <v>49975394</v>
      </c>
    </row>
    <row r="8" spans="1:30" ht="15" x14ac:dyDescent="0.25">
      <c r="A8" s="247" t="s">
        <v>16</v>
      </c>
      <c r="B8" s="266"/>
      <c r="C8" s="267">
        <f t="shared" si="8"/>
        <v>64471030.394999996</v>
      </c>
      <c r="D8" s="268">
        <f t="shared" si="9"/>
        <v>64760285</v>
      </c>
      <c r="E8" s="268">
        <f t="shared" si="10"/>
        <v>56213313.782991208</v>
      </c>
      <c r="F8" s="300">
        <f t="shared" si="11"/>
        <v>64760285</v>
      </c>
      <c r="G8" s="266">
        <v>68926509.67709361</v>
      </c>
      <c r="H8" s="270">
        <v>0.14549999999999999</v>
      </c>
      <c r="I8" s="300">
        <f t="shared" si="0"/>
        <v>10028807.158017119</v>
      </c>
      <c r="J8" s="266">
        <v>0</v>
      </c>
      <c r="K8" s="270">
        <v>0.14549999999999999</v>
      </c>
      <c r="L8" s="261">
        <f>K8*G8</f>
        <v>10028807.158017119</v>
      </c>
      <c r="M8" s="305">
        <v>0</v>
      </c>
      <c r="N8" s="268">
        <f t="shared" si="2"/>
        <v>0</v>
      </c>
      <c r="O8" s="293">
        <f>IF(Netvolumenmål!AI8&lt;Netvolumenmål!$Y$55,(Netvolumenmål!AI8-Netvolumenmål!$Y$55),0)</f>
        <v>0</v>
      </c>
      <c r="P8" s="269">
        <f>Netvolumenmål!AJ8*0.7</f>
        <v>0</v>
      </c>
      <c r="Q8" s="305">
        <f t="shared" si="12"/>
        <v>0</v>
      </c>
      <c r="R8" s="248">
        <f>-VLOOKUP($A$3:$A$50,Potentialesammenligning!$A$2:$I$49,9,FALSE)</f>
        <v>0</v>
      </c>
      <c r="S8" s="270">
        <f t="shared" si="13"/>
        <v>0</v>
      </c>
      <c r="T8" s="261">
        <f t="shared" si="14"/>
        <v>0</v>
      </c>
      <c r="U8" s="266">
        <f t="shared" si="3"/>
        <v>4166224.6770936102</v>
      </c>
      <c r="V8" s="266">
        <f t="shared" si="4"/>
        <v>0</v>
      </c>
      <c r="W8" s="266">
        <f t="shared" si="5"/>
        <v>0</v>
      </c>
      <c r="X8" s="267">
        <f t="shared" si="6"/>
        <v>0</v>
      </c>
      <c r="Y8" s="264" t="str">
        <f t="shared" si="7"/>
        <v>diskrepans</v>
      </c>
      <c r="AA8" s="241" t="s">
        <v>16</v>
      </c>
      <c r="AB8" s="242">
        <v>64150279</v>
      </c>
      <c r="AC8" s="242">
        <v>64760285</v>
      </c>
      <c r="AD8" s="242">
        <v>57506220</v>
      </c>
    </row>
    <row r="9" spans="1:30" x14ac:dyDescent="0.3">
      <c r="A9" s="247" t="s">
        <v>17</v>
      </c>
      <c r="B9" s="263"/>
      <c r="C9" s="267">
        <f t="shared" si="8"/>
        <v>2265486.0749999997</v>
      </c>
      <c r="D9" s="268">
        <f t="shared" si="9"/>
        <v>2460515</v>
      </c>
      <c r="E9" s="268">
        <f t="shared" si="10"/>
        <v>2049390.0293255134</v>
      </c>
      <c r="F9" s="300">
        <f t="shared" si="11"/>
        <v>2460515</v>
      </c>
      <c r="G9" s="266">
        <v>2575084.5893331999</v>
      </c>
      <c r="H9" s="270">
        <v>0.69279999999999997</v>
      </c>
      <c r="I9" s="300">
        <f t="shared" si="0"/>
        <v>1784018.6034900409</v>
      </c>
      <c r="J9" s="266">
        <v>0</v>
      </c>
      <c r="K9" s="270">
        <v>0.69279999999999997</v>
      </c>
      <c r="L9" s="261">
        <f t="shared" si="1"/>
        <v>1784018.6034900409</v>
      </c>
      <c r="M9" s="305">
        <v>0.49780000000000002</v>
      </c>
      <c r="N9" s="268">
        <f t="shared" si="2"/>
        <v>1281877.108570067</v>
      </c>
      <c r="O9" s="293">
        <f>IF(Netvolumenmål!AI9&lt;Netvolumenmål!$Y$55,(Netvolumenmål!AI9-Netvolumenmål!$Y$55),0)</f>
        <v>-7.9881338679938491E-2</v>
      </c>
      <c r="P9" s="269">
        <f>Netvolumenmål!AJ9*0.7</f>
        <v>-1.825687995529994E-2</v>
      </c>
      <c r="Q9" s="305">
        <f t="shared" si="12"/>
        <v>0.47954312004470007</v>
      </c>
      <c r="R9" s="248">
        <f>-VLOOKUP($A$3:$A$50,Potentialesammenligning!$A$2:$I$49,9,FALSE)</f>
        <v>-6.0165859203580099E-3</v>
      </c>
      <c r="S9" s="270">
        <f t="shared" si="13"/>
        <v>0.47352653412434204</v>
      </c>
      <c r="T9" s="261">
        <f t="shared" si="14"/>
        <v>1219370.8806639549</v>
      </c>
      <c r="U9" s="266">
        <f t="shared" si="3"/>
        <v>114569.5893331999</v>
      </c>
      <c r="V9" s="266">
        <f t="shared" si="4"/>
        <v>1104801.291330755</v>
      </c>
      <c r="W9" s="266">
        <f t="shared" si="5"/>
        <v>123025.75</v>
      </c>
      <c r="X9" s="267">
        <f t="shared" si="6"/>
        <v>237595.3393331999</v>
      </c>
      <c r="Y9" s="264" t="str">
        <f t="shared" si="7"/>
        <v>diskrepans</v>
      </c>
      <c r="AA9" s="241" t="s">
        <v>17</v>
      </c>
      <c r="AB9" s="242">
        <v>2254215</v>
      </c>
      <c r="AC9" s="242">
        <v>2460515</v>
      </c>
      <c r="AD9" s="242">
        <v>2096526</v>
      </c>
    </row>
    <row r="10" spans="1:30" ht="15" x14ac:dyDescent="0.25">
      <c r="A10" s="247" t="s">
        <v>18</v>
      </c>
      <c r="B10" s="266"/>
      <c r="C10" s="267">
        <f t="shared" si="8"/>
        <v>42880397.309999995</v>
      </c>
      <c r="D10" s="268">
        <f t="shared" si="9"/>
        <v>35533120</v>
      </c>
      <c r="E10" s="268">
        <f t="shared" si="10"/>
        <v>34303657.869012713</v>
      </c>
      <c r="F10" s="300">
        <f t="shared" si="11"/>
        <v>42880397.309999995</v>
      </c>
      <c r="G10" s="266">
        <v>44114400.229235001</v>
      </c>
      <c r="H10" s="270">
        <v>0.3725</v>
      </c>
      <c r="I10" s="300">
        <f t="shared" si="0"/>
        <v>16432614.085390037</v>
      </c>
      <c r="J10" s="266">
        <v>0</v>
      </c>
      <c r="K10" s="270">
        <v>0.3725</v>
      </c>
      <c r="L10" s="261">
        <f t="shared" si="1"/>
        <v>16432614.085390037</v>
      </c>
      <c r="M10" s="305">
        <v>0.17749999999999999</v>
      </c>
      <c r="N10" s="268">
        <f t="shared" si="2"/>
        <v>7830306.0406892123</v>
      </c>
      <c r="O10" s="293">
        <f>IF(Netvolumenmål!AI10&lt;Netvolumenmål!$Y$55,(Netvolumenmål!AI10-Netvolumenmål!$Y$55),0)</f>
        <v>0</v>
      </c>
      <c r="P10" s="269">
        <f>Netvolumenmål!AJ10*0.7</f>
        <v>0</v>
      </c>
      <c r="Q10" s="305">
        <f t="shared" si="12"/>
        <v>0.17749999999999999</v>
      </c>
      <c r="R10" s="248">
        <f>-VLOOKUP($A$3:$A$50,Potentialesammenligning!$A$2:$I$49,9,FALSE)</f>
        <v>0</v>
      </c>
      <c r="S10" s="270">
        <f t="shared" si="13"/>
        <v>0.17749999999999999</v>
      </c>
      <c r="T10" s="261">
        <f t="shared" si="14"/>
        <v>7830306.0406892123</v>
      </c>
      <c r="U10" s="266">
        <f t="shared" si="3"/>
        <v>1234002.919235006</v>
      </c>
      <c r="V10" s="266">
        <f t="shared" si="4"/>
        <v>6596303.1214542063</v>
      </c>
      <c r="W10" s="266">
        <f t="shared" si="5"/>
        <v>1649075.7803635516</v>
      </c>
      <c r="X10" s="267">
        <f t="shared" si="6"/>
        <v>2883078.6995985573</v>
      </c>
      <c r="Y10" s="264" t="str">
        <f t="shared" si="7"/>
        <v>diskrepans</v>
      </c>
      <c r="AA10" s="241" t="s">
        <v>18</v>
      </c>
      <c r="AB10" s="242">
        <v>42667062</v>
      </c>
      <c r="AC10" s="242">
        <v>35533120</v>
      </c>
      <c r="AD10" s="242">
        <v>35092642</v>
      </c>
    </row>
    <row r="11" spans="1:30" ht="15" x14ac:dyDescent="0.25">
      <c r="A11" s="247" t="s">
        <v>19</v>
      </c>
      <c r="B11" s="263"/>
      <c r="C11" s="267">
        <f t="shared" si="8"/>
        <v>26349145.274999999</v>
      </c>
      <c r="D11" s="268">
        <f t="shared" si="9"/>
        <v>21397541</v>
      </c>
      <c r="E11" s="268">
        <f t="shared" si="10"/>
        <v>20722396.871945262</v>
      </c>
      <c r="F11" s="300">
        <f t="shared" si="11"/>
        <v>26349145.274999999</v>
      </c>
      <c r="G11" s="266">
        <v>28456169.715112999</v>
      </c>
      <c r="H11" s="270">
        <v>0.68049999999999999</v>
      </c>
      <c r="I11" s="300">
        <f t="shared" si="0"/>
        <v>19364423.491134394</v>
      </c>
      <c r="J11" s="266">
        <v>655362</v>
      </c>
      <c r="K11" s="270">
        <v>0.66549999999999998</v>
      </c>
      <c r="L11" s="261">
        <f t="shared" si="1"/>
        <v>18937580.9454077</v>
      </c>
      <c r="M11" s="305">
        <v>0.47048536334498697</v>
      </c>
      <c r="N11" s="268">
        <f t="shared" si="2"/>
        <v>13388211.347821554</v>
      </c>
      <c r="O11" s="293">
        <f>IF(Netvolumenmål!AI11&lt;Netvolumenmål!$Y$55,(Netvolumenmål!AI11-Netvolumenmål!$Y$55),0)</f>
        <v>0</v>
      </c>
      <c r="P11" s="269">
        <f>Netvolumenmål!AJ11*0.7</f>
        <v>0</v>
      </c>
      <c r="Q11" s="305">
        <f t="shared" si="12"/>
        <v>0.47048536334498697</v>
      </c>
      <c r="R11" s="248">
        <f>-VLOOKUP($A$3:$A$50,Potentialesammenligning!$A$2:$I$49,9,FALSE)</f>
        <v>0</v>
      </c>
      <c r="S11" s="270">
        <f t="shared" si="13"/>
        <v>0.47048536334498697</v>
      </c>
      <c r="T11" s="261">
        <f t="shared" si="14"/>
        <v>13388211.347821554</v>
      </c>
      <c r="U11" s="266">
        <f t="shared" si="3"/>
        <v>2107024.4401130006</v>
      </c>
      <c r="V11" s="266">
        <f t="shared" si="4"/>
        <v>11281186.907708554</v>
      </c>
      <c r="W11" s="266">
        <f t="shared" si="5"/>
        <v>1317457.2637499999</v>
      </c>
      <c r="X11" s="267">
        <f t="shared" si="6"/>
        <v>3424481.7038630005</v>
      </c>
      <c r="Y11" s="264" t="str">
        <f t="shared" si="7"/>
        <v>diskrepans</v>
      </c>
      <c r="AA11" s="241" t="s">
        <v>19</v>
      </c>
      <c r="AB11" s="242">
        <v>26218055</v>
      </c>
      <c r="AC11" s="242">
        <v>21397541</v>
      </c>
      <c r="AD11" s="242">
        <v>21199012</v>
      </c>
    </row>
    <row r="12" spans="1:30" ht="15" x14ac:dyDescent="0.25">
      <c r="A12" s="247" t="s">
        <v>20</v>
      </c>
      <c r="B12" s="266"/>
      <c r="C12" s="267">
        <f t="shared" si="8"/>
        <v>52480094.999999993</v>
      </c>
      <c r="D12" s="268">
        <f t="shared" si="9"/>
        <v>40951277</v>
      </c>
      <c r="E12" s="268">
        <f t="shared" si="10"/>
        <v>37303367.546432063</v>
      </c>
      <c r="F12" s="300">
        <f t="shared" si="11"/>
        <v>52480094.999999993</v>
      </c>
      <c r="G12" s="266">
        <v>53442675.0833878</v>
      </c>
      <c r="H12" s="270">
        <v>5.28E-2</v>
      </c>
      <c r="I12" s="300">
        <f t="shared" si="0"/>
        <v>2821773.2444028757</v>
      </c>
      <c r="J12" s="266">
        <v>0</v>
      </c>
      <c r="K12" s="270">
        <v>5.28E-2</v>
      </c>
      <c r="L12" s="261">
        <f t="shared" si="1"/>
        <v>2821773.2444028757</v>
      </c>
      <c r="M12" s="305">
        <v>0</v>
      </c>
      <c r="N12" s="268">
        <f t="shared" si="2"/>
        <v>0</v>
      </c>
      <c r="O12" s="293">
        <f>IF(Netvolumenmål!AI12&lt;Netvolumenmål!$Y$55,(Netvolumenmål!AI12-Netvolumenmål!$Y$55),0)</f>
        <v>0</v>
      </c>
      <c r="P12" s="269">
        <f>Netvolumenmål!AJ12*0.7</f>
        <v>0</v>
      </c>
      <c r="Q12" s="305">
        <f t="shared" si="12"/>
        <v>0</v>
      </c>
      <c r="R12" s="248">
        <f>-VLOOKUP($A$3:$A$50,Potentialesammenligning!$A$2:$I$49,9,FALSE)</f>
        <v>0</v>
      </c>
      <c r="S12" s="270">
        <f t="shared" si="13"/>
        <v>0</v>
      </c>
      <c r="T12" s="261">
        <f t="shared" si="14"/>
        <v>0</v>
      </c>
      <c r="U12" s="266">
        <f t="shared" si="3"/>
        <v>962580.08338780701</v>
      </c>
      <c r="V12" s="266">
        <f t="shared" si="4"/>
        <v>0</v>
      </c>
      <c r="W12" s="266">
        <f t="shared" si="5"/>
        <v>0</v>
      </c>
      <c r="X12" s="267">
        <f t="shared" si="6"/>
        <v>0</v>
      </c>
      <c r="Y12" s="264" t="str">
        <f t="shared" si="7"/>
        <v>diskrepans</v>
      </c>
      <c r="Z12" s="195"/>
      <c r="AA12" s="241" t="s">
        <v>20</v>
      </c>
      <c r="AB12" s="242">
        <v>52219000</v>
      </c>
      <c r="AC12" s="242">
        <v>40951277</v>
      </c>
      <c r="AD12" s="242">
        <v>38161345</v>
      </c>
    </row>
    <row r="13" spans="1:30" ht="15" x14ac:dyDescent="0.25">
      <c r="A13" s="247" t="s">
        <v>24</v>
      </c>
      <c r="B13" s="263"/>
      <c r="C13" s="267">
        <f t="shared" si="8"/>
        <v>60968073.749999993</v>
      </c>
      <c r="D13" s="268">
        <f t="shared" si="9"/>
        <v>56429718</v>
      </c>
      <c r="E13" s="268">
        <f t="shared" si="10"/>
        <v>48777478.98338221</v>
      </c>
      <c r="F13" s="300">
        <f t="shared" si="11"/>
        <v>60968073.749999993</v>
      </c>
      <c r="G13" s="266">
        <v>68324436.166726604</v>
      </c>
      <c r="H13" s="270">
        <v>0.222</v>
      </c>
      <c r="I13" s="300">
        <f t="shared" si="0"/>
        <v>15168024.829013307</v>
      </c>
      <c r="J13" s="266">
        <v>0</v>
      </c>
      <c r="K13" s="270">
        <v>0.222</v>
      </c>
      <c r="L13" s="261">
        <f t="shared" si="1"/>
        <v>15168024.829013307</v>
      </c>
      <c r="M13" s="305">
        <v>2.7E-2</v>
      </c>
      <c r="N13" s="268">
        <f>G13*M13</f>
        <v>1844759.7765016183</v>
      </c>
      <c r="O13" s="293">
        <f>IF(Netvolumenmål!AI13&lt;Netvolumenmål!$Y$55,(Netvolumenmål!AI13-Netvolumenmål!$Y$55),0)</f>
        <v>0</v>
      </c>
      <c r="P13" s="269">
        <f>Netvolumenmål!AJ13*0.7</f>
        <v>0</v>
      </c>
      <c r="Q13" s="305">
        <f t="shared" si="12"/>
        <v>2.7E-2</v>
      </c>
      <c r="R13" s="248">
        <f>-VLOOKUP($A$3:$A$50,Potentialesammenligning!$A$2:$I$49,9,FALSE)</f>
        <v>0</v>
      </c>
      <c r="S13" s="270">
        <f t="shared" si="13"/>
        <v>2.7E-2</v>
      </c>
      <c r="T13" s="261">
        <f t="shared" si="14"/>
        <v>1844759.7765016183</v>
      </c>
      <c r="U13" s="266">
        <f t="shared" si="3"/>
        <v>7356362.4167266116</v>
      </c>
      <c r="V13" s="266">
        <f t="shared" si="4"/>
        <v>0</v>
      </c>
      <c r="W13" s="266">
        <f t="shared" si="5"/>
        <v>0</v>
      </c>
      <c r="X13" s="267">
        <f t="shared" si="6"/>
        <v>1844759.7765016183</v>
      </c>
      <c r="Y13" s="264" t="str">
        <f t="shared" si="7"/>
        <v>diskrepans</v>
      </c>
      <c r="AA13" s="241" t="s">
        <v>24</v>
      </c>
      <c r="AB13" s="242">
        <v>60664750</v>
      </c>
      <c r="AC13" s="242">
        <v>56429718</v>
      </c>
      <c r="AD13" s="242">
        <v>49899361</v>
      </c>
    </row>
    <row r="14" spans="1:30" ht="15" x14ac:dyDescent="0.25">
      <c r="A14" s="247" t="s">
        <v>21</v>
      </c>
      <c r="B14" s="266"/>
      <c r="C14" s="267">
        <f t="shared" si="8"/>
        <v>24701283.959999997</v>
      </c>
      <c r="D14" s="268">
        <f t="shared" si="9"/>
        <v>21535374</v>
      </c>
      <c r="E14" s="268">
        <f t="shared" si="10"/>
        <v>19270894.428152494</v>
      </c>
      <c r="F14" s="300">
        <f t="shared" si="11"/>
        <v>24701283.959999997</v>
      </c>
      <c r="G14" s="266">
        <v>32749093.752533201</v>
      </c>
      <c r="H14" s="270">
        <v>0.66490000000000005</v>
      </c>
      <c r="I14" s="300">
        <f t="shared" si="0"/>
        <v>21774872.436059326</v>
      </c>
      <c r="J14" s="266">
        <v>758780</v>
      </c>
      <c r="K14" s="270">
        <v>0.64539999999999997</v>
      </c>
      <c r="L14" s="261">
        <f t="shared" si="1"/>
        <v>21136265.107884929</v>
      </c>
      <c r="M14" s="305">
        <v>0.48821164973097603</v>
      </c>
      <c r="N14" s="268">
        <f t="shared" si="2"/>
        <v>15988489.088118635</v>
      </c>
      <c r="O14" s="293">
        <f>IF(Netvolumenmål!AI14&lt;Netvolumenmål!$Y$55,(Netvolumenmål!AI14-Netvolumenmål!$Y$55),0)</f>
        <v>-0.24239720192031419</v>
      </c>
      <c r="P14" s="269">
        <f>Netvolumenmål!AJ14*0.7</f>
        <v>-5.5399880498887812E-2</v>
      </c>
      <c r="Q14" s="305">
        <f t="shared" si="12"/>
        <v>0.43281176923208819</v>
      </c>
      <c r="R14" s="248">
        <f>-VLOOKUP($A$3:$A$50,Potentialesammenligning!$A$2:$I$49,9,FALSE)</f>
        <v>0</v>
      </c>
      <c r="S14" s="270">
        <f t="shared" si="13"/>
        <v>0.43281176923208819</v>
      </c>
      <c r="T14" s="261">
        <f t="shared" si="14"/>
        <v>14174193.207781421</v>
      </c>
      <c r="U14" s="266">
        <f t="shared" si="3"/>
        <v>8047809.792533204</v>
      </c>
      <c r="V14" s="266">
        <f t="shared" si="4"/>
        <v>6126383.4152482171</v>
      </c>
      <c r="W14" s="266">
        <f t="shared" si="5"/>
        <v>1235064.1979999999</v>
      </c>
      <c r="X14" s="267">
        <f t="shared" si="6"/>
        <v>9282873.9905332029</v>
      </c>
      <c r="Y14" s="264" t="str">
        <f t="shared" si="7"/>
        <v>diskrepans</v>
      </c>
      <c r="AA14" s="241" t="s">
        <v>21</v>
      </c>
      <c r="AB14" s="242">
        <v>24578392</v>
      </c>
      <c r="AC14" s="242">
        <v>21535374</v>
      </c>
      <c r="AD14" s="242">
        <v>19714125</v>
      </c>
    </row>
    <row r="15" spans="1:30" ht="15" x14ac:dyDescent="0.25">
      <c r="A15" s="247" t="s">
        <v>22</v>
      </c>
      <c r="B15" s="263"/>
      <c r="C15" s="267">
        <f t="shared" si="8"/>
        <v>33470359.199999996</v>
      </c>
      <c r="D15" s="268">
        <f t="shared" si="9"/>
        <v>33576967</v>
      </c>
      <c r="E15" s="268">
        <f t="shared" si="10"/>
        <v>31165587.48778104</v>
      </c>
      <c r="F15" s="300">
        <f t="shared" si="11"/>
        <v>33576967</v>
      </c>
      <c r="G15" s="266">
        <v>36551904.935916997</v>
      </c>
      <c r="H15" s="270">
        <v>0.3785</v>
      </c>
      <c r="I15" s="300">
        <f t="shared" si="0"/>
        <v>13834896.018244583</v>
      </c>
      <c r="J15" s="266">
        <v>872015</v>
      </c>
      <c r="K15" s="270">
        <v>0.36299999999999999</v>
      </c>
      <c r="L15" s="261">
        <f t="shared" si="1"/>
        <v>13268341.49173787</v>
      </c>
      <c r="M15" s="305">
        <v>0.16798630276576501</v>
      </c>
      <c r="N15" s="268">
        <f t="shared" si="2"/>
        <v>6140219.3692304129</v>
      </c>
      <c r="O15" s="293">
        <f>IF(Netvolumenmål!AI15&lt;Netvolumenmål!$Y$55,(Netvolumenmål!AI15-Netvolumenmål!$Y$55),0)</f>
        <v>0</v>
      </c>
      <c r="P15" s="269">
        <f>Netvolumenmål!AJ15*0.7</f>
        <v>0</v>
      </c>
      <c r="Q15" s="305">
        <f t="shared" si="12"/>
        <v>0.16798630276576501</v>
      </c>
      <c r="R15" s="248">
        <f>-VLOOKUP($A$3:$A$50,Potentialesammenligning!$A$2:$I$49,9,FALSE)</f>
        <v>0</v>
      </c>
      <c r="S15" s="270">
        <f t="shared" si="13"/>
        <v>0.16798630276576501</v>
      </c>
      <c r="T15" s="261">
        <f t="shared" si="14"/>
        <v>6140219.3692304129</v>
      </c>
      <c r="U15" s="266">
        <f t="shared" si="3"/>
        <v>2974937.9359169975</v>
      </c>
      <c r="V15" s="266">
        <f t="shared" si="4"/>
        <v>3165281.4333134154</v>
      </c>
      <c r="W15" s="266">
        <f t="shared" si="5"/>
        <v>791320.35832835385</v>
      </c>
      <c r="X15" s="267">
        <f t="shared" si="6"/>
        <v>3766258.2942453511</v>
      </c>
      <c r="Y15" s="264" t="str">
        <f t="shared" si="7"/>
        <v>diskrepans</v>
      </c>
      <c r="AA15" s="241" t="s">
        <v>22</v>
      </c>
      <c r="AB15" s="242">
        <v>33303840</v>
      </c>
      <c r="AC15" s="242">
        <v>33576967</v>
      </c>
      <c r="AD15" s="242">
        <v>31882396</v>
      </c>
    </row>
    <row r="16" spans="1:30" ht="15" x14ac:dyDescent="0.25">
      <c r="A16" s="247" t="s">
        <v>23</v>
      </c>
      <c r="B16" s="266"/>
      <c r="C16" s="267">
        <f t="shared" si="8"/>
        <v>37997846.009999998</v>
      </c>
      <c r="D16" s="268">
        <f t="shared" si="9"/>
        <v>40815369</v>
      </c>
      <c r="E16" s="268">
        <f t="shared" si="10"/>
        <v>35270923.753665693</v>
      </c>
      <c r="F16" s="300">
        <f t="shared" si="11"/>
        <v>40815369</v>
      </c>
      <c r="G16" s="266">
        <v>42188796.945306204</v>
      </c>
      <c r="H16" s="270">
        <f>1-0.882401068</f>
        <v>0.11759893200000004</v>
      </c>
      <c r="I16" s="300">
        <f t="shared" si="0"/>
        <v>4961357.4631328741</v>
      </c>
      <c r="J16" s="266">
        <v>0</v>
      </c>
      <c r="K16" s="270">
        <f>1-0.882401068</f>
        <v>0.11759893200000004</v>
      </c>
      <c r="L16" s="261">
        <f t="shared" si="1"/>
        <v>4961357.4631328741</v>
      </c>
      <c r="M16" s="305">
        <v>0</v>
      </c>
      <c r="N16" s="268">
        <f t="shared" si="2"/>
        <v>0</v>
      </c>
      <c r="O16" s="293">
        <f>IF(Netvolumenmål!AI16&lt;Netvolumenmål!$Y$55,(Netvolumenmål!AI16-Netvolumenmål!$Y$55),0)</f>
        <v>0</v>
      </c>
      <c r="P16" s="269">
        <f>Netvolumenmål!AJ16*0.7</f>
        <v>0</v>
      </c>
      <c r="Q16" s="305">
        <f t="shared" si="12"/>
        <v>0</v>
      </c>
      <c r="R16" s="248">
        <f>-VLOOKUP($A$3:$A$50,Potentialesammenligning!$A$2:$I$49,9,FALSE)</f>
        <v>0</v>
      </c>
      <c r="S16" s="270">
        <f t="shared" si="13"/>
        <v>0</v>
      </c>
      <c r="T16" s="261">
        <f t="shared" si="14"/>
        <v>0</v>
      </c>
      <c r="U16" s="266">
        <f t="shared" si="3"/>
        <v>1373427.9453062043</v>
      </c>
      <c r="V16" s="266">
        <f t="shared" si="4"/>
        <v>0</v>
      </c>
      <c r="W16" s="266">
        <f t="shared" si="5"/>
        <v>0</v>
      </c>
      <c r="X16" s="267">
        <f t="shared" si="6"/>
        <v>0</v>
      </c>
      <c r="Y16" s="264" t="str">
        <f t="shared" si="7"/>
        <v>diskrepans</v>
      </c>
      <c r="AA16" s="241" t="s">
        <v>23</v>
      </c>
      <c r="AB16" s="242">
        <v>37808802</v>
      </c>
      <c r="AC16" s="242">
        <v>40815369</v>
      </c>
      <c r="AD16" s="242">
        <v>36082155</v>
      </c>
    </row>
    <row r="17" spans="1:30" ht="15" x14ac:dyDescent="0.25">
      <c r="A17" s="247" t="s">
        <v>25</v>
      </c>
      <c r="B17" s="263"/>
      <c r="C17" s="267">
        <f t="shared" si="8"/>
        <v>32343306.974999998</v>
      </c>
      <c r="D17" s="268">
        <f t="shared" si="9"/>
        <v>30864139</v>
      </c>
      <c r="E17" s="268">
        <f t="shared" si="10"/>
        <v>28176547.409579672</v>
      </c>
      <c r="F17" s="300">
        <f t="shared" si="11"/>
        <v>32343306.974999998</v>
      </c>
      <c r="G17" s="266">
        <v>34299086.188878007</v>
      </c>
      <c r="H17" s="270">
        <v>0.53390000000000004</v>
      </c>
      <c r="I17" s="300">
        <f t="shared" si="0"/>
        <v>18312282.116241969</v>
      </c>
      <c r="J17" s="266">
        <v>216182</v>
      </c>
      <c r="K17" s="270">
        <v>0.52980000000000005</v>
      </c>
      <c r="L17" s="261">
        <f t="shared" si="1"/>
        <v>18171655.862867571</v>
      </c>
      <c r="M17" s="305">
        <v>0.33476796733409497</v>
      </c>
      <c r="N17" s="268">
        <f t="shared" si="2"/>
        <v>11482235.36486762</v>
      </c>
      <c r="O17" s="293">
        <f>IF(Netvolumenmål!AI17&lt;Netvolumenmål!$Y$55,(Netvolumenmål!AI17-Netvolumenmål!$Y$55),0)</f>
        <v>0</v>
      </c>
      <c r="P17" s="269">
        <f>Netvolumenmål!AJ17*0.7</f>
        <v>0</v>
      </c>
      <c r="Q17" s="305">
        <f t="shared" si="12"/>
        <v>0.33476796733409497</v>
      </c>
      <c r="R17" s="248">
        <f>-VLOOKUP($A$3:$A$50,Potentialesammenligning!$A$2:$I$49,9,FALSE)</f>
        <v>0</v>
      </c>
      <c r="S17" s="270">
        <f t="shared" si="13"/>
        <v>0.33476796733409497</v>
      </c>
      <c r="T17" s="261">
        <f t="shared" si="14"/>
        <v>11482235.36486762</v>
      </c>
      <c r="U17" s="266">
        <f t="shared" si="3"/>
        <v>1955779.2138780095</v>
      </c>
      <c r="V17" s="266">
        <f t="shared" si="4"/>
        <v>9526456.1509896107</v>
      </c>
      <c r="W17" s="266">
        <f t="shared" si="5"/>
        <v>1617165.3487499999</v>
      </c>
      <c r="X17" s="267">
        <f t="shared" si="6"/>
        <v>3572944.5626280094</v>
      </c>
      <c r="Y17" s="264" t="str">
        <f t="shared" si="7"/>
        <v>diskrepans</v>
      </c>
      <c r="AA17" s="241" t="s">
        <v>25</v>
      </c>
      <c r="AB17" s="242">
        <v>32182395</v>
      </c>
      <c r="AC17" s="242">
        <v>30864139</v>
      </c>
      <c r="AD17" s="242">
        <v>28824608</v>
      </c>
    </row>
    <row r="18" spans="1:30" x14ac:dyDescent="0.3">
      <c r="A18" s="247" t="s">
        <v>26</v>
      </c>
      <c r="B18" s="263"/>
      <c r="C18" s="267">
        <f t="shared" si="8"/>
        <v>39865887.749999993</v>
      </c>
      <c r="D18" s="268">
        <f t="shared" si="9"/>
        <v>35887376</v>
      </c>
      <c r="E18" s="268">
        <f t="shared" si="10"/>
        <v>33783344.086021505</v>
      </c>
      <c r="F18" s="300">
        <f t="shared" si="11"/>
        <v>39865887.749999993</v>
      </c>
      <c r="G18" s="266">
        <v>40546952.854559198</v>
      </c>
      <c r="H18" s="270">
        <v>0.52900000000000003</v>
      </c>
      <c r="I18" s="300">
        <f t="shared" ref="I18:I33" si="15">G18*H18</f>
        <v>21449338.060061816</v>
      </c>
      <c r="J18" s="266">
        <v>4325807.5</v>
      </c>
      <c r="K18" s="270">
        <v>0.4597</v>
      </c>
      <c r="L18" s="261">
        <f t="shared" ref="L18:L33" si="16">K18*G18</f>
        <v>18639434.227240864</v>
      </c>
      <c r="M18" s="305">
        <v>0.264686631645629</v>
      </c>
      <c r="N18" s="268">
        <f t="shared" ref="N18:N31" si="17">G18*M18</f>
        <v>10732236.374567395</v>
      </c>
      <c r="O18" s="293">
        <f>IF(Netvolumenmål!AI18&lt;Netvolumenmål!$Y$55,(Netvolumenmål!AI18-Netvolumenmål!$Y$55),0)</f>
        <v>0</v>
      </c>
      <c r="P18" s="269">
        <f>Netvolumenmål!AJ18*0.7</f>
        <v>0</v>
      </c>
      <c r="Q18" s="305">
        <f t="shared" si="12"/>
        <v>0.264686631645629</v>
      </c>
      <c r="R18" s="248">
        <f>-VLOOKUP($A$3:$A$50,Potentialesammenligning!$A$2:$I$49,9,FALSE)</f>
        <v>-3.8930437667464048E-2</v>
      </c>
      <c r="S18" s="270">
        <f t="shared" si="13"/>
        <v>0.22575619397816496</v>
      </c>
      <c r="T18" s="261">
        <f t="shared" si="14"/>
        <v>9153725.7538573761</v>
      </c>
      <c r="U18" s="266">
        <f t="shared" si="3"/>
        <v>681065.10455920547</v>
      </c>
      <c r="V18" s="266">
        <f t="shared" si="4"/>
        <v>8472660.6492981706</v>
      </c>
      <c r="W18" s="266">
        <f t="shared" si="5"/>
        <v>1993294.3874999997</v>
      </c>
      <c r="X18" s="267">
        <f t="shared" si="6"/>
        <v>2674359.4920592052</v>
      </c>
      <c r="Y18" s="264" t="str">
        <f t="shared" si="7"/>
        <v>diskrepans</v>
      </c>
      <c r="AA18" s="241" t="s">
        <v>26</v>
      </c>
      <c r="AB18" s="242">
        <v>39667550</v>
      </c>
      <c r="AC18" s="242">
        <v>35887376</v>
      </c>
      <c r="AD18" s="242">
        <v>34560361</v>
      </c>
    </row>
    <row r="19" spans="1:30" x14ac:dyDescent="0.3">
      <c r="A19" s="247" t="s">
        <v>64</v>
      </c>
      <c r="B19" s="266"/>
      <c r="C19" s="267">
        <f t="shared" si="8"/>
        <v>7114297.5149999997</v>
      </c>
      <c r="D19" s="268">
        <f t="shared" si="9"/>
        <v>7109783</v>
      </c>
      <c r="E19" s="268">
        <f t="shared" si="10"/>
        <v>8314555.2297165208</v>
      </c>
      <c r="F19" s="300">
        <f t="shared" si="11"/>
        <v>8314555.2297165208</v>
      </c>
      <c r="G19" s="266">
        <v>8451811.4092523996</v>
      </c>
      <c r="H19" s="270">
        <v>0.33729999999999999</v>
      </c>
      <c r="I19" s="300">
        <f t="shared" si="15"/>
        <v>2850795.9883408342</v>
      </c>
      <c r="J19" s="266">
        <v>0</v>
      </c>
      <c r="K19" s="270">
        <v>0.33729999999999999</v>
      </c>
      <c r="L19" s="261">
        <f t="shared" si="16"/>
        <v>2850795.9883408342</v>
      </c>
      <c r="M19" s="305">
        <v>0.1701</v>
      </c>
      <c r="N19" s="268">
        <f t="shared" si="17"/>
        <v>1437653.1207138333</v>
      </c>
      <c r="O19" s="293">
        <f>IF(Netvolumenmål!AI19&lt;Netvolumenmål!$Y$55,(Netvolumenmål!AI19-Netvolumenmål!$Y$55),0)</f>
        <v>0</v>
      </c>
      <c r="P19" s="269">
        <f>Netvolumenmål!AJ19*0.7</f>
        <v>0</v>
      </c>
      <c r="Q19" s="305">
        <f t="shared" si="12"/>
        <v>0.1701</v>
      </c>
      <c r="R19" s="248">
        <f>-VLOOKUP($A$3:$A$50,Potentialesammenligning!$A$2:$I$49,9,FALSE)</f>
        <v>0</v>
      </c>
      <c r="S19" s="270">
        <f t="shared" si="13"/>
        <v>0.1701</v>
      </c>
      <c r="T19" s="261">
        <f t="shared" si="14"/>
        <v>1437653.1207138333</v>
      </c>
      <c r="U19" s="266">
        <f t="shared" si="3"/>
        <v>137256.17953587882</v>
      </c>
      <c r="V19" s="266">
        <f t="shared" si="4"/>
        <v>1300396.9411779544</v>
      </c>
      <c r="W19" s="266">
        <f t="shared" si="5"/>
        <v>325099.23529448861</v>
      </c>
      <c r="X19" s="267">
        <f t="shared" si="6"/>
        <v>140413.0716652032</v>
      </c>
      <c r="Y19" s="264" t="str">
        <f t="shared" si="7"/>
        <v>diskrepans</v>
      </c>
      <c r="AA19" s="241" t="s">
        <v>64</v>
      </c>
      <c r="AB19" s="242">
        <v>7078903</v>
      </c>
      <c r="AC19" s="242">
        <v>7109783</v>
      </c>
      <c r="AD19" s="242">
        <v>8505790</v>
      </c>
    </row>
    <row r="20" spans="1:30" x14ac:dyDescent="0.3">
      <c r="A20" s="247" t="s">
        <v>65</v>
      </c>
      <c r="B20" s="266"/>
      <c r="C20" s="267">
        <f t="shared" si="8"/>
        <v>11393864.895</v>
      </c>
      <c r="D20" s="268">
        <f t="shared" si="9"/>
        <v>7509671</v>
      </c>
      <c r="E20" s="268">
        <f t="shared" si="10"/>
        <v>12124691.104594331</v>
      </c>
      <c r="F20" s="300">
        <f t="shared" si="11"/>
        <v>12124691.104594331</v>
      </c>
      <c r="G20" s="266">
        <v>17730142.955062997</v>
      </c>
      <c r="H20" s="270">
        <v>0.74950000000000006</v>
      </c>
      <c r="I20" s="300">
        <f t="shared" si="15"/>
        <v>13288742.144819718</v>
      </c>
      <c r="J20" s="266">
        <v>0</v>
      </c>
      <c r="K20" s="270">
        <v>0.74950000000000006</v>
      </c>
      <c r="L20" s="261">
        <f t="shared" si="16"/>
        <v>13288742.144819718</v>
      </c>
      <c r="M20" s="305">
        <v>0.5837</v>
      </c>
      <c r="N20" s="268">
        <f t="shared" si="17"/>
        <v>10349084.44287027</v>
      </c>
      <c r="O20" s="293">
        <f>IF(Netvolumenmål!AI20&lt;Netvolumenmål!$Y$55,(Netvolumenmål!AI20-Netvolumenmål!$Y$55),0)</f>
        <v>-0.26496541761835468</v>
      </c>
      <c r="P20" s="269">
        <f>Netvolumenmål!AJ20*0.7</f>
        <v>-6.055784619667496E-2</v>
      </c>
      <c r="Q20" s="305">
        <f t="shared" si="12"/>
        <v>0.52314215380332507</v>
      </c>
      <c r="R20" s="248">
        <f>-VLOOKUP($A$3:$A$50,Potentialesammenligning!$A$2:$I$49,9,FALSE)</f>
        <v>0</v>
      </c>
      <c r="S20" s="270">
        <f t="shared" si="13"/>
        <v>0.52314215380332507</v>
      </c>
      <c r="T20" s="261">
        <f t="shared" si="14"/>
        <v>9275385.172752507</v>
      </c>
      <c r="U20" s="266">
        <f t="shared" si="3"/>
        <v>5605451.8504686654</v>
      </c>
      <c r="V20" s="266">
        <f t="shared" si="4"/>
        <v>3669933.3222838417</v>
      </c>
      <c r="W20" s="266">
        <f t="shared" si="5"/>
        <v>606234.55522971659</v>
      </c>
      <c r="X20" s="267">
        <f t="shared" si="6"/>
        <v>5734377.2430294454</v>
      </c>
      <c r="Y20" s="264" t="str">
        <f t="shared" si="7"/>
        <v>diskrepans</v>
      </c>
      <c r="AA20" s="241" t="s">
        <v>65</v>
      </c>
      <c r="AB20" s="242">
        <v>11337179</v>
      </c>
      <c r="AC20" s="242">
        <v>7509671</v>
      </c>
      <c r="AD20" s="242">
        <v>12403559</v>
      </c>
    </row>
    <row r="21" spans="1:30" x14ac:dyDescent="0.3">
      <c r="A21" s="247" t="s">
        <v>67</v>
      </c>
      <c r="B21" s="266"/>
      <c r="C21" s="267">
        <f t="shared" si="8"/>
        <v>19146316.305</v>
      </c>
      <c r="D21" s="268">
        <f t="shared" si="9"/>
        <v>18066383</v>
      </c>
      <c r="E21" s="268">
        <f t="shared" si="10"/>
        <v>19736188.660801567</v>
      </c>
      <c r="F21" s="300">
        <f t="shared" si="11"/>
        <v>19736188.660801567</v>
      </c>
      <c r="G21" s="266">
        <v>20516466.621079799</v>
      </c>
      <c r="H21" s="270">
        <v>0.49230000000000002</v>
      </c>
      <c r="I21" s="300">
        <f t="shared" si="15"/>
        <v>10100256.517557586</v>
      </c>
      <c r="J21" s="266">
        <v>702299</v>
      </c>
      <c r="K21" s="270">
        <v>0.4662</v>
      </c>
      <c r="L21" s="261">
        <f t="shared" si="16"/>
        <v>9564776.738747403</v>
      </c>
      <c r="M21" s="305">
        <v>0.305254567112419</v>
      </c>
      <c r="N21" s="268">
        <f t="shared" si="17"/>
        <v>6262745.1370941075</v>
      </c>
      <c r="O21" s="293">
        <f>IF(Netvolumenmål!AI21&lt;Netvolumenmål!$Y$55,(Netvolumenmål!AI21-Netvolumenmål!$Y$55),0)</f>
        <v>-0.22823825047018528</v>
      </c>
      <c r="P21" s="269">
        <f>Netvolumenmål!AJ21*0.7</f>
        <v>-5.2163852144960839E-2</v>
      </c>
      <c r="Q21" s="305">
        <f t="shared" si="12"/>
        <v>0.25309071496745816</v>
      </c>
      <c r="R21" s="248">
        <f>-VLOOKUP($A$3:$A$50,Potentialesammenligning!$A$2:$I$49,9,FALSE)</f>
        <v>0</v>
      </c>
      <c r="S21" s="270">
        <f t="shared" si="13"/>
        <v>0.25309071496745816</v>
      </c>
      <c r="T21" s="261">
        <f t="shared" si="14"/>
        <v>5192527.2057350772</v>
      </c>
      <c r="U21" s="266">
        <f t="shared" si="3"/>
        <v>780277.96027823165</v>
      </c>
      <c r="V21" s="266">
        <f t="shared" si="4"/>
        <v>4412249.2454568455</v>
      </c>
      <c r="W21" s="266">
        <f t="shared" si="5"/>
        <v>986809.43304007838</v>
      </c>
      <c r="X21" s="267">
        <f t="shared" si="6"/>
        <v>798224.35336463153</v>
      </c>
      <c r="Y21" s="264" t="str">
        <f t="shared" si="7"/>
        <v>diskrepans</v>
      </c>
      <c r="AA21" s="241" t="s">
        <v>67</v>
      </c>
      <c r="AB21" s="242">
        <v>19051061</v>
      </c>
      <c r="AC21" s="242">
        <v>18066383</v>
      </c>
      <c r="AD21" s="242">
        <v>20190121</v>
      </c>
    </row>
    <row r="22" spans="1:30" x14ac:dyDescent="0.3">
      <c r="A22" s="247" t="s">
        <v>68</v>
      </c>
      <c r="B22" s="266"/>
      <c r="C22" s="267">
        <f t="shared" si="8"/>
        <v>102193444.09499998</v>
      </c>
      <c r="D22" s="268">
        <f t="shared" si="9"/>
        <v>84343395</v>
      </c>
      <c r="E22" s="268">
        <f t="shared" si="10"/>
        <v>87455478.005865112</v>
      </c>
      <c r="F22" s="300">
        <f t="shared" si="11"/>
        <v>102193444.09499998</v>
      </c>
      <c r="G22" s="266">
        <v>146526431.3576616</v>
      </c>
      <c r="H22" s="270">
        <v>0.44600000000000001</v>
      </c>
      <c r="I22" s="300">
        <f t="shared" si="15"/>
        <v>65350788.385517076</v>
      </c>
      <c r="J22" s="266">
        <v>14867686</v>
      </c>
      <c r="K22" s="270">
        <f>1-0.6396876</f>
        <v>0.36031239999999998</v>
      </c>
      <c r="L22" s="261">
        <f t="shared" si="16"/>
        <v>52795290.145914309</v>
      </c>
      <c r="M22" s="305">
        <v>0.20406127795925799</v>
      </c>
      <c r="N22" s="268">
        <f t="shared" si="17"/>
        <v>29900370.83765392</v>
      </c>
      <c r="O22" s="293">
        <f>IF(Netvolumenmål!AI22&lt;Netvolumenmål!$Y$55,(Netvolumenmål!AI22-Netvolumenmål!$Y$55),0)</f>
        <v>-0.22365200566027407</v>
      </c>
      <c r="P22" s="269">
        <f>Netvolumenmål!AJ22*0.7</f>
        <v>-5.111566589365564E-2</v>
      </c>
      <c r="Q22" s="305">
        <f t="shared" si="12"/>
        <v>0.15294561206560237</v>
      </c>
      <c r="R22" s="248">
        <f>-VLOOKUP($A$3:$A$50,Potentialesammenligning!$A$2:$I$49,9,FALSE)</f>
        <v>0</v>
      </c>
      <c r="S22" s="270">
        <f t="shared" si="13"/>
        <v>0.15294561206560237</v>
      </c>
      <c r="T22" s="261">
        <f t="shared" si="14"/>
        <v>22410574.727786027</v>
      </c>
      <c r="U22" s="266">
        <f t="shared" si="3"/>
        <v>44332987.262661621</v>
      </c>
      <c r="V22" s="266">
        <f t="shared" si="4"/>
        <v>0</v>
      </c>
      <c r="W22" s="266">
        <f t="shared" si="5"/>
        <v>0</v>
      </c>
      <c r="X22" s="267">
        <f t="shared" si="6"/>
        <v>22410574.727786027</v>
      </c>
      <c r="Y22" s="264" t="str">
        <f t="shared" si="7"/>
        <v>diskrepans</v>
      </c>
      <c r="AA22" s="241" t="s">
        <v>68</v>
      </c>
      <c r="AB22" s="242">
        <v>101685019</v>
      </c>
      <c r="AC22" s="242">
        <v>84343395</v>
      </c>
      <c r="AD22" s="242">
        <v>89466954</v>
      </c>
    </row>
    <row r="23" spans="1:30" ht="15" x14ac:dyDescent="0.25">
      <c r="A23" s="247" t="s">
        <v>27</v>
      </c>
      <c r="B23" s="266"/>
      <c r="C23" s="267">
        <f t="shared" si="8"/>
        <v>10139251.034999998</v>
      </c>
      <c r="D23" s="268">
        <f t="shared" si="9"/>
        <v>10464688</v>
      </c>
      <c r="E23" s="268">
        <f t="shared" si="10"/>
        <v>9912902.2482893467</v>
      </c>
      <c r="F23" s="300">
        <f t="shared" si="11"/>
        <v>10464688</v>
      </c>
      <c r="G23" s="266">
        <v>11181991.899909601</v>
      </c>
      <c r="H23" s="270">
        <v>0.16270000000000001</v>
      </c>
      <c r="I23" s="300">
        <f t="shared" si="15"/>
        <v>1819310.0821152921</v>
      </c>
      <c r="J23" s="266">
        <v>0</v>
      </c>
      <c r="K23" s="270">
        <v>0.16270000000000001</v>
      </c>
      <c r="L23" s="261">
        <f t="shared" si="16"/>
        <v>1819310.0821152921</v>
      </c>
      <c r="M23" s="305">
        <v>0</v>
      </c>
      <c r="N23" s="268">
        <f t="shared" si="17"/>
        <v>0</v>
      </c>
      <c r="O23" s="293">
        <f>IF(Netvolumenmål!AI23&lt;Netvolumenmål!$Y$55,(Netvolumenmål!AI23-Netvolumenmål!$Y$55),0)</f>
        <v>-0.21811692812799596</v>
      </c>
      <c r="P23" s="269">
        <f>Netvolumenmål!AJ23*0.7</f>
        <v>-4.9850623923653477E-2</v>
      </c>
      <c r="Q23" s="305">
        <f t="shared" si="12"/>
        <v>0</v>
      </c>
      <c r="R23" s="248">
        <f>-VLOOKUP($A$3:$A$50,Potentialesammenligning!$A$2:$I$49,9,FALSE)</f>
        <v>0</v>
      </c>
      <c r="S23" s="270">
        <f t="shared" si="13"/>
        <v>0</v>
      </c>
      <c r="T23" s="261">
        <f t="shared" si="14"/>
        <v>0</v>
      </c>
      <c r="U23" s="266">
        <f t="shared" si="3"/>
        <v>717303.89990960062</v>
      </c>
      <c r="V23" s="266">
        <f t="shared" si="4"/>
        <v>0</v>
      </c>
      <c r="W23" s="266">
        <f t="shared" si="5"/>
        <v>0</v>
      </c>
      <c r="X23" s="267">
        <f t="shared" si="6"/>
        <v>0</v>
      </c>
      <c r="Y23" s="264" t="str">
        <f t="shared" si="7"/>
        <v>diskrepans</v>
      </c>
      <c r="AA23" s="241" t="s">
        <v>27</v>
      </c>
      <c r="AB23" s="242">
        <v>10088807</v>
      </c>
      <c r="AC23" s="242">
        <v>10464688</v>
      </c>
      <c r="AD23" s="242">
        <v>10140899</v>
      </c>
    </row>
    <row r="24" spans="1:30" x14ac:dyDescent="0.3">
      <c r="A24" s="247" t="s">
        <v>66</v>
      </c>
      <c r="B24" s="263"/>
      <c r="C24" s="267">
        <f t="shared" si="8"/>
        <v>6021281.6249999991</v>
      </c>
      <c r="D24" s="268">
        <f t="shared" si="9"/>
        <v>4605023</v>
      </c>
      <c r="E24" s="268">
        <f t="shared" si="10"/>
        <v>4560580.6451612907</v>
      </c>
      <c r="F24" s="300">
        <f t="shared" si="11"/>
        <v>6021281.6249999991</v>
      </c>
      <c r="G24" s="266">
        <v>6861534.4293369995</v>
      </c>
      <c r="H24" s="270">
        <v>0.43619999999999998</v>
      </c>
      <c r="I24" s="300">
        <f t="shared" si="15"/>
        <v>2993001.3180767992</v>
      </c>
      <c r="J24" s="266">
        <v>0</v>
      </c>
      <c r="K24" s="270">
        <v>0.43619999999999998</v>
      </c>
      <c r="L24" s="261">
        <f t="shared" si="16"/>
        <v>2993001.3180767992</v>
      </c>
      <c r="M24" s="305">
        <v>0.2412</v>
      </c>
      <c r="N24" s="268">
        <f t="shared" si="17"/>
        <v>1655002.1043560843</v>
      </c>
      <c r="O24" s="293">
        <f>IF(Netvolumenmål!AI24&lt;Netvolumenmål!$Y$55,(Netvolumenmål!AI24-Netvolumenmål!$Y$55),0)</f>
        <v>0</v>
      </c>
      <c r="P24" s="269">
        <f>Netvolumenmål!AJ24*0.7</f>
        <v>0</v>
      </c>
      <c r="Q24" s="305">
        <f t="shared" si="12"/>
        <v>0.2412</v>
      </c>
      <c r="R24" s="248">
        <f>-VLOOKUP($A$3:$A$50,Potentialesammenligning!$A$2:$I$49,9,FALSE)</f>
        <v>-0.15763798651218297</v>
      </c>
      <c r="S24" s="270">
        <f>IF(Q24+R24&gt;0,IF(R24=0,Q24,Q24+R24),0)</f>
        <v>8.3562013487817027E-2</v>
      </c>
      <c r="T24" s="261">
        <f>S24*G24</f>
        <v>573363.63253137923</v>
      </c>
      <c r="U24" s="266">
        <f t="shared" si="3"/>
        <v>840252.80433700047</v>
      </c>
      <c r="V24" s="266">
        <f t="shared" si="4"/>
        <v>0</v>
      </c>
      <c r="W24" s="266">
        <f t="shared" si="5"/>
        <v>0</v>
      </c>
      <c r="X24" s="267">
        <f t="shared" si="6"/>
        <v>573363.63253137923</v>
      </c>
      <c r="Y24" s="264" t="str">
        <f t="shared" si="7"/>
        <v>diskrepans</v>
      </c>
      <c r="AA24" s="241" t="s">
        <v>173</v>
      </c>
      <c r="AB24" s="242">
        <v>5991325</v>
      </c>
      <c r="AC24" s="242">
        <v>4605023</v>
      </c>
      <c r="AD24" s="242">
        <v>4665474</v>
      </c>
    </row>
    <row r="25" spans="1:30" ht="15" x14ac:dyDescent="0.25">
      <c r="A25" s="247" t="s">
        <v>28</v>
      </c>
      <c r="B25" s="266"/>
      <c r="C25" s="267">
        <f t="shared" si="8"/>
        <v>25056599.699999996</v>
      </c>
      <c r="D25" s="268">
        <f t="shared" si="9"/>
        <v>22014992</v>
      </c>
      <c r="E25" s="268">
        <f t="shared" si="10"/>
        <v>23670762.46334311</v>
      </c>
      <c r="F25" s="300">
        <f t="shared" si="11"/>
        <v>25056599.699999996</v>
      </c>
      <c r="G25" s="266">
        <v>31149259.568462003</v>
      </c>
      <c r="H25" s="270">
        <v>0.45469999999999999</v>
      </c>
      <c r="I25" s="300">
        <f t="shared" si="15"/>
        <v>14163568.325779673</v>
      </c>
      <c r="J25" s="266">
        <v>0</v>
      </c>
      <c r="K25" s="270">
        <v>0.45469999999999999</v>
      </c>
      <c r="L25" s="261">
        <f t="shared" si="16"/>
        <v>14163568.325779673</v>
      </c>
      <c r="M25" s="305">
        <v>0.25969999999999999</v>
      </c>
      <c r="N25" s="268">
        <f t="shared" si="17"/>
        <v>8089462.7099295817</v>
      </c>
      <c r="O25" s="293">
        <f>IF(Netvolumenmål!AI25&lt;Netvolumenmål!$Y$55,(Netvolumenmål!AI25-Netvolumenmål!$Y$55),0)</f>
        <v>0</v>
      </c>
      <c r="P25" s="269">
        <f>Netvolumenmål!AJ25*0.7</f>
        <v>0</v>
      </c>
      <c r="Q25" s="305">
        <f t="shared" si="12"/>
        <v>0.25969999999999999</v>
      </c>
      <c r="R25" s="248">
        <f>-VLOOKUP($A$3:$A$50,Potentialesammenligning!$A$2:$I$49,9,FALSE)</f>
        <v>0</v>
      </c>
      <c r="S25" s="270">
        <f t="shared" si="13"/>
        <v>0.25969999999999999</v>
      </c>
      <c r="T25" s="261">
        <f t="shared" si="14"/>
        <v>8089462.7099295817</v>
      </c>
      <c r="U25" s="266">
        <f t="shared" si="3"/>
        <v>6092659.8684620075</v>
      </c>
      <c r="V25" s="266">
        <f t="shared" si="4"/>
        <v>1996802.8414675742</v>
      </c>
      <c r="W25" s="266">
        <f t="shared" si="5"/>
        <v>499200.71036689356</v>
      </c>
      <c r="X25" s="267">
        <f t="shared" si="6"/>
        <v>6591860.5788289011</v>
      </c>
      <c r="Y25" s="264" t="str">
        <f t="shared" si="7"/>
        <v>diskrepans</v>
      </c>
      <c r="AA25" s="241" t="s">
        <v>28</v>
      </c>
      <c r="AB25" s="242">
        <v>24931940</v>
      </c>
      <c r="AC25" s="242">
        <v>22014992</v>
      </c>
      <c r="AD25" s="242">
        <v>24215190</v>
      </c>
    </row>
    <row r="26" spans="1:30" x14ac:dyDescent="0.3">
      <c r="A26" s="247" t="s">
        <v>36</v>
      </c>
      <c r="B26" s="266"/>
      <c r="C26" s="267">
        <f t="shared" si="8"/>
        <v>8791851.5549999997</v>
      </c>
      <c r="D26" s="268">
        <f t="shared" si="9"/>
        <v>7014577</v>
      </c>
      <c r="E26" s="268">
        <f t="shared" si="10"/>
        <v>7441055.7184750736</v>
      </c>
      <c r="F26" s="300">
        <f t="shared" si="11"/>
        <v>8791851.5549999997</v>
      </c>
      <c r="G26" s="266">
        <v>9069573.1163520012</v>
      </c>
      <c r="H26" s="270">
        <v>0.60160000000000002</v>
      </c>
      <c r="I26" s="300">
        <f t="shared" si="15"/>
        <v>5456255.1867973637</v>
      </c>
      <c r="J26" s="266">
        <v>440875</v>
      </c>
      <c r="K26" s="270">
        <v>0.56989999999999996</v>
      </c>
      <c r="L26" s="261">
        <f t="shared" si="16"/>
        <v>5168749.7190090055</v>
      </c>
      <c r="M26" s="305">
        <v>0.37630995789495603</v>
      </c>
      <c r="N26" s="268">
        <f t="shared" si="17"/>
        <v>3412970.6775396466</v>
      </c>
      <c r="O26" s="293">
        <f>IF(Netvolumenmål!AI26&lt;Netvolumenmål!$Y$55,(Netvolumenmål!AI26-Netvolumenmål!$Y$55),0)</f>
        <v>-0.14410590036858137</v>
      </c>
      <c r="P26" s="269">
        <f>Netvolumenmål!AJ26*0.7</f>
        <v>-3.2935403529239272E-2</v>
      </c>
      <c r="Q26" s="305">
        <f t="shared" si="12"/>
        <v>0.34337455436571673</v>
      </c>
      <c r="R26" s="248">
        <f>-VLOOKUP($A$3:$A$50,Potentialesammenligning!$A$2:$I$49,9,FALSE)</f>
        <v>0</v>
      </c>
      <c r="S26" s="270">
        <f t="shared" si="13"/>
        <v>0.34337455436571673</v>
      </c>
      <c r="T26" s="261">
        <f t="shared" si="14"/>
        <v>3114260.6271146531</v>
      </c>
      <c r="U26" s="266">
        <f t="shared" si="3"/>
        <v>277721.5613520015</v>
      </c>
      <c r="V26" s="266">
        <f t="shared" si="4"/>
        <v>2836539.0657626516</v>
      </c>
      <c r="W26" s="266">
        <f t="shared" si="5"/>
        <v>439592.57775</v>
      </c>
      <c r="X26" s="267">
        <f t="shared" si="6"/>
        <v>717314.13910200144</v>
      </c>
      <c r="Y26" s="264" t="str">
        <f t="shared" si="7"/>
        <v>diskrepans</v>
      </c>
      <c r="AA26" s="241" t="s">
        <v>36</v>
      </c>
      <c r="AB26" s="242">
        <v>8748111</v>
      </c>
      <c r="AC26" s="242">
        <v>7014577</v>
      </c>
      <c r="AD26" s="242">
        <v>7612200</v>
      </c>
    </row>
    <row r="27" spans="1:30" ht="15" x14ac:dyDescent="0.25">
      <c r="A27" s="247" t="s">
        <v>29</v>
      </c>
      <c r="B27" s="266"/>
      <c r="C27" s="267">
        <f t="shared" si="8"/>
        <v>21733888.799999997</v>
      </c>
      <c r="D27" s="268">
        <f t="shared" si="9"/>
        <v>22569921</v>
      </c>
      <c r="E27" s="268">
        <f t="shared" si="10"/>
        <v>21714679.374389052</v>
      </c>
      <c r="F27" s="300">
        <f t="shared" si="11"/>
        <v>22569921</v>
      </c>
      <c r="G27" s="266">
        <v>22600890.862941999</v>
      </c>
      <c r="H27" s="270">
        <v>0.21870000000000001</v>
      </c>
      <c r="I27" s="300">
        <f t="shared" si="15"/>
        <v>4942814.8317254148</v>
      </c>
      <c r="J27" s="266">
        <v>1021398</v>
      </c>
      <c r="K27" s="270">
        <f>1-0.8106347187</f>
        <v>0.18936528129999997</v>
      </c>
      <c r="L27" s="261">
        <f t="shared" si="16"/>
        <v>4279824.0558916107</v>
      </c>
      <c r="M27" s="305">
        <f>0</f>
        <v>0</v>
      </c>
      <c r="N27" s="268">
        <f t="shared" si="17"/>
        <v>0</v>
      </c>
      <c r="O27" s="293">
        <f>IF(Netvolumenmål!AI27&lt;Netvolumenmål!$Y$55,(Netvolumenmål!AI27-Netvolumenmål!$Y$55),0)</f>
        <v>0</v>
      </c>
      <c r="P27" s="269">
        <f>Netvolumenmål!AJ27*0.7</f>
        <v>0</v>
      </c>
      <c r="Q27" s="305">
        <f t="shared" si="12"/>
        <v>0</v>
      </c>
      <c r="R27" s="248">
        <f>-VLOOKUP($A$3:$A$50,Potentialesammenligning!$A$2:$I$49,9,FALSE)</f>
        <v>0</v>
      </c>
      <c r="S27" s="270">
        <f t="shared" si="13"/>
        <v>0</v>
      </c>
      <c r="T27" s="261">
        <f t="shared" si="14"/>
        <v>0</v>
      </c>
      <c r="U27" s="266">
        <f t="shared" si="3"/>
        <v>30969.862941998988</v>
      </c>
      <c r="V27" s="266">
        <f t="shared" si="4"/>
        <v>0</v>
      </c>
      <c r="W27" s="266">
        <f t="shared" si="5"/>
        <v>0</v>
      </c>
      <c r="X27" s="267">
        <f t="shared" si="6"/>
        <v>0</v>
      </c>
      <c r="Y27" s="264" t="str">
        <f t="shared" si="7"/>
        <v>diskrepans</v>
      </c>
      <c r="AA27" s="241" t="s">
        <v>29</v>
      </c>
      <c r="AB27" s="242">
        <v>21625760</v>
      </c>
      <c r="AC27" s="242">
        <v>22569921</v>
      </c>
      <c r="AD27" s="242">
        <v>22214117</v>
      </c>
    </row>
    <row r="28" spans="1:30" x14ac:dyDescent="0.3">
      <c r="A28" s="247" t="s">
        <v>30</v>
      </c>
      <c r="B28" s="263"/>
      <c r="C28" s="267">
        <f t="shared" si="8"/>
        <v>17171206.889999997</v>
      </c>
      <c r="D28" s="268">
        <f t="shared" si="9"/>
        <v>15632315</v>
      </c>
      <c r="E28" s="268">
        <f t="shared" si="10"/>
        <v>13669191.593352884</v>
      </c>
      <c r="F28" s="300">
        <f t="shared" si="11"/>
        <v>17171206.889999997</v>
      </c>
      <c r="G28" s="266">
        <v>20004680.498159003</v>
      </c>
      <c r="H28" s="270">
        <v>0.49</v>
      </c>
      <c r="I28" s="300">
        <f t="shared" si="15"/>
        <v>9802293.4440979119</v>
      </c>
      <c r="J28" s="266">
        <v>0</v>
      </c>
      <c r="K28" s="270">
        <v>0.49</v>
      </c>
      <c r="L28" s="261">
        <f t="shared" si="16"/>
        <v>9802293.4440979119</v>
      </c>
      <c r="M28" s="305">
        <v>0.29499999999999998</v>
      </c>
      <c r="N28" s="268">
        <f t="shared" si="17"/>
        <v>5901380.7469569054</v>
      </c>
      <c r="O28" s="293">
        <f>IF(Netvolumenmål!AI28&lt;Netvolumenmål!$Y$55,(Netvolumenmål!AI28-Netvolumenmål!$Y$55),0)</f>
        <v>0</v>
      </c>
      <c r="P28" s="269">
        <f>Netvolumenmål!AJ28*0.7</f>
        <v>0</v>
      </c>
      <c r="Q28" s="305">
        <f t="shared" si="12"/>
        <v>0.29499999999999998</v>
      </c>
      <c r="R28" s="248">
        <f>-VLOOKUP($A$3:$A$50,Potentialesammenligning!$A$2:$I$49,9,FALSE)</f>
        <v>0</v>
      </c>
      <c r="S28" s="270">
        <f t="shared" si="13"/>
        <v>0.29499999999999998</v>
      </c>
      <c r="T28" s="261">
        <f t="shared" si="14"/>
        <v>5901380.7469569054</v>
      </c>
      <c r="U28" s="266">
        <f t="shared" si="3"/>
        <v>2833473.6081590056</v>
      </c>
      <c r="V28" s="266">
        <f t="shared" si="4"/>
        <v>3067907.1387978997</v>
      </c>
      <c r="W28" s="266">
        <f t="shared" si="5"/>
        <v>766976.78469947493</v>
      </c>
      <c r="X28" s="267">
        <f t="shared" si="6"/>
        <v>3600450.3928584806</v>
      </c>
      <c r="Y28" s="264" t="str">
        <f t="shared" si="7"/>
        <v>diskrepans</v>
      </c>
      <c r="AA28" s="241" t="s">
        <v>30</v>
      </c>
      <c r="AB28" s="242">
        <v>17085778</v>
      </c>
      <c r="AC28" s="242">
        <v>15632315</v>
      </c>
      <c r="AD28" s="242">
        <v>13983583</v>
      </c>
    </row>
    <row r="29" spans="1:30" ht="15" x14ac:dyDescent="0.25">
      <c r="A29" s="247" t="s">
        <v>31</v>
      </c>
      <c r="B29" s="263"/>
      <c r="C29" s="267">
        <f t="shared" si="8"/>
        <v>14032404.959999999</v>
      </c>
      <c r="D29" s="268">
        <f t="shared" si="9"/>
        <v>14937168</v>
      </c>
      <c r="E29" s="268">
        <f t="shared" si="10"/>
        <v>11052770.283479962</v>
      </c>
      <c r="F29" s="300">
        <f t="shared" si="11"/>
        <v>14937168</v>
      </c>
      <c r="G29" s="266">
        <v>16360347.067868998</v>
      </c>
      <c r="H29" s="270">
        <v>0.36670000000000003</v>
      </c>
      <c r="I29" s="300">
        <f t="shared" si="15"/>
        <v>5999339.2697875621</v>
      </c>
      <c r="J29" s="266">
        <v>0</v>
      </c>
      <c r="K29" s="270">
        <v>0.36670000000000003</v>
      </c>
      <c r="L29" s="261">
        <f t="shared" si="16"/>
        <v>5999339.2697875621</v>
      </c>
      <c r="M29" s="305">
        <v>0.17169999999999999</v>
      </c>
      <c r="N29" s="268">
        <f t="shared" si="17"/>
        <v>2809071.5915531069</v>
      </c>
      <c r="O29" s="293">
        <f>IF(Netvolumenmål!AI29&lt;Netvolumenmål!$Y$55,(Netvolumenmål!AI29-Netvolumenmål!$Y$55),0)</f>
        <v>0</v>
      </c>
      <c r="P29" s="269">
        <f>Netvolumenmål!AJ29*0.7</f>
        <v>0</v>
      </c>
      <c r="Q29" s="305">
        <f t="shared" si="12"/>
        <v>0.17169999999999999</v>
      </c>
      <c r="R29" s="248">
        <f>-VLOOKUP($A$3:$A$50,Potentialesammenligning!$A$2:$I$49,9,FALSE)</f>
        <v>0</v>
      </c>
      <c r="S29" s="270">
        <f t="shared" si="13"/>
        <v>0.17169999999999999</v>
      </c>
      <c r="T29" s="261">
        <f t="shared" si="14"/>
        <v>2809071.5915531069</v>
      </c>
      <c r="U29" s="266">
        <f t="shared" si="3"/>
        <v>1423179.0678689983</v>
      </c>
      <c r="V29" s="266">
        <f t="shared" si="4"/>
        <v>1385892.5236841086</v>
      </c>
      <c r="W29" s="266">
        <f t="shared" si="5"/>
        <v>346473.13092102716</v>
      </c>
      <c r="X29" s="267">
        <f t="shared" si="6"/>
        <v>1769652.1987900254</v>
      </c>
      <c r="Y29" s="264" t="str">
        <f t="shared" si="7"/>
        <v>diskrepans</v>
      </c>
      <c r="AA29" s="241" t="s">
        <v>31</v>
      </c>
      <c r="AB29" s="242">
        <v>13962592</v>
      </c>
      <c r="AC29" s="242">
        <v>14937168</v>
      </c>
      <c r="AD29" s="242">
        <v>11306984</v>
      </c>
    </row>
    <row r="30" spans="1:30" ht="15" x14ac:dyDescent="0.25">
      <c r="A30" s="247" t="s">
        <v>32</v>
      </c>
      <c r="B30" s="263"/>
      <c r="C30" s="267">
        <f t="shared" si="8"/>
        <v>54248002.559999995</v>
      </c>
      <c r="D30" s="268">
        <f t="shared" si="9"/>
        <v>54486454</v>
      </c>
      <c r="E30" s="268">
        <f t="shared" si="10"/>
        <v>55578998.044965789</v>
      </c>
      <c r="F30" s="300">
        <f t="shared" si="11"/>
        <v>55578998.044965789</v>
      </c>
      <c r="G30" s="266">
        <v>67953386.207946405</v>
      </c>
      <c r="H30" s="270">
        <v>0.15670000000000001</v>
      </c>
      <c r="I30" s="300">
        <f t="shared" si="15"/>
        <v>10648295.618785203</v>
      </c>
      <c r="J30" s="266">
        <v>0</v>
      </c>
      <c r="K30" s="270">
        <v>0.15670000000000001</v>
      </c>
      <c r="L30" s="261">
        <f t="shared" si="16"/>
        <v>10648295.618785203</v>
      </c>
      <c r="M30" s="305">
        <v>0</v>
      </c>
      <c r="N30" s="268">
        <f t="shared" si="17"/>
        <v>0</v>
      </c>
      <c r="O30" s="293">
        <f>IF(Netvolumenmål!AI30&lt;Netvolumenmål!$Y$55,(Netvolumenmål!AI30-Netvolumenmål!$Y$55),0)</f>
        <v>0</v>
      </c>
      <c r="P30" s="269">
        <f>Netvolumenmål!AJ30*0.7</f>
        <v>0</v>
      </c>
      <c r="Q30" s="305">
        <f t="shared" si="12"/>
        <v>0</v>
      </c>
      <c r="R30" s="248">
        <f>-VLOOKUP($A$3:$A$50,Potentialesammenligning!$A$2:$I$49,9,FALSE)</f>
        <v>0</v>
      </c>
      <c r="S30" s="270">
        <f t="shared" si="13"/>
        <v>0</v>
      </c>
      <c r="T30" s="261">
        <f t="shared" si="14"/>
        <v>0</v>
      </c>
      <c r="U30" s="266">
        <f t="shared" si="3"/>
        <v>12374388.162980616</v>
      </c>
      <c r="V30" s="266">
        <f t="shared" si="4"/>
        <v>0</v>
      </c>
      <c r="W30" s="266">
        <f t="shared" si="5"/>
        <v>0</v>
      </c>
      <c r="X30" s="267">
        <f t="shared" si="6"/>
        <v>0</v>
      </c>
      <c r="Y30" s="264" t="str">
        <f t="shared" si="7"/>
        <v>diskrepans</v>
      </c>
      <c r="AA30" s="241" t="s">
        <v>32</v>
      </c>
      <c r="AB30" s="242">
        <v>53978112</v>
      </c>
      <c r="AC30" s="242">
        <v>54486454</v>
      </c>
      <c r="AD30" s="242">
        <v>56857315</v>
      </c>
    </row>
    <row r="31" spans="1:30" x14ac:dyDescent="0.3">
      <c r="A31" s="247" t="s">
        <v>33</v>
      </c>
      <c r="B31" s="263"/>
      <c r="C31" s="267">
        <f t="shared" si="8"/>
        <v>40003704.404999994</v>
      </c>
      <c r="D31" s="268">
        <f t="shared" si="9"/>
        <v>37456966</v>
      </c>
      <c r="E31" s="268">
        <f t="shared" si="10"/>
        <v>37922695.992179863</v>
      </c>
      <c r="F31" s="300">
        <f t="shared" si="11"/>
        <v>40003704.404999994</v>
      </c>
      <c r="G31" s="266">
        <v>43409207.672929004</v>
      </c>
      <c r="H31" s="270">
        <v>0.55079999999999996</v>
      </c>
      <c r="I31" s="300">
        <f t="shared" si="15"/>
        <v>23909791.586249292</v>
      </c>
      <c r="J31" s="266">
        <v>0</v>
      </c>
      <c r="K31" s="270">
        <v>0.55079999999999996</v>
      </c>
      <c r="L31" s="261">
        <f t="shared" si="16"/>
        <v>23909791.586249292</v>
      </c>
      <c r="M31" s="305">
        <v>0.36020000000000002</v>
      </c>
      <c r="N31" s="268">
        <f t="shared" si="17"/>
        <v>15635996.603789028</v>
      </c>
      <c r="O31" s="293">
        <f>IF(Netvolumenmål!AI31&lt;Netvolumenmål!$Y$55,(Netvolumenmål!AI31-Netvolumenmål!$Y$55),0)</f>
        <v>0</v>
      </c>
      <c r="P31" s="269">
        <f>Netvolumenmål!AJ31*0.7</f>
        <v>0</v>
      </c>
      <c r="Q31" s="305">
        <f t="shared" si="12"/>
        <v>0.36020000000000002</v>
      </c>
      <c r="R31" s="248">
        <f>-VLOOKUP($A$3:$A$50,Potentialesammenligning!$A$2:$I$49,9,FALSE)</f>
        <v>0</v>
      </c>
      <c r="S31" s="270">
        <f t="shared" si="13"/>
        <v>0.36020000000000002</v>
      </c>
      <c r="T31" s="261">
        <f t="shared" si="14"/>
        <v>15635996.603789028</v>
      </c>
      <c r="U31" s="266">
        <f t="shared" si="3"/>
        <v>3405503.2679290101</v>
      </c>
      <c r="V31" s="266">
        <f t="shared" si="4"/>
        <v>12230493.335860018</v>
      </c>
      <c r="W31" s="266">
        <f t="shared" si="5"/>
        <v>2000185.2202499998</v>
      </c>
      <c r="X31" s="267">
        <f t="shared" si="6"/>
        <v>5405688.4881790094</v>
      </c>
      <c r="Y31" s="264" t="str">
        <f t="shared" si="7"/>
        <v>diskrepans</v>
      </c>
      <c r="AA31" s="241" t="s">
        <v>33</v>
      </c>
      <c r="AB31" s="242">
        <v>39804681</v>
      </c>
      <c r="AC31" s="242">
        <v>37456966</v>
      </c>
      <c r="AD31" s="242">
        <v>38794918</v>
      </c>
    </row>
    <row r="32" spans="1:30" s="13" customFormat="1" ht="15" x14ac:dyDescent="0.25">
      <c r="A32" s="263" t="s">
        <v>62</v>
      </c>
      <c r="B32" s="263"/>
      <c r="C32" s="267">
        <f t="shared" si="8"/>
        <v>33722668.469999999</v>
      </c>
      <c r="D32" s="268">
        <f t="shared" si="9"/>
        <v>30249237</v>
      </c>
      <c r="E32" s="268">
        <f t="shared" si="10"/>
        <v>27487509.286412515</v>
      </c>
      <c r="F32" s="300">
        <f t="shared" si="11"/>
        <v>33722668.469999999</v>
      </c>
      <c r="G32" s="266">
        <v>34519487.900888197</v>
      </c>
      <c r="H32" s="270">
        <v>0.32119999999999999</v>
      </c>
      <c r="I32" s="300">
        <f t="shared" si="15"/>
        <v>11087659.513765289</v>
      </c>
      <c r="J32" s="266">
        <v>0</v>
      </c>
      <c r="K32" s="270">
        <v>0.32119999999999999</v>
      </c>
      <c r="L32" s="261">
        <f t="shared" si="16"/>
        <v>11087659.513765289</v>
      </c>
      <c r="M32" s="305">
        <v>0.12620000000000001</v>
      </c>
      <c r="N32" s="268">
        <f t="shared" ref="N32:N33" si="18">G32*M32</f>
        <v>4356359.3730920907</v>
      </c>
      <c r="O32" s="293">
        <f>IF(Netvolumenmål!AI32&lt;Netvolumenmål!$Y$55,(Netvolumenmål!AI32-Netvolumenmål!$Y$55),0)</f>
        <v>0</v>
      </c>
      <c r="P32" s="269">
        <f>Netvolumenmål!AJ32*0.7</f>
        <v>0</v>
      </c>
      <c r="Q32" s="305">
        <f t="shared" si="12"/>
        <v>0.12620000000000001</v>
      </c>
      <c r="R32" s="248">
        <f>-VLOOKUP($A$3:$A$50,Potentialesammenligning!$A$2:$I$49,9,FALSE)</f>
        <v>0</v>
      </c>
      <c r="S32" s="270">
        <f t="shared" si="13"/>
        <v>0.12620000000000001</v>
      </c>
      <c r="T32" s="261">
        <f t="shared" si="14"/>
        <v>4356359.3730920907</v>
      </c>
      <c r="U32" s="266">
        <f t="shared" si="3"/>
        <v>796819.43088819832</v>
      </c>
      <c r="V32" s="266">
        <f t="shared" si="4"/>
        <v>3559539.9422038924</v>
      </c>
      <c r="W32" s="266">
        <f t="shared" si="5"/>
        <v>889884.9855509731</v>
      </c>
      <c r="X32" s="267">
        <f t="shared" si="6"/>
        <v>1686704.4164391714</v>
      </c>
      <c r="Y32" s="264" t="str">
        <f t="shared" si="7"/>
        <v>diskrepans</v>
      </c>
      <c r="AA32" s="243" t="s">
        <v>62</v>
      </c>
      <c r="AB32" s="242">
        <v>33554894</v>
      </c>
      <c r="AC32" s="242">
        <v>30249237</v>
      </c>
      <c r="AD32" s="242">
        <v>28119722</v>
      </c>
    </row>
    <row r="33" spans="1:30" x14ac:dyDescent="0.3">
      <c r="A33" s="247" t="s">
        <v>34</v>
      </c>
      <c r="B33" s="266"/>
      <c r="C33" s="267">
        <f t="shared" si="8"/>
        <v>14439002.834999999</v>
      </c>
      <c r="D33" s="268">
        <f t="shared" si="9"/>
        <v>14501178</v>
      </c>
      <c r="E33" s="268">
        <f t="shared" si="10"/>
        <v>12491531.769305963</v>
      </c>
      <c r="F33" s="300">
        <f t="shared" si="11"/>
        <v>14501178</v>
      </c>
      <c r="G33" s="266">
        <v>40612172.280353799</v>
      </c>
      <c r="H33" s="270">
        <v>0.70799999999999996</v>
      </c>
      <c r="I33" s="300">
        <f t="shared" si="15"/>
        <v>28753417.97449049</v>
      </c>
      <c r="J33" s="266">
        <v>22351</v>
      </c>
      <c r="K33" s="270">
        <f>1-0.2923998</f>
        <v>0.70760020000000001</v>
      </c>
      <c r="L33" s="261">
        <f t="shared" si="16"/>
        <v>28737181.228012804</v>
      </c>
      <c r="M33" s="305">
        <v>0.54332672562120798</v>
      </c>
      <c r="N33" s="268">
        <f t="shared" si="18"/>
        <v>22065678.585449018</v>
      </c>
      <c r="O33" s="293">
        <f>IF(Netvolumenmål!AI33&lt;Netvolumenmål!$Y$55,(Netvolumenmål!AI33-Netvolumenmål!$Y$55),0)</f>
        <v>-0.38289900763008211</v>
      </c>
      <c r="P33" s="249">
        <f>Netvolumenmål!AJ33*0.7</f>
        <v>-8.7511568193855263E-2</v>
      </c>
      <c r="Q33" s="305">
        <f t="shared" si="12"/>
        <v>0.45581515742735274</v>
      </c>
      <c r="R33" s="248">
        <f>-VLOOKUP($A$3:$A$50,Potentialesammenligning!$A$2:$I$49,9,FALSE)</f>
        <v>0</v>
      </c>
      <c r="S33" s="270">
        <f t="shared" si="13"/>
        <v>0.45581515742735274</v>
      </c>
      <c r="T33" s="261">
        <f>S33*G33</f>
        <v>18511643.701436237</v>
      </c>
      <c r="U33" s="266">
        <f t="shared" si="3"/>
        <v>26110994.280353799</v>
      </c>
      <c r="V33" s="266">
        <f t="shared" si="4"/>
        <v>0</v>
      </c>
      <c r="W33" s="266">
        <f t="shared" si="5"/>
        <v>0</v>
      </c>
      <c r="X33" s="267">
        <f t="shared" si="6"/>
        <v>18511643.701436237</v>
      </c>
      <c r="Y33" s="264" t="str">
        <f t="shared" si="7"/>
        <v>diskrepans</v>
      </c>
      <c r="AA33" s="241" t="s">
        <v>34</v>
      </c>
      <c r="AB33" s="242">
        <v>14367167</v>
      </c>
      <c r="AC33" s="242">
        <v>14501178</v>
      </c>
      <c r="AD33" s="242">
        <v>12778837</v>
      </c>
    </row>
    <row r="34" spans="1:30" x14ac:dyDescent="0.3">
      <c r="A34" s="257" t="s">
        <v>35</v>
      </c>
      <c r="B34" s="262"/>
      <c r="C34" s="267">
        <f t="shared" si="8"/>
        <v>21225909.539999999</v>
      </c>
      <c r="D34" s="268">
        <f t="shared" si="9"/>
        <v>19742193</v>
      </c>
      <c r="E34" s="268">
        <f t="shared" si="10"/>
        <v>17162667.644183774</v>
      </c>
      <c r="F34" s="300">
        <f t="shared" si="11"/>
        <v>21225909.539999999</v>
      </c>
      <c r="G34" s="266">
        <v>21797274.396291804</v>
      </c>
      <c r="H34" s="270">
        <v>0.29249999999999998</v>
      </c>
      <c r="I34" s="300">
        <f t="shared" ref="I34:I45" si="19">G34*H34</f>
        <v>6375702.760915352</v>
      </c>
      <c r="J34" s="266">
        <v>97437</v>
      </c>
      <c r="K34" s="270">
        <v>0.28960000000000002</v>
      </c>
      <c r="L34" s="261">
        <f t="shared" ref="L34:L45" si="20">K34*G34</f>
        <v>6312490.665166107</v>
      </c>
      <c r="M34" s="305">
        <v>9.4596603955175995E-2</v>
      </c>
      <c r="N34" s="268">
        <f t="shared" ref="N34:N50" si="21">G34*M34</f>
        <v>2061948.1333683138</v>
      </c>
      <c r="O34" s="293">
        <f>IF(Netvolumenmål!AI34&lt;Netvolumenmål!$Y$55,(Netvolumenmål!AI34-Netvolumenmål!$Y$55),0)</f>
        <v>0</v>
      </c>
      <c r="P34" s="269">
        <f>Netvolumenmål!AJ34*0.7</f>
        <v>0</v>
      </c>
      <c r="Q34" s="305">
        <f t="shared" si="12"/>
        <v>9.4596603955175995E-2</v>
      </c>
      <c r="R34" s="248">
        <f>-VLOOKUP($A$3:$A$50,Potentialesammenligning!$A$2:$I$49,9,FALSE)</f>
        <v>0</v>
      </c>
      <c r="S34" s="270">
        <f t="shared" si="13"/>
        <v>9.4596603955175995E-2</v>
      </c>
      <c r="T34" s="261">
        <f t="shared" si="14"/>
        <v>2061948.1333683138</v>
      </c>
      <c r="U34" s="266">
        <f t="shared" si="3"/>
        <v>571364.85629180446</v>
      </c>
      <c r="V34" s="266">
        <f t="shared" si="4"/>
        <v>1490583.2770765093</v>
      </c>
      <c r="W34" s="266">
        <f t="shared" si="5"/>
        <v>372645.81926912733</v>
      </c>
      <c r="X34" s="267">
        <f t="shared" si="6"/>
        <v>944010.67556093179</v>
      </c>
      <c r="Y34" s="264" t="str">
        <f t="shared" si="7"/>
        <v>diskrepans</v>
      </c>
      <c r="AA34" s="241" t="s">
        <v>35</v>
      </c>
      <c r="AB34" s="242">
        <v>21120308</v>
      </c>
      <c r="AC34" s="242">
        <v>19742193</v>
      </c>
      <c r="AD34" s="242">
        <v>17557409</v>
      </c>
    </row>
    <row r="35" spans="1:30" ht="15" x14ac:dyDescent="0.25">
      <c r="A35" s="247" t="s">
        <v>37</v>
      </c>
      <c r="B35" s="266"/>
      <c r="C35" s="267">
        <f t="shared" si="8"/>
        <v>23451822.734999996</v>
      </c>
      <c r="D35" s="268">
        <f t="shared" si="9"/>
        <v>19114339</v>
      </c>
      <c r="E35" s="268">
        <f t="shared" si="10"/>
        <v>16980410.557184752</v>
      </c>
      <c r="F35" s="300">
        <f t="shared" si="11"/>
        <v>23451822.734999996</v>
      </c>
      <c r="G35" s="266">
        <v>27635159.5338028</v>
      </c>
      <c r="H35" s="270">
        <v>0.26590000000000003</v>
      </c>
      <c r="I35" s="300">
        <f t="shared" si="19"/>
        <v>7348188.9200381655</v>
      </c>
      <c r="J35" s="266">
        <v>0</v>
      </c>
      <c r="K35" s="270">
        <v>0.26590000000000003</v>
      </c>
      <c r="L35" s="261">
        <f t="shared" si="20"/>
        <v>7348188.9200381655</v>
      </c>
      <c r="M35" s="305">
        <v>8.4900000000000003E-2</v>
      </c>
      <c r="N35" s="268">
        <f t="shared" si="21"/>
        <v>2346225.0444198577</v>
      </c>
      <c r="O35" s="293">
        <f>IF(Netvolumenmål!AI35&lt;Netvolumenmål!$Y$55,(Netvolumenmål!AI35-Netvolumenmål!$Y$55),0)</f>
        <v>0</v>
      </c>
      <c r="P35" s="269">
        <f>Netvolumenmål!AJ35*0.7</f>
        <v>0</v>
      </c>
      <c r="Q35" s="305">
        <f t="shared" si="12"/>
        <v>8.4900000000000003E-2</v>
      </c>
      <c r="R35" s="248">
        <f>-VLOOKUP($A$3:$A$50,Potentialesammenligning!$A$2:$I$49,9,FALSE)</f>
        <v>0</v>
      </c>
      <c r="S35" s="270">
        <f t="shared" si="13"/>
        <v>8.4900000000000003E-2</v>
      </c>
      <c r="T35" s="261">
        <f t="shared" si="14"/>
        <v>2346225.0444198577</v>
      </c>
      <c r="U35" s="266">
        <f t="shared" si="3"/>
        <v>4183336.7988028042</v>
      </c>
      <c r="V35" s="266">
        <f t="shared" si="4"/>
        <v>0</v>
      </c>
      <c r="W35" s="266">
        <f t="shared" si="5"/>
        <v>0</v>
      </c>
      <c r="X35" s="267">
        <f t="shared" si="6"/>
        <v>2346225.0444198577</v>
      </c>
      <c r="Y35" s="264" t="str">
        <f t="shared" si="7"/>
        <v>diskrepans</v>
      </c>
      <c r="AA35" s="241" t="s">
        <v>37</v>
      </c>
      <c r="AB35" s="242">
        <v>23335147</v>
      </c>
      <c r="AC35" s="242">
        <v>19114339</v>
      </c>
      <c r="AD35" s="242">
        <v>17370960</v>
      </c>
    </row>
    <row r="36" spans="1:30" ht="15" x14ac:dyDescent="0.25">
      <c r="A36" s="247" t="s">
        <v>44</v>
      </c>
      <c r="B36" s="266"/>
      <c r="C36" s="267">
        <f t="shared" si="8"/>
        <v>53068613.954999991</v>
      </c>
      <c r="D36" s="268">
        <f t="shared" si="9"/>
        <v>48369576</v>
      </c>
      <c r="E36" s="268">
        <f t="shared" si="10"/>
        <v>47125146.627565987</v>
      </c>
      <c r="F36" s="300">
        <f t="shared" si="11"/>
        <v>53068613.954999991</v>
      </c>
      <c r="G36" s="266">
        <v>54212728.684924595</v>
      </c>
      <c r="H36" s="270">
        <v>0.45240000000000002</v>
      </c>
      <c r="I36" s="300">
        <f t="shared" si="19"/>
        <v>24525838.457059886</v>
      </c>
      <c r="J36" s="266">
        <v>0</v>
      </c>
      <c r="K36" s="270">
        <v>0.45240000000000002</v>
      </c>
      <c r="L36" s="261">
        <f t="shared" si="20"/>
        <v>24525838.457059886</v>
      </c>
      <c r="M36" s="305">
        <v>0.25729999999999997</v>
      </c>
      <c r="N36" s="268">
        <f t="shared" si="21"/>
        <v>13948935.090631098</v>
      </c>
      <c r="O36" s="293">
        <f>IF(Netvolumenmål!AI36&lt;Netvolumenmål!$Y$55,(Netvolumenmål!AI36-Netvolumenmål!$Y$55),0)</f>
        <v>0</v>
      </c>
      <c r="P36" s="269">
        <f>Netvolumenmål!AJ36*0.7</f>
        <v>0</v>
      </c>
      <c r="Q36" s="305">
        <f t="shared" si="12"/>
        <v>0.25729999999999997</v>
      </c>
      <c r="R36" s="248">
        <f>-VLOOKUP($A$3:$A$50,Potentialesammenligning!$A$2:$I$49,9,FALSE)</f>
        <v>0</v>
      </c>
      <c r="S36" s="270">
        <f t="shared" si="13"/>
        <v>0.25729999999999997</v>
      </c>
      <c r="T36" s="261">
        <f t="shared" si="14"/>
        <v>13948935.090631098</v>
      </c>
      <c r="U36" s="266">
        <f t="shared" si="3"/>
        <v>1144114.7299246043</v>
      </c>
      <c r="V36" s="266">
        <f t="shared" si="4"/>
        <v>12804820.360706493</v>
      </c>
      <c r="W36" s="266">
        <f t="shared" si="5"/>
        <v>2653430.6977499998</v>
      </c>
      <c r="X36" s="267">
        <f t="shared" si="6"/>
        <v>3797545.4276746041</v>
      </c>
      <c r="Y36" s="264" t="str">
        <f t="shared" si="7"/>
        <v>diskrepans</v>
      </c>
      <c r="AA36" s="241" t="s">
        <v>44</v>
      </c>
      <c r="AB36" s="242">
        <v>52804591</v>
      </c>
      <c r="AC36" s="242">
        <v>48369576</v>
      </c>
      <c r="AD36" s="242">
        <v>48209025</v>
      </c>
    </row>
    <row r="37" spans="1:30" ht="15" x14ac:dyDescent="0.25">
      <c r="A37" s="247" t="s">
        <v>38</v>
      </c>
      <c r="B37" s="266"/>
      <c r="C37" s="267">
        <f t="shared" si="8"/>
        <v>13024198.004999999</v>
      </c>
      <c r="D37" s="268">
        <f t="shared" si="9"/>
        <v>12459511</v>
      </c>
      <c r="E37" s="268">
        <f t="shared" si="10"/>
        <v>10953089.931573803</v>
      </c>
      <c r="F37" s="300">
        <f t="shared" si="11"/>
        <v>13024198.004999999</v>
      </c>
      <c r="G37" s="266">
        <v>13126071.0443702</v>
      </c>
      <c r="H37" s="270">
        <v>0.36299999999999999</v>
      </c>
      <c r="I37" s="300">
        <f t="shared" si="19"/>
        <v>4764763.789106383</v>
      </c>
      <c r="J37" s="266">
        <v>0</v>
      </c>
      <c r="K37" s="270">
        <v>0.36299999999999999</v>
      </c>
      <c r="L37" s="261">
        <f t="shared" si="20"/>
        <v>4764763.789106383</v>
      </c>
      <c r="M37" s="305">
        <v>0.16800000000000001</v>
      </c>
      <c r="N37" s="268">
        <f t="shared" si="21"/>
        <v>2205179.935454194</v>
      </c>
      <c r="O37" s="293">
        <f>IF(Netvolumenmål!AI37&lt;Netvolumenmål!$Y$55,(Netvolumenmål!AI37-Netvolumenmål!$Y$55),0)</f>
        <v>0</v>
      </c>
      <c r="P37" s="269">
        <f>Netvolumenmål!AJ37*0.7</f>
        <v>0</v>
      </c>
      <c r="Q37" s="305">
        <f t="shared" si="12"/>
        <v>0.16800000000000001</v>
      </c>
      <c r="R37" s="248">
        <f>-VLOOKUP($A$3:$A$50,Potentialesammenligning!$A$2:$I$49,9,FALSE)</f>
        <v>0</v>
      </c>
      <c r="S37" s="270">
        <f t="shared" si="13"/>
        <v>0.16800000000000001</v>
      </c>
      <c r="T37" s="261">
        <f t="shared" si="14"/>
        <v>2205179.935454194</v>
      </c>
      <c r="U37" s="266">
        <f t="shared" si="3"/>
        <v>101873.03937020153</v>
      </c>
      <c r="V37" s="266">
        <f t="shared" si="4"/>
        <v>2103306.8960839924</v>
      </c>
      <c r="W37" s="266">
        <f t="shared" si="5"/>
        <v>525826.72402099811</v>
      </c>
      <c r="X37" s="267">
        <f t="shared" si="6"/>
        <v>627699.76339119964</v>
      </c>
      <c r="Y37" s="264" t="str">
        <f t="shared" si="7"/>
        <v>diskrepans</v>
      </c>
      <c r="AA37" s="241" t="s">
        <v>38</v>
      </c>
      <c r="AB37" s="242">
        <v>12959401</v>
      </c>
      <c r="AC37" s="242">
        <v>12459511</v>
      </c>
      <c r="AD37" s="242">
        <v>11205011</v>
      </c>
    </row>
    <row r="38" spans="1:30" ht="15" x14ac:dyDescent="0.25">
      <c r="A38" s="247" t="s">
        <v>46</v>
      </c>
      <c r="B38" s="266"/>
      <c r="C38" s="267">
        <f t="shared" si="8"/>
        <v>22947519.764999997</v>
      </c>
      <c r="D38" s="268">
        <f t="shared" si="9"/>
        <v>25252726</v>
      </c>
      <c r="E38" s="268">
        <f t="shared" si="10"/>
        <v>22291616.813294236</v>
      </c>
      <c r="F38" s="300">
        <f t="shared" si="11"/>
        <v>25252726</v>
      </c>
      <c r="G38" s="266">
        <v>32655587.944193199</v>
      </c>
      <c r="H38" s="270">
        <v>0.49380000000000002</v>
      </c>
      <c r="I38" s="300">
        <f t="shared" si="19"/>
        <v>16125329.326842602</v>
      </c>
      <c r="J38" s="266">
        <v>0</v>
      </c>
      <c r="K38" s="270">
        <v>0.49380000000000002</v>
      </c>
      <c r="L38" s="261">
        <f t="shared" si="20"/>
        <v>16125329.326842602</v>
      </c>
      <c r="M38" s="305">
        <v>0.3327</v>
      </c>
      <c r="N38" s="268">
        <f t="shared" si="21"/>
        <v>10864514.109033078</v>
      </c>
      <c r="O38" s="293">
        <f>IF(Netvolumenmål!AI38&lt;Netvolumenmål!$Y$55,(Netvolumenmål!AI38-Netvolumenmål!$Y$55),0)</f>
        <v>0</v>
      </c>
      <c r="P38" s="269">
        <f>Netvolumenmål!AJ38*0.7</f>
        <v>0</v>
      </c>
      <c r="Q38" s="305">
        <f t="shared" si="12"/>
        <v>0.3327</v>
      </c>
      <c r="R38" s="248">
        <f>-VLOOKUP($A$3:$A$50,Potentialesammenligning!$A$2:$I$49,9,FALSE)</f>
        <v>0</v>
      </c>
      <c r="S38" s="270">
        <f t="shared" si="13"/>
        <v>0.3327</v>
      </c>
      <c r="T38" s="261">
        <f t="shared" si="14"/>
        <v>10864514.109033078</v>
      </c>
      <c r="U38" s="266">
        <f t="shared" si="3"/>
        <v>7402861.9441931993</v>
      </c>
      <c r="V38" s="266">
        <f t="shared" si="4"/>
        <v>3461652.1648398787</v>
      </c>
      <c r="W38" s="266">
        <f t="shared" si="5"/>
        <v>865413.04120996967</v>
      </c>
      <c r="X38" s="267">
        <f t="shared" si="6"/>
        <v>8268274.9854031689</v>
      </c>
      <c r="Y38" s="264" t="str">
        <f t="shared" si="7"/>
        <v>diskrepans</v>
      </c>
      <c r="AA38" s="241" t="s">
        <v>46</v>
      </c>
      <c r="AB38" s="242">
        <v>22833353</v>
      </c>
      <c r="AC38" s="242">
        <v>25252726</v>
      </c>
      <c r="AD38" s="242">
        <v>22804324</v>
      </c>
    </row>
    <row r="39" spans="1:30" x14ac:dyDescent="0.3">
      <c r="A39" s="247" t="s">
        <v>39</v>
      </c>
      <c r="B39" s="263"/>
      <c r="C39" s="267">
        <f t="shared" si="8"/>
        <v>4992184.7399999993</v>
      </c>
      <c r="D39" s="268">
        <f t="shared" si="9"/>
        <v>4892014</v>
      </c>
      <c r="E39" s="268">
        <f t="shared" si="10"/>
        <v>4022404.6920821117</v>
      </c>
      <c r="F39" s="300">
        <f t="shared" si="11"/>
        <v>4992184.7399999993</v>
      </c>
      <c r="G39" s="266">
        <v>6617014.9894828005</v>
      </c>
      <c r="H39" s="270">
        <v>0.45750000000000002</v>
      </c>
      <c r="I39" s="300">
        <f t="shared" si="19"/>
        <v>3027284.3576883813</v>
      </c>
      <c r="J39" s="266">
        <v>0</v>
      </c>
      <c r="K39" s="270">
        <v>0.45750000000000002</v>
      </c>
      <c r="L39" s="261">
        <f t="shared" si="20"/>
        <v>3027284.3576883813</v>
      </c>
      <c r="M39" s="305">
        <v>0.26250000000000001</v>
      </c>
      <c r="N39" s="268">
        <f t="shared" si="21"/>
        <v>1736966.4347392351</v>
      </c>
      <c r="O39" s="293">
        <f>IF(Netvolumenmål!AI39&lt;Netvolumenmål!$Y$55,(Netvolumenmål!AI39-Netvolumenmål!$Y$55),0)</f>
        <v>0</v>
      </c>
      <c r="P39" s="269">
        <f>Netvolumenmål!AJ39*0.7</f>
        <v>0</v>
      </c>
      <c r="Q39" s="305">
        <f t="shared" si="12"/>
        <v>0.26250000000000001</v>
      </c>
      <c r="R39" s="248">
        <f>-VLOOKUP($A$3:$A$50,Potentialesammenligning!$A$2:$I$49,9,FALSE)</f>
        <v>0</v>
      </c>
      <c r="S39" s="270">
        <f t="shared" si="13"/>
        <v>0.26250000000000001</v>
      </c>
      <c r="T39" s="261">
        <f t="shared" si="14"/>
        <v>1736966.4347392351</v>
      </c>
      <c r="U39" s="266">
        <f t="shared" si="3"/>
        <v>1624830.2494828012</v>
      </c>
      <c r="V39" s="266">
        <f t="shared" si="4"/>
        <v>112136.18525643391</v>
      </c>
      <c r="W39" s="266">
        <f t="shared" si="5"/>
        <v>28034.046314108477</v>
      </c>
      <c r="X39" s="267">
        <f t="shared" si="6"/>
        <v>1652864.2957969096</v>
      </c>
      <c r="Y39" s="264" t="str">
        <f t="shared" si="7"/>
        <v>diskrepans</v>
      </c>
      <c r="AA39" s="241" t="s">
        <v>39</v>
      </c>
      <c r="AB39" s="242">
        <v>4967348</v>
      </c>
      <c r="AC39" s="242">
        <v>4892014</v>
      </c>
      <c r="AD39" s="242">
        <v>4114920</v>
      </c>
    </row>
    <row r="40" spans="1:30" ht="15" x14ac:dyDescent="0.25">
      <c r="A40" s="247" t="s">
        <v>47</v>
      </c>
      <c r="B40" s="266"/>
      <c r="C40" s="267">
        <f t="shared" si="8"/>
        <v>41930609.999999993</v>
      </c>
      <c r="D40" s="268">
        <f t="shared" si="9"/>
        <v>41269000</v>
      </c>
      <c r="E40" s="268">
        <f t="shared" si="10"/>
        <v>37784946.236559145</v>
      </c>
      <c r="F40" s="300">
        <f t="shared" si="11"/>
        <v>41930609.999999993</v>
      </c>
      <c r="G40" s="266">
        <v>47887040.905545801</v>
      </c>
      <c r="H40" s="270">
        <v>0.2772</v>
      </c>
      <c r="I40" s="300">
        <f t="shared" si="19"/>
        <v>13274287.739017297</v>
      </c>
      <c r="J40" s="266">
        <v>0</v>
      </c>
      <c r="K40" s="270">
        <v>0.2772</v>
      </c>
      <c r="L40" s="261">
        <f t="shared" si="20"/>
        <v>13274287.739017297</v>
      </c>
      <c r="M40" s="305">
        <v>8.2199999999999995E-2</v>
      </c>
      <c r="N40" s="268">
        <f t="shared" si="21"/>
        <v>3936314.7624358647</v>
      </c>
      <c r="O40" s="293">
        <f>IF(Netvolumenmål!AI40&lt;Netvolumenmål!$Y$55,(Netvolumenmål!AI40-Netvolumenmål!$Y$55),0)</f>
        <v>0</v>
      </c>
      <c r="P40" s="269">
        <f>Netvolumenmål!AJ40*0.7</f>
        <v>0</v>
      </c>
      <c r="Q40" s="305">
        <f t="shared" si="12"/>
        <v>8.2199999999999995E-2</v>
      </c>
      <c r="R40" s="248">
        <f>-VLOOKUP($A$3:$A$50,Potentialesammenligning!$A$2:$I$49,9,FALSE)</f>
        <v>0</v>
      </c>
      <c r="S40" s="270">
        <f t="shared" si="13"/>
        <v>8.2199999999999995E-2</v>
      </c>
      <c r="T40" s="261">
        <f t="shared" si="14"/>
        <v>3936314.7624358647</v>
      </c>
      <c r="U40" s="266">
        <f t="shared" si="3"/>
        <v>5956430.9055458084</v>
      </c>
      <c r="V40" s="266">
        <f t="shared" si="4"/>
        <v>0</v>
      </c>
      <c r="W40" s="266">
        <f t="shared" si="5"/>
        <v>0</v>
      </c>
      <c r="X40" s="267">
        <f t="shared" si="6"/>
        <v>3936314.7624358647</v>
      </c>
      <c r="Y40" s="264" t="str">
        <f t="shared" si="7"/>
        <v>diskrepans</v>
      </c>
      <c r="AA40" s="241" t="s">
        <v>47</v>
      </c>
      <c r="AB40" s="242">
        <v>41722000</v>
      </c>
      <c r="AC40" s="242">
        <v>41269000</v>
      </c>
      <c r="AD40" s="242">
        <v>38654000</v>
      </c>
    </row>
    <row r="41" spans="1:30" ht="15" x14ac:dyDescent="0.25">
      <c r="A41" s="247" t="s">
        <v>48</v>
      </c>
      <c r="B41" s="266"/>
      <c r="C41" s="267">
        <f t="shared" si="8"/>
        <v>32197910.609999996</v>
      </c>
      <c r="D41" s="268">
        <f t="shared" si="9"/>
        <v>26814153</v>
      </c>
      <c r="E41" s="268">
        <f t="shared" si="10"/>
        <v>24226162.267839689</v>
      </c>
      <c r="F41" s="300">
        <f t="shared" si="11"/>
        <v>32197910.609999996</v>
      </c>
      <c r="G41" s="266">
        <v>41808085.887027599</v>
      </c>
      <c r="H41" s="270">
        <v>0.4582</v>
      </c>
      <c r="I41" s="300">
        <f t="shared" si="19"/>
        <v>19156464.953436047</v>
      </c>
      <c r="J41" s="266">
        <v>0</v>
      </c>
      <c r="K41" s="270">
        <v>0.4582</v>
      </c>
      <c r="L41" s="261">
        <f t="shared" si="20"/>
        <v>19156464.953436047</v>
      </c>
      <c r="M41" s="305">
        <v>0.26319999999999999</v>
      </c>
      <c r="N41" s="268">
        <f t="shared" si="21"/>
        <v>11003888.205465663</v>
      </c>
      <c r="O41" s="293">
        <f>IF(Netvolumenmål!AI41&lt;Netvolumenmål!$Y$55,(Netvolumenmål!AI41-Netvolumenmål!$Y$55),0)</f>
        <v>0</v>
      </c>
      <c r="P41" s="269">
        <f>Netvolumenmål!AJ41*0.7</f>
        <v>0</v>
      </c>
      <c r="Q41" s="305">
        <f t="shared" si="12"/>
        <v>0.26319999999999999</v>
      </c>
      <c r="R41" s="248">
        <f>-VLOOKUP($A$3:$A$50,Potentialesammenligning!$A$2:$I$49,9,FALSE)</f>
        <v>0</v>
      </c>
      <c r="S41" s="270">
        <f t="shared" si="13"/>
        <v>0.26319999999999999</v>
      </c>
      <c r="T41" s="261">
        <f t="shared" si="14"/>
        <v>11003888.205465663</v>
      </c>
      <c r="U41" s="266">
        <f t="shared" si="3"/>
        <v>9610175.2770276032</v>
      </c>
      <c r="V41" s="266">
        <f t="shared" si="4"/>
        <v>1393712.92843806</v>
      </c>
      <c r="W41" s="266">
        <f t="shared" si="5"/>
        <v>348428.232109515</v>
      </c>
      <c r="X41" s="267">
        <f t="shared" si="6"/>
        <v>9958603.5091371182</v>
      </c>
      <c r="Y41" s="264" t="str">
        <f t="shared" si="7"/>
        <v>diskrepans</v>
      </c>
      <c r="AA41" s="241" t="s">
        <v>48</v>
      </c>
      <c r="AB41" s="242">
        <v>32037722</v>
      </c>
      <c r="AC41" s="242">
        <v>26814153</v>
      </c>
      <c r="AD41" s="242">
        <v>24783364</v>
      </c>
    </row>
    <row r="42" spans="1:30" ht="15" x14ac:dyDescent="0.25">
      <c r="A42" s="247" t="s">
        <v>49</v>
      </c>
      <c r="B42" s="263"/>
      <c r="C42" s="267">
        <f t="shared" si="8"/>
        <v>27718904.999999996</v>
      </c>
      <c r="D42" s="268">
        <f t="shared" si="9"/>
        <v>25766022</v>
      </c>
      <c r="E42" s="268">
        <f t="shared" si="10"/>
        <v>22522266.862170089</v>
      </c>
      <c r="F42" s="300">
        <f t="shared" si="11"/>
        <v>27718904.999999996</v>
      </c>
      <c r="G42" s="266">
        <v>32473227.103298798</v>
      </c>
      <c r="H42" s="270">
        <v>0.24010000000000001</v>
      </c>
      <c r="I42" s="300">
        <f t="shared" si="19"/>
        <v>7796821.8275020421</v>
      </c>
      <c r="J42" s="266">
        <v>0</v>
      </c>
      <c r="K42" s="270">
        <v>0.24010000000000001</v>
      </c>
      <c r="L42" s="261">
        <f t="shared" si="20"/>
        <v>7796821.8275020421</v>
      </c>
      <c r="M42" s="305">
        <v>4.4999999999999998E-2</v>
      </c>
      <c r="N42" s="268">
        <f t="shared" si="21"/>
        <v>1461295.219648446</v>
      </c>
      <c r="O42" s="293">
        <f>IF(Netvolumenmål!AI42&lt;Netvolumenmål!$Y$55,(Netvolumenmål!AI42-Netvolumenmål!$Y$55),0)</f>
        <v>0</v>
      </c>
      <c r="P42" s="269">
        <f>Netvolumenmål!AJ42*0.7</f>
        <v>0</v>
      </c>
      <c r="Q42" s="305">
        <f t="shared" si="12"/>
        <v>4.4999999999999998E-2</v>
      </c>
      <c r="R42" s="248">
        <f>-VLOOKUP($A$3:$A$50,Potentialesammenligning!$A$2:$I$49,9,FALSE)</f>
        <v>0</v>
      </c>
      <c r="S42" s="270">
        <f t="shared" si="13"/>
        <v>4.4999999999999998E-2</v>
      </c>
      <c r="T42" s="261">
        <f t="shared" si="14"/>
        <v>1461295.219648446</v>
      </c>
      <c r="U42" s="266">
        <f t="shared" si="3"/>
        <v>4754322.1032988019</v>
      </c>
      <c r="V42" s="266">
        <f t="shared" si="4"/>
        <v>0</v>
      </c>
      <c r="W42" s="266">
        <f t="shared" si="5"/>
        <v>0</v>
      </c>
      <c r="X42" s="267">
        <f t="shared" si="6"/>
        <v>1461295.219648446</v>
      </c>
      <c r="Y42" s="264" t="str">
        <f t="shared" si="7"/>
        <v>diskrepans</v>
      </c>
      <c r="AA42" s="241" t="s">
        <v>49</v>
      </c>
      <c r="AB42" s="242">
        <v>27581000</v>
      </c>
      <c r="AC42" s="242">
        <v>25766022</v>
      </c>
      <c r="AD42" s="242">
        <v>23040279</v>
      </c>
    </row>
    <row r="43" spans="1:30" x14ac:dyDescent="0.3">
      <c r="A43" s="247" t="s">
        <v>50</v>
      </c>
      <c r="B43" s="266"/>
      <c r="C43" s="267">
        <f t="shared" si="8"/>
        <v>10486009.199999999</v>
      </c>
      <c r="D43" s="268">
        <f t="shared" si="9"/>
        <v>9213655</v>
      </c>
      <c r="E43" s="268">
        <f t="shared" si="10"/>
        <v>9194208.2111436967</v>
      </c>
      <c r="F43" s="300">
        <f t="shared" si="11"/>
        <v>10486009.199999999</v>
      </c>
      <c r="G43" s="266">
        <v>12355789.806970401</v>
      </c>
      <c r="H43" s="270">
        <v>0.41160000000000002</v>
      </c>
      <c r="I43" s="300">
        <f t="shared" si="19"/>
        <v>5085643.0845490173</v>
      </c>
      <c r="J43" s="266">
        <v>0</v>
      </c>
      <c r="K43" s="270">
        <v>0.41160000000000002</v>
      </c>
      <c r="L43" s="261">
        <f t="shared" si="20"/>
        <v>5085643.0845490173</v>
      </c>
      <c r="M43" s="305">
        <v>0.2281</v>
      </c>
      <c r="N43" s="268">
        <f t="shared" si="21"/>
        <v>2818355.6549699483</v>
      </c>
      <c r="O43" s="293">
        <f>IF(Netvolumenmål!AI43&lt;Netvolumenmål!$Y$55,(Netvolumenmål!AI43-Netvolumenmål!$Y$55),0)</f>
        <v>0</v>
      </c>
      <c r="P43" s="269">
        <f>Netvolumenmål!AJ43*0.7</f>
        <v>0</v>
      </c>
      <c r="Q43" s="305">
        <f t="shared" si="12"/>
        <v>0.2281</v>
      </c>
      <c r="R43" s="248">
        <f>-VLOOKUP($A$3:$A$50,Potentialesammenligning!$A$2:$I$49,9,FALSE)</f>
        <v>0</v>
      </c>
      <c r="S43" s="270">
        <f t="shared" si="13"/>
        <v>0.2281</v>
      </c>
      <c r="T43" s="261">
        <f t="shared" si="14"/>
        <v>2818355.6549699483</v>
      </c>
      <c r="U43" s="266">
        <f t="shared" si="3"/>
        <v>1869780.6069704015</v>
      </c>
      <c r="V43" s="266">
        <f t="shared" si="4"/>
        <v>948575.04799954686</v>
      </c>
      <c r="W43" s="266">
        <f t="shared" si="5"/>
        <v>237143.76199988672</v>
      </c>
      <c r="X43" s="267">
        <f t="shared" si="6"/>
        <v>2106924.368970288</v>
      </c>
      <c r="Y43" s="264" t="str">
        <f t="shared" si="7"/>
        <v>diskrepans</v>
      </c>
      <c r="AA43" s="241" t="s">
        <v>50</v>
      </c>
      <c r="AB43" s="242">
        <v>10433840</v>
      </c>
      <c r="AC43" s="242">
        <v>9213655</v>
      </c>
      <c r="AD43" s="242">
        <v>9405675</v>
      </c>
    </row>
    <row r="44" spans="1:30" x14ac:dyDescent="0.3">
      <c r="A44" s="247" t="s">
        <v>51</v>
      </c>
      <c r="B44" s="263"/>
      <c r="C44" s="267">
        <f t="shared" si="8"/>
        <v>55273285.469999991</v>
      </c>
      <c r="D44" s="268">
        <f t="shared" si="9"/>
        <v>53836750</v>
      </c>
      <c r="E44" s="268">
        <f t="shared" si="10"/>
        <v>52924126.099706747</v>
      </c>
      <c r="F44" s="300">
        <f t="shared" si="11"/>
        <v>55273285.469999991</v>
      </c>
      <c r="G44" s="266">
        <v>55714858.054506004</v>
      </c>
      <c r="H44" s="270">
        <v>0.44579999999999997</v>
      </c>
      <c r="I44" s="300">
        <f t="shared" si="19"/>
        <v>24837683.720698774</v>
      </c>
      <c r="J44" s="266">
        <v>6688160</v>
      </c>
      <c r="K44" s="270">
        <v>0.36699999999999999</v>
      </c>
      <c r="L44" s="261">
        <f t="shared" si="20"/>
        <v>20447352.906003702</v>
      </c>
      <c r="M44" s="305">
        <v>0.17774958650529499</v>
      </c>
      <c r="N44" s="268">
        <f t="shared" si="21"/>
        <v>9903292.9813896455</v>
      </c>
      <c r="O44" s="293">
        <f>IF(Netvolumenmål!AI44&lt;Netvolumenmål!$Y$55,(Netvolumenmål!AI44-Netvolumenmål!$Y$55),0)</f>
        <v>0</v>
      </c>
      <c r="P44" s="269">
        <f>Netvolumenmål!AJ44*0.7</f>
        <v>0</v>
      </c>
      <c r="Q44" s="305">
        <f t="shared" si="12"/>
        <v>0.17774958650529499</v>
      </c>
      <c r="R44" s="248">
        <f>-VLOOKUP($A$3:$A$50,Potentialesammenligning!$A$2:$I$49,9,FALSE)</f>
        <v>-2.4582412302957025E-2</v>
      </c>
      <c r="S44" s="270">
        <f t="shared" si="13"/>
        <v>0.15316717420233797</v>
      </c>
      <c r="T44" s="261">
        <f t="shared" si="14"/>
        <v>8533687.3692930546</v>
      </c>
      <c r="U44" s="266">
        <f t="shared" si="3"/>
        <v>441572.5845060125</v>
      </c>
      <c r="V44" s="266">
        <f t="shared" si="4"/>
        <v>8092114.7847870421</v>
      </c>
      <c r="W44" s="266">
        <f t="shared" si="5"/>
        <v>2023028.6961967605</v>
      </c>
      <c r="X44" s="267">
        <f t="shared" si="6"/>
        <v>2464601.280702773</v>
      </c>
      <c r="Y44" s="264" t="str">
        <f t="shared" si="7"/>
        <v>diskrepans</v>
      </c>
      <c r="AA44" s="241" t="s">
        <v>51</v>
      </c>
      <c r="AB44" s="242">
        <v>54998294</v>
      </c>
      <c r="AC44" s="242">
        <v>53836750</v>
      </c>
      <c r="AD44" s="242">
        <v>54141381</v>
      </c>
    </row>
    <row r="45" spans="1:30" ht="15" x14ac:dyDescent="0.25">
      <c r="A45" s="247" t="s">
        <v>40</v>
      </c>
      <c r="B45" s="266"/>
      <c r="C45" s="267">
        <f t="shared" si="8"/>
        <v>27913794.599999998</v>
      </c>
      <c r="D45" s="268">
        <f t="shared" si="9"/>
        <v>26595657</v>
      </c>
      <c r="E45" s="268">
        <f t="shared" si="10"/>
        <v>26828705.767350931</v>
      </c>
      <c r="F45" s="300">
        <f t="shared" si="11"/>
        <v>27913794.599999998</v>
      </c>
      <c r="G45" s="266">
        <v>24933043.626644999</v>
      </c>
      <c r="H45" s="270">
        <v>0.29970000000000002</v>
      </c>
      <c r="I45" s="300">
        <f t="shared" si="19"/>
        <v>7472433.1749055069</v>
      </c>
      <c r="J45" s="266">
        <v>0</v>
      </c>
      <c r="K45" s="270">
        <v>0.29970000000000002</v>
      </c>
      <c r="L45" s="261">
        <f t="shared" si="20"/>
        <v>7472433.1749055069</v>
      </c>
      <c r="M45" s="305">
        <v>0.13250000000000001</v>
      </c>
      <c r="N45" s="268">
        <f t="shared" si="21"/>
        <v>3303628.2805304625</v>
      </c>
      <c r="O45" s="293">
        <f>IF(Netvolumenmål!AI45&lt;Netvolumenmål!$Y$55,(Netvolumenmål!AI45-Netvolumenmål!$Y$55),0)</f>
        <v>0</v>
      </c>
      <c r="P45" s="269">
        <f>Netvolumenmål!AJ45*0.7</f>
        <v>0</v>
      </c>
      <c r="Q45" s="305">
        <f t="shared" si="12"/>
        <v>0.13250000000000001</v>
      </c>
      <c r="R45" s="248">
        <f>-VLOOKUP($A$3:$A$50,Potentialesammenligning!$A$2:$I$49,9,FALSE)</f>
        <v>-5.9145748252710587E-3</v>
      </c>
      <c r="S45" s="270">
        <f t="shared" si="13"/>
        <v>0.12658542517472895</v>
      </c>
      <c r="T45" s="261">
        <f t="shared" si="14"/>
        <v>3156159.9283789233</v>
      </c>
      <c r="U45" s="266">
        <f t="shared" si="3"/>
        <v>0</v>
      </c>
      <c r="V45" s="266">
        <f t="shared" si="4"/>
        <v>3156159.9283789233</v>
      </c>
      <c r="W45" s="266">
        <f t="shared" si="5"/>
        <v>789039.98209473083</v>
      </c>
      <c r="X45" s="312" t="str">
        <f t="shared" si="6"/>
        <v>til højre</v>
      </c>
      <c r="Y45" s="258">
        <f t="shared" si="7"/>
        <v>0</v>
      </c>
      <c r="AA45" s="241" t="s">
        <v>40</v>
      </c>
      <c r="AB45" s="242">
        <v>27774920</v>
      </c>
      <c r="AC45" s="242">
        <v>26595657</v>
      </c>
      <c r="AD45" s="242">
        <v>27445766</v>
      </c>
    </row>
    <row r="46" spans="1:30" ht="15" x14ac:dyDescent="0.25">
      <c r="A46" s="247" t="s">
        <v>41</v>
      </c>
      <c r="B46" s="266"/>
      <c r="C46" s="267">
        <f t="shared" si="8"/>
        <v>126520976.59499998</v>
      </c>
      <c r="D46" s="268">
        <f t="shared" si="9"/>
        <v>116370379.40000001</v>
      </c>
      <c r="E46" s="268">
        <f t="shared" si="10"/>
        <v>114123111.86705768</v>
      </c>
      <c r="F46" s="300">
        <f t="shared" si="11"/>
        <v>126520976.59499998</v>
      </c>
      <c r="G46" s="266">
        <v>129154110.9666934</v>
      </c>
      <c r="H46" s="270">
        <v>0.28610000000000002</v>
      </c>
      <c r="I46" s="300">
        <f t="shared" ref="I46:I50" si="22">G46*H46</f>
        <v>36950991.147570983</v>
      </c>
      <c r="J46" s="266">
        <v>0</v>
      </c>
      <c r="K46" s="270">
        <v>0.28610000000000002</v>
      </c>
      <c r="L46" s="261">
        <f t="shared" ref="L46:L50" si="23">K46*G46</f>
        <v>36950991.147570983</v>
      </c>
      <c r="M46" s="305">
        <v>0.1067</v>
      </c>
      <c r="N46" s="268">
        <f t="shared" si="21"/>
        <v>13780743.640146187</v>
      </c>
      <c r="O46" s="293">
        <f>IF(Netvolumenmål!AI46&lt;Netvolumenmål!$Y$55,(Netvolumenmål!AI46-Netvolumenmål!$Y$55),0)</f>
        <v>0</v>
      </c>
      <c r="P46" s="269">
        <f>Netvolumenmål!AJ46*0.7</f>
        <v>0</v>
      </c>
      <c r="Q46" s="305">
        <f t="shared" si="12"/>
        <v>0.1067</v>
      </c>
      <c r="R46" s="248">
        <f>-VLOOKUP($A$3:$A$50,Potentialesammenligning!$A$2:$I$49,9,FALSE)</f>
        <v>0</v>
      </c>
      <c r="S46" s="270">
        <f t="shared" si="13"/>
        <v>0.1067</v>
      </c>
      <c r="T46" s="261">
        <f t="shared" si="14"/>
        <v>13780743.640146187</v>
      </c>
      <c r="U46" s="266">
        <f t="shared" si="3"/>
        <v>2633134.3716934174</v>
      </c>
      <c r="V46" s="266">
        <f t="shared" si="4"/>
        <v>11147609.268452769</v>
      </c>
      <c r="W46" s="266">
        <f t="shared" si="5"/>
        <v>2786902.3171131923</v>
      </c>
      <c r="X46" s="267">
        <f t="shared" si="6"/>
        <v>5420036.6888066102</v>
      </c>
      <c r="Y46" s="264" t="str">
        <f t="shared" si="7"/>
        <v>diskrepans</v>
      </c>
      <c r="AA46" s="241" t="s">
        <v>41</v>
      </c>
      <c r="AB46" s="242">
        <v>125891519</v>
      </c>
      <c r="AC46" s="242">
        <v>116370379.40000001</v>
      </c>
      <c r="AD46" s="242">
        <v>116747943.44</v>
      </c>
    </row>
    <row r="47" spans="1:30" ht="15" x14ac:dyDescent="0.25">
      <c r="A47" s="247" t="s">
        <v>42</v>
      </c>
      <c r="B47" s="263"/>
      <c r="C47" s="267">
        <f t="shared" si="8"/>
        <v>32566329.539999995</v>
      </c>
      <c r="D47" s="268">
        <f t="shared" si="9"/>
        <v>28907189</v>
      </c>
      <c r="E47" s="268">
        <f t="shared" si="10"/>
        <v>28555608.993157383</v>
      </c>
      <c r="F47" s="300">
        <f t="shared" si="11"/>
        <v>32566329.539999995</v>
      </c>
      <c r="G47" s="266">
        <v>34163334.666455396</v>
      </c>
      <c r="H47" s="270">
        <v>0.378</v>
      </c>
      <c r="I47" s="300">
        <f t="shared" si="22"/>
        <v>12913740.50392014</v>
      </c>
      <c r="J47" s="266">
        <v>42527.4</v>
      </c>
      <c r="K47" s="270">
        <v>0.37719999999999998</v>
      </c>
      <c r="L47" s="261">
        <f t="shared" si="23"/>
        <v>12886409.836186975</v>
      </c>
      <c r="M47" s="305">
        <v>0.1822</v>
      </c>
      <c r="N47" s="268">
        <f t="shared" si="21"/>
        <v>6224559.5762281734</v>
      </c>
      <c r="O47" s="293">
        <f>IF(Netvolumenmål!AI47&lt;Netvolumenmål!$Y$55,(Netvolumenmål!AI47-Netvolumenmål!$Y$55),0)</f>
        <v>0</v>
      </c>
      <c r="P47" s="269">
        <f>Netvolumenmål!AJ47*0.7</f>
        <v>0</v>
      </c>
      <c r="Q47" s="305">
        <f t="shared" si="12"/>
        <v>0.1822</v>
      </c>
      <c r="R47" s="248">
        <f>-VLOOKUP($A$3:$A$50,Potentialesammenligning!$A$2:$I$49,9,FALSE)</f>
        <v>0</v>
      </c>
      <c r="S47" s="270">
        <f t="shared" si="13"/>
        <v>0.1822</v>
      </c>
      <c r="T47" s="261">
        <f t="shared" si="14"/>
        <v>6224559.5762281734</v>
      </c>
      <c r="U47" s="266">
        <f t="shared" si="3"/>
        <v>1597005.1264554001</v>
      </c>
      <c r="V47" s="266">
        <f t="shared" si="4"/>
        <v>4627554.4497727733</v>
      </c>
      <c r="W47" s="266">
        <f t="shared" si="5"/>
        <v>1156888.6124431933</v>
      </c>
      <c r="X47" s="267">
        <f t="shared" si="6"/>
        <v>2753893.7388985935</v>
      </c>
      <c r="Y47" s="264" t="str">
        <f t="shared" si="7"/>
        <v>diskrepans</v>
      </c>
      <c r="AA47" s="241" t="s">
        <v>42</v>
      </c>
      <c r="AB47" s="242">
        <v>32404308</v>
      </c>
      <c r="AC47" s="242">
        <v>28907189</v>
      </c>
      <c r="AD47" s="242">
        <v>29212388</v>
      </c>
    </row>
    <row r="48" spans="1:30" ht="15" x14ac:dyDescent="0.25">
      <c r="A48" s="247" t="s">
        <v>52</v>
      </c>
      <c r="B48" s="263"/>
      <c r="C48" s="267">
        <f t="shared" si="8"/>
        <v>22725353.459999997</v>
      </c>
      <c r="D48" s="268">
        <f t="shared" si="9"/>
        <v>23270989</v>
      </c>
      <c r="E48" s="268">
        <f t="shared" si="10"/>
        <v>23376286.41251222</v>
      </c>
      <c r="F48" s="300">
        <f t="shared" si="11"/>
        <v>23376286.41251222</v>
      </c>
      <c r="G48" s="266">
        <v>25701088.195770402</v>
      </c>
      <c r="H48" s="270">
        <v>0.42599999999999999</v>
      </c>
      <c r="I48" s="300">
        <f t="shared" si="22"/>
        <v>10948663.571398191</v>
      </c>
      <c r="J48" s="266">
        <v>0</v>
      </c>
      <c r="K48" s="270">
        <v>0.42599999999999999</v>
      </c>
      <c r="L48" s="261">
        <f t="shared" si="23"/>
        <v>10948663.571398191</v>
      </c>
      <c r="M48" s="305">
        <v>0.23100000000000001</v>
      </c>
      <c r="N48" s="268">
        <f t="shared" si="21"/>
        <v>5936951.373222963</v>
      </c>
      <c r="O48" s="293">
        <f>IF(Netvolumenmål!AI48&lt;Netvolumenmål!$Y$55,(Netvolumenmål!AI48-Netvolumenmål!$Y$55),0)</f>
        <v>0</v>
      </c>
      <c r="P48" s="269">
        <f>Netvolumenmål!AJ48*0.7</f>
        <v>0</v>
      </c>
      <c r="Q48" s="305">
        <f t="shared" si="12"/>
        <v>0.23100000000000001</v>
      </c>
      <c r="R48" s="248">
        <f>-VLOOKUP($A$3:$A$50,Potentialesammenligning!$A$2:$I$49,9,FALSE)</f>
        <v>0</v>
      </c>
      <c r="S48" s="270">
        <f t="shared" si="13"/>
        <v>0.23100000000000001</v>
      </c>
      <c r="T48" s="261">
        <f t="shared" si="14"/>
        <v>5936951.373222963</v>
      </c>
      <c r="U48" s="266">
        <f t="shared" si="3"/>
        <v>2324801.7832581811</v>
      </c>
      <c r="V48" s="266">
        <f t="shared" si="4"/>
        <v>3612149.5899647819</v>
      </c>
      <c r="W48" s="266">
        <f t="shared" si="5"/>
        <v>903037.39749119547</v>
      </c>
      <c r="X48" s="267">
        <f t="shared" si="6"/>
        <v>2378272.2242731191</v>
      </c>
      <c r="Y48" s="264" t="str">
        <f t="shared" si="7"/>
        <v>diskrepans</v>
      </c>
      <c r="AA48" s="241" t="s">
        <v>52</v>
      </c>
      <c r="AB48" s="242">
        <v>22612292</v>
      </c>
      <c r="AC48" s="242">
        <v>23270989</v>
      </c>
      <c r="AD48" s="242">
        <v>23913941</v>
      </c>
    </row>
    <row r="49" spans="1:30" ht="15" x14ac:dyDescent="0.25">
      <c r="A49" s="247" t="s">
        <v>43</v>
      </c>
      <c r="B49" s="263"/>
      <c r="C49" s="267">
        <f t="shared" si="8"/>
        <v>72897955.394999996</v>
      </c>
      <c r="D49" s="268">
        <f t="shared" si="9"/>
        <v>70115250</v>
      </c>
      <c r="E49" s="268">
        <f t="shared" si="10"/>
        <v>61875102.639296196</v>
      </c>
      <c r="F49" s="300">
        <f t="shared" si="11"/>
        <v>72897955.394999996</v>
      </c>
      <c r="G49" s="266">
        <v>79735348.029376209</v>
      </c>
      <c r="H49" s="270">
        <v>0.37419999999999998</v>
      </c>
      <c r="I49" s="300">
        <f t="shared" si="22"/>
        <v>29836967.232592575</v>
      </c>
      <c r="J49" s="266">
        <v>13254720</v>
      </c>
      <c r="K49" s="270">
        <v>0.2661</v>
      </c>
      <c r="L49" s="261">
        <f t="shared" si="23"/>
        <v>21217576.110617008</v>
      </c>
      <c r="M49" s="305">
        <v>7.1099999999999997E-2</v>
      </c>
      <c r="N49" s="268">
        <f t="shared" si="21"/>
        <v>5669183.2448886484</v>
      </c>
      <c r="O49" s="293">
        <f>IF(Netvolumenmål!AI49&lt;Netvolumenmål!$Y$55,(Netvolumenmål!AI49-Netvolumenmål!$Y$55),0)</f>
        <v>0</v>
      </c>
      <c r="P49" s="269">
        <f>Netvolumenmål!AJ49*0.7</f>
        <v>0</v>
      </c>
      <c r="Q49" s="305">
        <f t="shared" si="12"/>
        <v>7.1099999999999997E-2</v>
      </c>
      <c r="R49" s="248">
        <f>-VLOOKUP($A$3:$A$50,Potentialesammenligning!$A$2:$I$49,9,FALSE)</f>
        <v>0</v>
      </c>
      <c r="S49" s="270">
        <f t="shared" si="13"/>
        <v>7.1099999999999997E-2</v>
      </c>
      <c r="T49" s="261">
        <f t="shared" si="14"/>
        <v>5669183.2448886484</v>
      </c>
      <c r="U49" s="266">
        <f t="shared" si="3"/>
        <v>6837392.634376213</v>
      </c>
      <c r="V49" s="266">
        <f t="shared" si="4"/>
        <v>0</v>
      </c>
      <c r="W49" s="266">
        <f t="shared" si="5"/>
        <v>0</v>
      </c>
      <c r="X49" s="267">
        <f t="shared" si="6"/>
        <v>5669183.2448886484</v>
      </c>
      <c r="Y49" s="264" t="str">
        <f t="shared" si="7"/>
        <v>diskrepans</v>
      </c>
      <c r="AA49" s="241" t="s">
        <v>43</v>
      </c>
      <c r="AB49" s="242">
        <v>72535279</v>
      </c>
      <c r="AC49" s="242">
        <v>70115250</v>
      </c>
      <c r="AD49" s="242">
        <v>63298230</v>
      </c>
    </row>
    <row r="50" spans="1:30" ht="15" x14ac:dyDescent="0.25">
      <c r="A50" s="251" t="s">
        <v>45</v>
      </c>
      <c r="B50" s="256"/>
      <c r="C50" s="301">
        <f t="shared" si="8"/>
        <v>132134871.41999999</v>
      </c>
      <c r="D50" s="302">
        <f t="shared" si="9"/>
        <v>117542254</v>
      </c>
      <c r="E50" s="302">
        <f t="shared" si="10"/>
        <v>109559983.3822092</v>
      </c>
      <c r="F50" s="303">
        <f t="shared" si="11"/>
        <v>132134871.41999999</v>
      </c>
      <c r="G50" s="304">
        <v>160772226.8690412</v>
      </c>
      <c r="H50" s="274">
        <v>0.36349999999999999</v>
      </c>
      <c r="I50" s="303">
        <f t="shared" si="22"/>
        <v>58440704.466896474</v>
      </c>
      <c r="J50" s="304">
        <v>0</v>
      </c>
      <c r="K50" s="274">
        <v>0.36349999999999999</v>
      </c>
      <c r="L50" s="255">
        <f t="shared" si="23"/>
        <v>58440704.466896474</v>
      </c>
      <c r="M50" s="306">
        <v>0.18060000000000001</v>
      </c>
      <c r="N50" s="302">
        <f t="shared" si="21"/>
        <v>29035464.172548842</v>
      </c>
      <c r="O50" s="276">
        <f>IF(Netvolumenmål!AI50&lt;Netvolumenmål!$Y$55,(Netvolumenmål!AI50-Netvolumenmål!$Y$55),0)</f>
        <v>0</v>
      </c>
      <c r="P50" s="273">
        <f>Netvolumenmål!AJ50*0.7</f>
        <v>0</v>
      </c>
      <c r="Q50" s="306">
        <f t="shared" si="12"/>
        <v>0.18060000000000001</v>
      </c>
      <c r="R50" s="260">
        <f>-VLOOKUP($A$3:$A$50,Potentialesammenligning!$A$2:$I$49,9,FALSE)</f>
        <v>0</v>
      </c>
      <c r="S50" s="274">
        <f t="shared" si="13"/>
        <v>0.18060000000000001</v>
      </c>
      <c r="T50" s="255">
        <f t="shared" si="14"/>
        <v>29035464.172548842</v>
      </c>
      <c r="U50" s="304">
        <f t="shared" si="3"/>
        <v>28637355.449041218</v>
      </c>
      <c r="V50" s="304">
        <f t="shared" si="4"/>
        <v>398108.72350762412</v>
      </c>
      <c r="W50" s="304">
        <f t="shared" si="5"/>
        <v>99527.18087690603</v>
      </c>
      <c r="X50" s="301">
        <f t="shared" si="6"/>
        <v>28736882.629918125</v>
      </c>
      <c r="Y50" s="252" t="str">
        <f t="shared" si="7"/>
        <v>diskrepans</v>
      </c>
      <c r="AA50" s="241" t="s">
        <v>45</v>
      </c>
      <c r="AB50" s="242">
        <v>131477484</v>
      </c>
      <c r="AC50" s="242">
        <v>117542254</v>
      </c>
      <c r="AD50" s="242">
        <v>112079863</v>
      </c>
    </row>
    <row r="51" spans="1:30" s="13" customFormat="1" ht="15" x14ac:dyDescent="0.25">
      <c r="A51" s="21"/>
      <c r="B51" s="195"/>
      <c r="C51" s="52"/>
      <c r="D51" s="52"/>
      <c r="E51" s="52"/>
      <c r="F51" s="52"/>
      <c r="G51" s="31"/>
      <c r="H51" s="23"/>
      <c r="I51" s="23"/>
      <c r="J51" s="197"/>
      <c r="K51" s="23"/>
      <c r="L51" s="23"/>
      <c r="M51" s="28"/>
      <c r="N51" s="14"/>
      <c r="O51" s="15"/>
      <c r="P51" s="15"/>
      <c r="Q51" s="28"/>
      <c r="R51" s="15"/>
      <c r="S51" s="23"/>
      <c r="T51" s="149"/>
      <c r="U51" s="31"/>
      <c r="V51" s="31"/>
      <c r="W51" s="197"/>
      <c r="X51" s="31"/>
    </row>
    <row r="52" spans="1:30" ht="15" x14ac:dyDescent="0.25">
      <c r="K52" s="27"/>
      <c r="L52" s="27"/>
      <c r="M52" s="28"/>
      <c r="N52" s="27"/>
    </row>
    <row r="53" spans="1:30" ht="15" x14ac:dyDescent="0.25">
      <c r="K53" s="8"/>
      <c r="L53" s="27"/>
      <c r="M53" s="28"/>
      <c r="N53" s="27"/>
    </row>
    <row r="54" spans="1:30" ht="15" x14ac:dyDescent="0.25">
      <c r="K54" s="29"/>
      <c r="L54" s="27"/>
      <c r="M54" s="28"/>
      <c r="N54" s="27"/>
    </row>
    <row r="55" spans="1:30" ht="15" x14ac:dyDescent="0.25">
      <c r="K55" s="8"/>
      <c r="L55" s="27"/>
      <c r="M55" s="28"/>
      <c r="N55" s="27"/>
    </row>
    <row r="56" spans="1:30" ht="15" x14ac:dyDescent="0.25">
      <c r="K56" s="8"/>
      <c r="L56" s="27"/>
      <c r="M56" s="28"/>
      <c r="N56" s="27"/>
    </row>
    <row r="57" spans="1:30" ht="15" x14ac:dyDescent="0.25">
      <c r="K57" s="27"/>
      <c r="L57" s="27"/>
      <c r="M57" s="28"/>
      <c r="N57" s="27"/>
    </row>
    <row r="58" spans="1:30" ht="15" x14ac:dyDescent="0.25">
      <c r="K58" s="27"/>
      <c r="L58" s="27"/>
      <c r="M58" s="30"/>
      <c r="N58" s="27"/>
    </row>
  </sheetData>
  <sortState ref="A3:Q107">
    <sortCondition ref="A2"/>
  </sortState>
  <customSheetViews>
    <customSheetView guid="{88D7A6C6-1D77-4300-8600-F7BD640C7FF4}">
      <pane xSplit="1" ySplit="2" topLeftCell="H6" activePane="bottomRight" state="frozen"/>
      <selection pane="bottomRight" activeCell="I26" sqref="I26"/>
      <pageMargins left="0.7" right="0.7" top="0.75" bottom="0.75" header="0.3" footer="0.3"/>
      <pageSetup paperSize="9" orientation="portrait" r:id="rId1"/>
    </customSheetView>
    <customSheetView guid="{78B6FDE5-7C04-44E0-987D-B0794FC3C0C0}">
      <pane xSplit="1" ySplit="1" topLeftCell="N17" activePane="bottomRight" state="frozen"/>
      <selection pane="bottomRight" activeCell="Y13" sqref="Y13"/>
      <pageMargins left="0.7" right="0.7" top="0.75" bottom="0.75" header="0.3" footer="0.3"/>
      <pageSetup paperSize="9" orientation="portrait" r:id="rId2"/>
    </customSheetView>
    <customSheetView guid="{898A57C7-EA84-4A1C-AA42-8284F31DD32C}">
      <pane xSplit="1" ySplit="2" topLeftCell="K37" activePane="bottomRight" state="frozen"/>
      <selection pane="bottomRight" activeCell="S60" sqref="S60"/>
      <pageMargins left="0.7" right="0.7" top="0.75" bottom="0.75" header="0.3" footer="0.3"/>
      <pageSetup paperSize="9" orientation="portrait" r:id="rId3"/>
    </customSheetView>
    <customSheetView guid="{1AAC2EB3-B963-4CB8-8604-06326666FF8C}">
      <pane xSplit="1" ySplit="2" topLeftCell="B43" activePane="bottomRight" state="frozen"/>
      <selection pane="bottomRight" activeCell="F44" sqref="F44"/>
      <pageMargins left="0.7" right="0.7" top="0.75" bottom="0.75" header="0.3" footer="0.3"/>
      <pageSetup paperSize="9" orientation="portrait" r:id="rId4"/>
    </customSheetView>
    <customSheetView guid="{A178F800-3B7E-4511-BF10-5AA233FDE985}" scale="80">
      <pane xSplit="1" ySplit="2" topLeftCell="B3" activePane="bottomRight" state="frozen"/>
      <selection pane="bottomRight" activeCell="P10" sqref="P10"/>
      <pageMargins left="0.7" right="0.7" top="0.75" bottom="0.75" header="0.3" footer="0.3"/>
    </customSheetView>
    <customSheetView guid="{80E426B4-B9D0-45E3-ACA1-6AA797532F97}">
      <pane xSplit="1" ySplit="2" topLeftCell="B80" activePane="bottomRight" state="frozen"/>
      <selection pane="bottomRight" activeCell="A109" sqref="A109:XFD109"/>
      <pageMargins left="0.7" right="0.7" top="0.75" bottom="0.75" header="0.3" footer="0.3"/>
    </customSheetView>
    <customSheetView guid="{630A50AD-37E0-4B13-8A0F-82608C065D57}" topLeftCell="A76">
      <pane xSplit="1" topLeftCell="K1" activePane="topRight" state="frozen"/>
      <selection pane="topRight" activeCell="P113" sqref="P113"/>
      <pageMargins left="0.7" right="0.7" top="0.75" bottom="0.75" header="0.3" footer="0.3"/>
    </customSheetView>
    <customSheetView guid="{CA125778-F8FD-4378-B746-C94ABF8D8556}">
      <pane xSplit="1" ySplit="1" topLeftCell="W2" activePane="bottomRight" state="frozen"/>
      <selection pane="bottomRight" activeCell="AE11" sqref="AE11"/>
      <pageMargins left="0.7" right="0.7" top="0.75" bottom="0.75" header="0.3" footer="0.3"/>
      <pageSetup paperSize="9" orientation="portrait" r:id="rId5"/>
    </customSheetView>
  </customSheetViews>
  <mergeCells count="7">
    <mergeCell ref="X1:Y1"/>
    <mergeCell ref="C1:F1"/>
    <mergeCell ref="H1:I1"/>
    <mergeCell ref="K1:L1"/>
    <mergeCell ref="M1:N1"/>
    <mergeCell ref="O1:P1"/>
    <mergeCell ref="S1:T1"/>
  </mergeCells>
  <conditionalFormatting sqref="W3:W5 W7:W50">
    <cfRule type="cellIs" dxfId="12" priority="425" operator="equal">
      <formula>#REF!</formula>
    </cfRule>
  </conditionalFormatting>
  <conditionalFormatting sqref="W3:W5 W7:W50">
    <cfRule type="cellIs" dxfId="11" priority="427" operator="equal">
      <formula>#REF!</formula>
    </cfRule>
  </conditionalFormatting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63"/>
  <sheetViews>
    <sheetView tabSelected="1" zoomScaleNormal="100" workbookViewId="0">
      <pane xSplit="1" ySplit="2" topLeftCell="H45" activePane="bottomRight" state="frozen"/>
      <selection pane="topRight" activeCell="B1" sqref="B1"/>
      <selection pane="bottomLeft" activeCell="A3" sqref="A3"/>
      <selection pane="bottomRight" activeCell="N58" sqref="N58"/>
    </sheetView>
  </sheetViews>
  <sheetFormatPr defaultRowHeight="14.4" x14ac:dyDescent="0.3"/>
  <cols>
    <col min="1" max="1" width="36.88671875" bestFit="1" customWidth="1"/>
    <col min="2" max="2" width="13.109375" customWidth="1"/>
    <col min="3" max="3" width="13" customWidth="1"/>
    <col min="4" max="4" width="12.5546875" customWidth="1"/>
    <col min="5" max="5" width="11.88671875" customWidth="1"/>
    <col min="6" max="6" width="12.5546875" bestFit="1" customWidth="1"/>
    <col min="7" max="7" width="11.109375" customWidth="1"/>
    <col min="9" max="9" width="15.88671875" customWidth="1"/>
    <col min="10" max="10" width="15.33203125" customWidth="1"/>
    <col min="11" max="12" width="18.44140625" style="13" customWidth="1"/>
    <col min="13" max="13" width="15.6640625" style="13" customWidth="1"/>
    <col min="14" max="14" width="16.6640625" style="13" bestFit="1" customWidth="1"/>
    <col min="15" max="15" width="15.5546875" customWidth="1"/>
    <col min="16" max="16" width="13.5546875" customWidth="1"/>
    <col min="17" max="17" width="26" bestFit="1" customWidth="1"/>
    <col min="18" max="18" width="12.5546875" bestFit="1" customWidth="1"/>
    <col min="19" max="19" width="12.33203125" customWidth="1"/>
    <col min="20" max="20" width="11.33203125" customWidth="1"/>
    <col min="21" max="21" width="11.44140625" customWidth="1"/>
    <col min="22" max="22" width="13.6640625" bestFit="1" customWidth="1"/>
    <col min="23" max="23" width="11.5546875" bestFit="1" customWidth="1"/>
    <col min="24" max="24" width="11.5546875" style="11" customWidth="1"/>
    <col min="25" max="25" width="17.88671875" style="11" customWidth="1"/>
    <col min="28" max="28" width="12.5546875" customWidth="1"/>
    <col min="29" max="29" width="11.5546875" customWidth="1"/>
    <col min="30" max="30" width="10.109375" customWidth="1"/>
    <col min="34" max="34" width="17.6640625" customWidth="1"/>
    <col min="35" max="35" width="23" customWidth="1"/>
    <col min="36" max="36" width="11" customWidth="1"/>
  </cols>
  <sheetData>
    <row r="1" spans="1:41" ht="15" thickBot="1" x14ac:dyDescent="0.35">
      <c r="A1" s="3"/>
      <c r="B1" s="325" t="s">
        <v>55</v>
      </c>
      <c r="C1" s="326"/>
      <c r="D1" s="326"/>
      <c r="E1" s="326"/>
      <c r="F1" s="326"/>
      <c r="G1" s="327"/>
      <c r="H1" s="4" t="s">
        <v>56</v>
      </c>
      <c r="I1" s="325" t="s">
        <v>57</v>
      </c>
      <c r="J1" s="326"/>
      <c r="K1" s="322" t="s">
        <v>85</v>
      </c>
      <c r="L1" s="323"/>
      <c r="M1" s="322" t="s">
        <v>178</v>
      </c>
      <c r="N1" s="323"/>
      <c r="O1" s="5" t="s">
        <v>184</v>
      </c>
      <c r="P1" s="7"/>
      <c r="R1" s="322" t="s">
        <v>71</v>
      </c>
      <c r="S1" s="323"/>
      <c r="T1" s="323"/>
      <c r="U1" s="323"/>
      <c r="V1" s="323"/>
      <c r="W1" s="324"/>
      <c r="AA1" s="322" t="s">
        <v>72</v>
      </c>
      <c r="AB1" s="323"/>
      <c r="AC1" s="323"/>
      <c r="AD1" s="323"/>
      <c r="AE1" s="323"/>
      <c r="AF1" s="324"/>
    </row>
    <row r="2" spans="1:41" ht="43.8" thickBot="1" x14ac:dyDescent="0.35">
      <c r="A2" s="171" t="s">
        <v>0</v>
      </c>
      <c r="B2" s="172" t="s">
        <v>1</v>
      </c>
      <c r="C2" s="173" t="s">
        <v>95</v>
      </c>
      <c r="D2" s="173" t="s">
        <v>96</v>
      </c>
      <c r="E2" s="173" t="s">
        <v>97</v>
      </c>
      <c r="F2" s="174" t="s">
        <v>94</v>
      </c>
      <c r="G2" s="175" t="s">
        <v>2</v>
      </c>
      <c r="H2" s="176" t="s">
        <v>56</v>
      </c>
      <c r="I2" s="172" t="s">
        <v>58</v>
      </c>
      <c r="J2" s="173" t="s">
        <v>59</v>
      </c>
      <c r="K2" s="177" t="s">
        <v>83</v>
      </c>
      <c r="L2" s="178" t="s">
        <v>84</v>
      </c>
      <c r="M2" s="211" t="s">
        <v>176</v>
      </c>
      <c r="N2" s="191" t="s">
        <v>177</v>
      </c>
      <c r="O2" s="175" t="s">
        <v>87</v>
      </c>
      <c r="P2" s="179" t="s">
        <v>89</v>
      </c>
      <c r="Q2" s="180"/>
      <c r="R2" s="214" t="s">
        <v>1</v>
      </c>
      <c r="S2" s="215" t="s">
        <v>95</v>
      </c>
      <c r="T2" s="215" t="s">
        <v>96</v>
      </c>
      <c r="U2" s="215" t="s">
        <v>97</v>
      </c>
      <c r="V2" s="215" t="s">
        <v>94</v>
      </c>
      <c r="W2" s="216" t="s">
        <v>2</v>
      </c>
      <c r="X2" s="182"/>
      <c r="Y2" s="211" t="s">
        <v>164</v>
      </c>
      <c r="Z2" s="183"/>
      <c r="AA2" s="177" t="s">
        <v>1</v>
      </c>
      <c r="AB2" s="178" t="s">
        <v>95</v>
      </c>
      <c r="AC2" s="178" t="s">
        <v>96</v>
      </c>
      <c r="AD2" s="178" t="s">
        <v>97</v>
      </c>
      <c r="AE2" s="178" t="s">
        <v>60</v>
      </c>
      <c r="AF2" s="181" t="s">
        <v>2</v>
      </c>
      <c r="AG2" s="183"/>
      <c r="AH2" s="227" t="s">
        <v>164</v>
      </c>
      <c r="AI2" s="228" t="s">
        <v>165</v>
      </c>
      <c r="AJ2" s="229" t="s">
        <v>182</v>
      </c>
    </row>
    <row r="3" spans="1:41" x14ac:dyDescent="0.3">
      <c r="A3" s="25" t="s">
        <v>12</v>
      </c>
      <c r="B3" s="38">
        <f>VLOOKUP($A3,Costdrivere!$A$3:$G$50,2,FALSE)</f>
        <v>1687840.0000000002</v>
      </c>
      <c r="C3" s="50">
        <f>VLOOKUP($A3,Costdrivere!$A$3:$G$50,3,FALSE)</f>
        <v>2984169</v>
      </c>
      <c r="D3" s="50">
        <f>VLOOKUP($A3,Costdrivere!$A$3:$G$50,4,FALSE)</f>
        <v>338075</v>
      </c>
      <c r="E3" s="50">
        <f>VLOOKUP($A3,Costdrivere!$A$3:$G$50,5,FALSE)</f>
        <v>102543.72</v>
      </c>
      <c r="F3" s="151">
        <f>VLOOKUP($A3,Costdrivere!$A$3:$G$50,6,FALSE)</f>
        <v>8444020.8026141096</v>
      </c>
      <c r="G3" s="154">
        <f>VLOOKUP($A3,Costdrivere!$A$3:$G$50,7,FALSE)</f>
        <v>912486.29999999993</v>
      </c>
      <c r="H3" s="155">
        <v>34.027928749373615</v>
      </c>
      <c r="I3" s="158">
        <f t="shared" ref="I3:I50" si="0">SUM(B3:G3)</f>
        <v>14469134.822614111</v>
      </c>
      <c r="J3" s="168">
        <f>(0.761+0.013*H3)*I3</f>
        <v>17411622.554526255</v>
      </c>
      <c r="K3" s="158">
        <f>I3+'Potentialer og krav'!$J3</f>
        <v>14469134.822614111</v>
      </c>
      <c r="L3" s="151">
        <f>(0.761+0.013*H3)*K3</f>
        <v>17411622.554526255</v>
      </c>
      <c r="M3" s="158">
        <f>K3+(0.3*'Potentialer og krav'!$G3)</f>
        <v>19862643.003264632</v>
      </c>
      <c r="N3" s="168">
        <f>L3+(0.3*'Potentialer og krav'!$G3)</f>
        <v>22805130.735176776</v>
      </c>
      <c r="O3" s="189">
        <v>17370159</v>
      </c>
      <c r="P3" s="168">
        <f>1.005*O3</f>
        <v>17457009.794999998</v>
      </c>
      <c r="R3" s="201">
        <f t="shared" ref="R3:W3" si="1">B3/(SUM($B3:$G3))</f>
        <v>0.11665106592012953</v>
      </c>
      <c r="S3" s="207">
        <f t="shared" si="1"/>
        <v>0.20624377591229437</v>
      </c>
      <c r="T3" s="202">
        <f t="shared" si="1"/>
        <v>2.3365253288787909E-2</v>
      </c>
      <c r="U3" s="207">
        <f t="shared" si="1"/>
        <v>7.0870664526349074E-3</v>
      </c>
      <c r="V3" s="207">
        <f t="shared" si="1"/>
        <v>0.58358850796087502</v>
      </c>
      <c r="W3" s="203">
        <f t="shared" si="1"/>
        <v>6.3064330465278137E-2</v>
      </c>
      <c r="X3" s="12"/>
      <c r="Y3" s="217">
        <f t="shared" ref="Y3:Y50" si="2">R3+T3+W3</f>
        <v>0.20308064967419559</v>
      </c>
      <c r="Z3" s="10"/>
      <c r="AA3" s="198">
        <f t="shared" ref="AA3:AA50" si="3">R$52-R3</f>
        <v>0.1307021497668705</v>
      </c>
      <c r="AB3" s="199">
        <f t="shared" ref="AB3:AB50" si="4">S$52-S3</f>
        <v>-4.1138898896494358E-2</v>
      </c>
      <c r="AC3" s="199">
        <f t="shared" ref="AC3:AC50" si="5">T$52-T3</f>
        <v>-2.2516664364879112E-3</v>
      </c>
      <c r="AD3" s="199">
        <f t="shared" ref="AD3:AD50" si="6">U$52-U3</f>
        <v>1.2244070982650934E-3</v>
      </c>
      <c r="AE3" s="199">
        <f t="shared" ref="AE3:AE50" si="7">V$52-V3</f>
        <v>-9.7175674507975041E-2</v>
      </c>
      <c r="AF3" s="200">
        <f t="shared" ref="AF3:AF50" si="8">W$52-W3</f>
        <v>8.6396829757218602E-3</v>
      </c>
      <c r="AH3" s="201">
        <f t="shared" ref="AH3:AH50" si="9">R3+T3+W3</f>
        <v>0.20308064967419559</v>
      </c>
      <c r="AI3" s="202">
        <f>$Y$52-AH3</f>
        <v>0.11597657945390438</v>
      </c>
      <c r="AJ3" s="203">
        <f>IF(AI3&lt;$Y$55,(AI3-$Y$55)*0.3265,0)</f>
        <v>0</v>
      </c>
      <c r="AL3" s="12"/>
      <c r="AM3" s="12"/>
      <c r="AN3" s="12"/>
      <c r="AO3" s="12"/>
    </row>
    <row r="4" spans="1:41" x14ac:dyDescent="0.3">
      <c r="A4" s="25" t="s">
        <v>63</v>
      </c>
      <c r="B4" s="48">
        <f>VLOOKUP($A4,Costdrivere!$A$3:$G$50,2,FALSE)</f>
        <v>8077520</v>
      </c>
      <c r="C4" s="32">
        <f>VLOOKUP($A4,Costdrivere!$A$3:$G$50,3,FALSE)</f>
        <v>24844799</v>
      </c>
      <c r="D4" s="32">
        <f>VLOOKUP($A4,Costdrivere!$A$3:$G$50,4,FALSE)</f>
        <v>1433438</v>
      </c>
      <c r="E4" s="32">
        <f>VLOOKUP($A4,Costdrivere!$A$3:$G$50,5,FALSE)</f>
        <v>77376.959999999992</v>
      </c>
      <c r="F4" s="152">
        <f>VLOOKUP($A4,Costdrivere!$A$3:$G$50,6,FALSE)</f>
        <v>23912894.791507509</v>
      </c>
      <c r="G4" s="37">
        <f>VLOOKUP($A4,Costdrivere!$A$3:$G$50,7,FALSE)</f>
        <v>3083261.5</v>
      </c>
      <c r="H4" s="156">
        <v>31.857546127018598</v>
      </c>
      <c r="I4" s="41">
        <f t="shared" si="0"/>
        <v>61429290.251507506</v>
      </c>
      <c r="J4" s="169">
        <f t="shared" ref="J4:J50" si="10">(0.761+0.013*H4)*I4</f>
        <v>72188513.701983601</v>
      </c>
      <c r="K4" s="41">
        <f>I4+'Potentialer og krav'!$J4</f>
        <v>61429290.251507506</v>
      </c>
      <c r="L4" s="152">
        <f t="shared" ref="L4:L50" si="11">(0.761+0.013*H4)*K4</f>
        <v>72188513.701983601</v>
      </c>
      <c r="M4" s="41">
        <f>K4+(0.3*'Potentialer og krav'!$G4)</f>
        <v>77534584.292618752</v>
      </c>
      <c r="N4" s="169">
        <f>L4+(0.3*'Potentialer og krav'!$G4)</f>
        <v>88293807.743094832</v>
      </c>
      <c r="O4" s="189">
        <v>44699666</v>
      </c>
      <c r="P4" s="169">
        <f t="shared" ref="P4:P50" si="12">1.005*O4</f>
        <v>44923164.329999998</v>
      </c>
      <c r="R4" s="198">
        <f t="shared" ref="R4:R50" si="13">B4/(SUM($B4:$G4))</f>
        <v>0.13149297292754858</v>
      </c>
      <c r="S4" s="208">
        <f t="shared" ref="S4:S50" si="14">C4/(SUM($B4:$G4))</f>
        <v>0.40444548355155863</v>
      </c>
      <c r="T4" s="199">
        <f t="shared" ref="T4:T50" si="15">D4/(SUM($B4:$G4))</f>
        <v>2.333476415128893E-2</v>
      </c>
      <c r="U4" s="208">
        <f t="shared" ref="U4:U50" si="16">E4/(SUM($B4:$G4))</f>
        <v>1.2596101905654221E-3</v>
      </c>
      <c r="V4" s="208">
        <f t="shared" ref="V4:V50" si="17">F4/(SUM($B4:$G4))</f>
        <v>0.38927512744493536</v>
      </c>
      <c r="W4" s="200">
        <f t="shared" ref="W4:W50" si="18">G4/(SUM($B4:$G4))</f>
        <v>5.0192041734103139E-2</v>
      </c>
      <c r="X4" s="12"/>
      <c r="Y4" s="217">
        <f t="shared" si="2"/>
        <v>0.20501977881294065</v>
      </c>
      <c r="Z4" s="10"/>
      <c r="AA4" s="198">
        <f t="shared" si="3"/>
        <v>0.11586024275945145</v>
      </c>
      <c r="AB4" s="199">
        <f t="shared" si="4"/>
        <v>-0.23934060653575862</v>
      </c>
      <c r="AC4" s="199">
        <f t="shared" si="5"/>
        <v>-2.2211772989889321E-3</v>
      </c>
      <c r="AD4" s="199">
        <f t="shared" si="6"/>
        <v>7.0518633603345784E-3</v>
      </c>
      <c r="AE4" s="199">
        <f t="shared" si="7"/>
        <v>9.7137706007964619E-2</v>
      </c>
      <c r="AF4" s="200">
        <f t="shared" si="8"/>
        <v>2.1511971706896858E-2</v>
      </c>
      <c r="AH4" s="198">
        <f t="shared" si="9"/>
        <v>0.20501977881294065</v>
      </c>
      <c r="AI4" s="199">
        <f t="shared" ref="AI4:AI50" si="19">$Y$52-AH4</f>
        <v>0.11403745031515933</v>
      </c>
      <c r="AJ4" s="200">
        <f t="shared" ref="AJ4:AJ50" si="20">IF(AI4&lt;$Y$55,(AI4-$Y$55)*0.3265,0)</f>
        <v>0</v>
      </c>
    </row>
    <row r="5" spans="1:41" ht="15" x14ac:dyDescent="0.25">
      <c r="A5" s="25" t="s">
        <v>13</v>
      </c>
      <c r="B5" s="48">
        <f>VLOOKUP($A5,Costdrivere!$A$3:$G$50,2,FALSE)</f>
        <v>2016640</v>
      </c>
      <c r="C5" s="32">
        <f>VLOOKUP($A5,Costdrivere!$A$3:$G$50,3,FALSE)</f>
        <v>2013988</v>
      </c>
      <c r="D5" s="32">
        <f>VLOOKUP($A5,Costdrivere!$A$3:$G$50,4,FALSE)</f>
        <v>202845</v>
      </c>
      <c r="E5" s="32">
        <f>VLOOKUP($A5,Costdrivere!$A$3:$G$50,5,FALSE)</f>
        <v>211246.8</v>
      </c>
      <c r="F5" s="152">
        <f>VLOOKUP($A5,Costdrivere!$A$3:$G$50,6,FALSE)</f>
        <v>18529107.932903618</v>
      </c>
      <c r="G5" s="37">
        <f>VLOOKUP($A5,Costdrivere!$A$3:$G$50,7,FALSE)</f>
        <v>1316337</v>
      </c>
      <c r="H5" s="156">
        <v>42.99559459408021</v>
      </c>
      <c r="I5" s="41">
        <f t="shared" si="0"/>
        <v>24290164.732903618</v>
      </c>
      <c r="J5" s="169">
        <f t="shared" si="10"/>
        <v>32061626.342971183</v>
      </c>
      <c r="K5" s="41">
        <f>I5+'Potentialer og krav'!$J5</f>
        <v>24290164.732903618</v>
      </c>
      <c r="L5" s="152">
        <f t="shared" si="11"/>
        <v>32061626.342971183</v>
      </c>
      <c r="M5" s="41">
        <f>K5+(0.3*'Potentialer og krav'!$G5)</f>
        <v>31082226.331161778</v>
      </c>
      <c r="N5" s="169">
        <f>L5+(0.3*'Potentialer og krav'!$G5)</f>
        <v>38853687.941229343</v>
      </c>
      <c r="O5" s="189">
        <v>18314206</v>
      </c>
      <c r="P5" s="169">
        <f t="shared" si="12"/>
        <v>18405777.029999997</v>
      </c>
      <c r="R5" s="198">
        <f t="shared" si="13"/>
        <v>8.3022903392180214E-2</v>
      </c>
      <c r="S5" s="208">
        <f t="shared" si="14"/>
        <v>8.2913723399818631E-2</v>
      </c>
      <c r="T5" s="199">
        <f t="shared" si="15"/>
        <v>8.3509108410954828E-3</v>
      </c>
      <c r="U5" s="208">
        <f t="shared" si="16"/>
        <v>8.6968039254935008E-3</v>
      </c>
      <c r="V5" s="208">
        <f t="shared" si="17"/>
        <v>0.76282347759477998</v>
      </c>
      <c r="W5" s="200">
        <f t="shared" si="18"/>
        <v>5.4192180846632181E-2</v>
      </c>
      <c r="X5" s="12"/>
      <c r="Y5" s="217">
        <f t="shared" si="2"/>
        <v>0.14556599507990789</v>
      </c>
      <c r="AA5" s="198">
        <f t="shared" si="3"/>
        <v>0.16433031229481981</v>
      </c>
      <c r="AB5" s="199">
        <f t="shared" si="4"/>
        <v>8.219115361598138E-2</v>
      </c>
      <c r="AC5" s="199">
        <f t="shared" si="5"/>
        <v>1.2762676011204515E-2</v>
      </c>
      <c r="AD5" s="199">
        <f t="shared" si="6"/>
        <v>-3.8533037459350002E-4</v>
      </c>
      <c r="AE5" s="199">
        <f t="shared" si="7"/>
        <v>-0.27641064414187999</v>
      </c>
      <c r="AF5" s="200">
        <f t="shared" si="8"/>
        <v>1.7511832594367817E-2</v>
      </c>
      <c r="AH5" s="198">
        <f t="shared" si="9"/>
        <v>0.14556599507990789</v>
      </c>
      <c r="AI5" s="199">
        <f t="shared" si="19"/>
        <v>0.17349123404819208</v>
      </c>
      <c r="AJ5" s="200">
        <f t="shared" si="20"/>
        <v>0</v>
      </c>
    </row>
    <row r="6" spans="1:41" ht="15" x14ac:dyDescent="0.25">
      <c r="A6" s="25" t="s">
        <v>14</v>
      </c>
      <c r="B6" s="48">
        <f>VLOOKUP($A6,Costdrivere!$A$3:$G$50,2,FALSE)</f>
        <v>4482640</v>
      </c>
      <c r="C6" s="32">
        <f>VLOOKUP($A6,Costdrivere!$A$3:$G$50,3,FALSE)</f>
        <v>4007430</v>
      </c>
      <c r="D6" s="32">
        <f>VLOOKUP($A6,Costdrivere!$A$3:$G$50,4,FALSE)</f>
        <v>108184</v>
      </c>
      <c r="E6" s="32">
        <f>VLOOKUP($A6,Costdrivere!$A$3:$G$50,5,FALSE)</f>
        <v>91668.599999999991</v>
      </c>
      <c r="F6" s="152">
        <f>VLOOKUP($A6,Costdrivere!$A$3:$G$50,6,FALSE)</f>
        <v>19561195.882175773</v>
      </c>
      <c r="G6" s="37">
        <f>VLOOKUP($A6,Costdrivere!$A$3:$G$50,7,FALSE)</f>
        <v>2138830.1</v>
      </c>
      <c r="H6" s="156">
        <v>44.849010702529675</v>
      </c>
      <c r="I6" s="41">
        <f t="shared" si="0"/>
        <v>30389948.582175776</v>
      </c>
      <c r="J6" s="169">
        <f t="shared" si="10"/>
        <v>40845219.550783031</v>
      </c>
      <c r="K6" s="41">
        <f>I6+'Potentialer og krav'!$J6</f>
        <v>30389948.582175776</v>
      </c>
      <c r="L6" s="152">
        <f t="shared" si="11"/>
        <v>40845219.550783031</v>
      </c>
      <c r="M6" s="41">
        <f>K6+(0.3*'Potentialer og krav'!$G6)</f>
        <v>40782659.0045145</v>
      </c>
      <c r="N6" s="169">
        <f>L6+(0.3*'Potentialer og krav'!$G6)</f>
        <v>51237929.973121755</v>
      </c>
      <c r="O6" s="189">
        <v>31261886</v>
      </c>
      <c r="P6" s="169">
        <f t="shared" si="12"/>
        <v>31418195.429999996</v>
      </c>
      <c r="R6" s="198">
        <f t="shared" si="13"/>
        <v>0.14750403370636647</v>
      </c>
      <c r="S6" s="208">
        <f t="shared" si="14"/>
        <v>0.13186695558775727</v>
      </c>
      <c r="T6" s="199">
        <f t="shared" si="15"/>
        <v>3.5598612385758285E-3</v>
      </c>
      <c r="U6" s="208">
        <f t="shared" si="16"/>
        <v>3.0164118162991954E-3</v>
      </c>
      <c r="V6" s="208">
        <f t="shared" si="17"/>
        <v>0.64367321416426315</v>
      </c>
      <c r="W6" s="200">
        <f t="shared" si="18"/>
        <v>7.0379523486737997E-2</v>
      </c>
      <c r="X6" s="12"/>
      <c r="Y6" s="217">
        <f t="shared" si="2"/>
        <v>0.22144341843168031</v>
      </c>
      <c r="AA6" s="198">
        <f t="shared" si="3"/>
        <v>9.9849181980633556E-2</v>
      </c>
      <c r="AB6" s="199">
        <f t="shared" si="4"/>
        <v>3.3237921428042744E-2</v>
      </c>
      <c r="AC6" s="199">
        <f t="shared" si="5"/>
        <v>1.7553725613724168E-2</v>
      </c>
      <c r="AD6" s="199">
        <f t="shared" si="6"/>
        <v>5.2950617346008057E-3</v>
      </c>
      <c r="AE6" s="199">
        <f t="shared" si="7"/>
        <v>-0.15726038071136317</v>
      </c>
      <c r="AF6" s="200">
        <f t="shared" si="8"/>
        <v>1.3244899542620009E-3</v>
      </c>
      <c r="AH6" s="198">
        <f t="shared" si="9"/>
        <v>0.22144341843168031</v>
      </c>
      <c r="AI6" s="199">
        <f t="shared" si="19"/>
        <v>9.7613810696419667E-2</v>
      </c>
      <c r="AJ6" s="200">
        <f t="shared" si="20"/>
        <v>0</v>
      </c>
    </row>
    <row r="7" spans="1:41" ht="15" x14ac:dyDescent="0.25">
      <c r="A7" s="25" t="s">
        <v>15</v>
      </c>
      <c r="B7" s="48">
        <f>VLOOKUP($A7,Costdrivere!$A$3:$G$50,2,FALSE)</f>
        <v>19258331</v>
      </c>
      <c r="C7" s="32">
        <f>VLOOKUP($A7,Costdrivere!$A$3:$G$50,3,FALSE)</f>
        <v>8172128</v>
      </c>
      <c r="D7" s="32">
        <f>VLOOKUP($A7,Costdrivere!$A$3:$G$50,4,FALSE)</f>
        <v>1866174</v>
      </c>
      <c r="E7" s="32">
        <f>VLOOKUP($A7,Costdrivere!$A$3:$G$50,5,FALSE)</f>
        <v>926021.27999999991</v>
      </c>
      <c r="F7" s="152">
        <f>VLOOKUP($A7,Costdrivere!$A$3:$G$50,6,FALSE)</f>
        <v>37338224.684050478</v>
      </c>
      <c r="G7" s="37">
        <f>VLOOKUP($A7,Costdrivere!$A$3:$G$50,7,FALSE)</f>
        <v>3476671</v>
      </c>
      <c r="H7" s="156">
        <v>33.41142688090472</v>
      </c>
      <c r="I7" s="41">
        <f t="shared" si="0"/>
        <v>71037549.964050472</v>
      </c>
      <c r="J7" s="169">
        <f t="shared" si="10"/>
        <v>84914632.306134745</v>
      </c>
      <c r="K7" s="41">
        <f>I7+'Potentialer og krav'!$J7</f>
        <v>71037549.964050472</v>
      </c>
      <c r="L7" s="152">
        <f t="shared" si="11"/>
        <v>84914632.306134745</v>
      </c>
      <c r="M7" s="41">
        <f>K7+(0.3*'Potentialer og krav'!$G7)</f>
        <v>89705021.524326473</v>
      </c>
      <c r="N7" s="169">
        <f>L7+(0.3*'Potentialer og krav'!$G7)</f>
        <v>103582103.86641075</v>
      </c>
      <c r="O7" s="189">
        <v>55694418</v>
      </c>
      <c r="P7" s="169">
        <f t="shared" si="12"/>
        <v>55972890.089999996</v>
      </c>
      <c r="R7" s="198">
        <f t="shared" si="13"/>
        <v>0.27110072081238645</v>
      </c>
      <c r="S7" s="208">
        <f t="shared" si="14"/>
        <v>0.11503955308334279</v>
      </c>
      <c r="T7" s="199">
        <f t="shared" si="15"/>
        <v>2.6270247227619802E-2</v>
      </c>
      <c r="U7" s="208">
        <f t="shared" si="16"/>
        <v>1.3035659034815048E-2</v>
      </c>
      <c r="V7" s="208">
        <f t="shared" si="17"/>
        <v>0.52561250638494716</v>
      </c>
      <c r="W7" s="200">
        <f t="shared" si="18"/>
        <v>4.8941313456888888E-2</v>
      </c>
      <c r="X7" s="12"/>
      <c r="Y7" s="217">
        <f t="shared" si="2"/>
        <v>0.34631228149689514</v>
      </c>
      <c r="AA7" s="198">
        <f t="shared" si="3"/>
        <v>-2.3747505125386426E-2</v>
      </c>
      <c r="AB7" s="199">
        <f t="shared" si="4"/>
        <v>5.0065323932457217E-2</v>
      </c>
      <c r="AC7" s="199">
        <f t="shared" si="5"/>
        <v>-5.1566603753198034E-3</v>
      </c>
      <c r="AD7" s="199">
        <f t="shared" si="6"/>
        <v>-4.7241854839150475E-3</v>
      </c>
      <c r="AE7" s="199">
        <f t="shared" si="7"/>
        <v>-3.919967293204718E-2</v>
      </c>
      <c r="AF7" s="200">
        <f t="shared" si="8"/>
        <v>2.2762699984111109E-2</v>
      </c>
      <c r="AH7" s="198">
        <f t="shared" si="9"/>
        <v>0.34631228149689514</v>
      </c>
      <c r="AI7" s="199">
        <f t="shared" si="19"/>
        <v>-2.7255052368795163E-2</v>
      </c>
      <c r="AJ7" s="200">
        <f t="shared" si="20"/>
        <v>0</v>
      </c>
    </row>
    <row r="8" spans="1:41" ht="15" x14ac:dyDescent="0.25">
      <c r="A8" s="25" t="s">
        <v>16</v>
      </c>
      <c r="B8" s="48">
        <f>VLOOKUP($A8,Costdrivere!$A$3:$G$50,2,FALSE)</f>
        <v>16220480</v>
      </c>
      <c r="C8" s="32">
        <f>VLOOKUP($A8,Costdrivere!$A$3:$G$50,3,FALSE)</f>
        <v>4018716</v>
      </c>
      <c r="D8" s="32">
        <f>VLOOKUP($A8,Costdrivere!$A$3:$G$50,4,FALSE)</f>
        <v>851949</v>
      </c>
      <c r="E8" s="32">
        <f>VLOOKUP($A8,Costdrivere!$A$3:$G$50,5,FALSE)</f>
        <v>192480</v>
      </c>
      <c r="F8" s="152">
        <f>VLOOKUP($A8,Costdrivere!$A$3:$G$50,6,FALSE)</f>
        <v>61555592.507381685</v>
      </c>
      <c r="G8" s="37">
        <f>VLOOKUP($A8,Costdrivere!$A$3:$G$50,7,FALSE)</f>
        <v>5275540.5999999996</v>
      </c>
      <c r="H8" s="156">
        <v>38.572736133172178</v>
      </c>
      <c r="I8" s="41">
        <f t="shared" si="0"/>
        <v>88114758.107381672</v>
      </c>
      <c r="J8" s="169">
        <f t="shared" si="10"/>
        <v>111240086.00060369</v>
      </c>
      <c r="K8" s="41">
        <f>I8+'Potentialer og krav'!$J8</f>
        <v>88114758.107381672</v>
      </c>
      <c r="L8" s="152">
        <f t="shared" si="11"/>
        <v>111240086.00060369</v>
      </c>
      <c r="M8" s="41">
        <f>K8+(0.3*'Potentialer og krav'!$G8)</f>
        <v>108792711.01050976</v>
      </c>
      <c r="N8" s="169">
        <f>L8+(0.3*'Potentialer og krav'!$G8)</f>
        <v>131918038.90373178</v>
      </c>
      <c r="O8" s="189">
        <v>64150279</v>
      </c>
      <c r="P8" s="169">
        <f t="shared" si="12"/>
        <v>64471030.394999996</v>
      </c>
      <c r="R8" s="198">
        <f t="shared" si="13"/>
        <v>0.18408357860135979</v>
      </c>
      <c r="S8" s="208">
        <f t="shared" si="14"/>
        <v>4.5607751599369577E-2</v>
      </c>
      <c r="T8" s="199">
        <f t="shared" si="15"/>
        <v>9.6686300717272172E-3</v>
      </c>
      <c r="U8" s="208">
        <f t="shared" si="16"/>
        <v>2.1844240866601811E-3</v>
      </c>
      <c r="V8" s="208">
        <f t="shared" si="17"/>
        <v>0.69858436690442394</v>
      </c>
      <c r="W8" s="200">
        <f t="shared" si="18"/>
        <v>5.9871248736459388E-2</v>
      </c>
      <c r="X8" s="12"/>
      <c r="Y8" s="217">
        <f t="shared" si="2"/>
        <v>0.25362345740954639</v>
      </c>
      <c r="AA8" s="198">
        <f t="shared" si="3"/>
        <v>6.3269637085640235E-2</v>
      </c>
      <c r="AB8" s="199">
        <f t="shared" si="4"/>
        <v>0.11949712541643043</v>
      </c>
      <c r="AC8" s="199">
        <f t="shared" si="5"/>
        <v>1.1444956780572781E-2</v>
      </c>
      <c r="AD8" s="199">
        <f t="shared" si="6"/>
        <v>6.1270494642398192E-3</v>
      </c>
      <c r="AE8" s="199">
        <f t="shared" si="7"/>
        <v>-0.21217153345152395</v>
      </c>
      <c r="AF8" s="200">
        <f t="shared" si="8"/>
        <v>1.1832764704540609E-2</v>
      </c>
      <c r="AH8" s="198">
        <f t="shared" si="9"/>
        <v>0.25362345740954639</v>
      </c>
      <c r="AI8" s="199">
        <f t="shared" si="19"/>
        <v>6.5433771718553579E-2</v>
      </c>
      <c r="AJ8" s="200">
        <f t="shared" si="20"/>
        <v>0</v>
      </c>
    </row>
    <row r="9" spans="1:41" x14ac:dyDescent="0.3">
      <c r="A9" s="25" t="s">
        <v>17</v>
      </c>
      <c r="B9" s="48">
        <f>VLOOKUP($A9,Costdrivere!$A$3:$G$50,2,FALSE)</f>
        <v>460320.00000000006</v>
      </c>
      <c r="C9" s="32">
        <f>VLOOKUP($A9,Costdrivere!$A$3:$G$50,3,FALSE)</f>
        <v>458864</v>
      </c>
      <c r="D9" s="32">
        <f>VLOOKUP($A9,Costdrivere!$A$3:$G$50,4,FALSE)</f>
        <v>0</v>
      </c>
      <c r="E9" s="32">
        <f>VLOOKUP($A9,Costdrivere!$A$3:$G$50,5,FALSE)</f>
        <v>0</v>
      </c>
      <c r="F9" s="152">
        <f>VLOOKUP($A9,Costdrivere!$A$3:$G$50,6,FALSE)</f>
        <v>0</v>
      </c>
      <c r="G9" s="37">
        <f>VLOOKUP($A9,Costdrivere!$A$3:$G$50,7,FALSE)</f>
        <v>297698.5</v>
      </c>
      <c r="H9" s="156">
        <v>13.994718921697872</v>
      </c>
      <c r="I9" s="41">
        <f t="shared" si="0"/>
        <v>1216882.5</v>
      </c>
      <c r="J9" s="169">
        <f t="shared" si="10"/>
        <v>1147436.6536270292</v>
      </c>
      <c r="K9" s="41">
        <f>I9+'Potentialer og krav'!$J9</f>
        <v>1216882.5</v>
      </c>
      <c r="L9" s="152">
        <f t="shared" si="11"/>
        <v>1147436.6536270292</v>
      </c>
      <c r="M9" s="41">
        <f>K9+(0.3*'Potentialer og krav'!$G9)</f>
        <v>1989407.8767999599</v>
      </c>
      <c r="N9" s="169">
        <f>L9+(0.3*'Potentialer og krav'!$G9)</f>
        <v>1919962.0304269891</v>
      </c>
      <c r="O9" s="189">
        <v>2254215</v>
      </c>
      <c r="P9" s="169">
        <f t="shared" si="12"/>
        <v>2265486.0749999997</v>
      </c>
      <c r="R9" s="198">
        <f t="shared" si="13"/>
        <v>0.37827809998089384</v>
      </c>
      <c r="S9" s="208">
        <f t="shared" si="14"/>
        <v>0.37708159990796153</v>
      </c>
      <c r="T9" s="199">
        <f t="shared" si="15"/>
        <v>0</v>
      </c>
      <c r="U9" s="208">
        <f t="shared" si="16"/>
        <v>0</v>
      </c>
      <c r="V9" s="208">
        <f t="shared" si="17"/>
        <v>0</v>
      </c>
      <c r="W9" s="200">
        <f t="shared" si="18"/>
        <v>0.24464030011114465</v>
      </c>
      <c r="X9" s="12"/>
      <c r="Y9" s="217">
        <f t="shared" si="2"/>
        <v>0.62291840009203847</v>
      </c>
      <c r="AA9" s="198">
        <f t="shared" si="3"/>
        <v>-0.13092488429389382</v>
      </c>
      <c r="AB9" s="199">
        <f t="shared" si="4"/>
        <v>-0.21197672289216152</v>
      </c>
      <c r="AC9" s="199">
        <f t="shared" si="5"/>
        <v>2.1113586852299998E-2</v>
      </c>
      <c r="AD9" s="199">
        <f t="shared" si="6"/>
        <v>8.3114735509000007E-3</v>
      </c>
      <c r="AE9" s="199">
        <f t="shared" si="7"/>
        <v>0.48641283345289998</v>
      </c>
      <c r="AF9" s="200">
        <f t="shared" si="8"/>
        <v>-0.17293628667014466</v>
      </c>
      <c r="AH9" s="198">
        <f t="shared" si="9"/>
        <v>0.62291840009203847</v>
      </c>
      <c r="AI9" s="199">
        <f t="shared" si="19"/>
        <v>-0.3038611709639385</v>
      </c>
      <c r="AJ9" s="200">
        <f t="shared" si="20"/>
        <v>-2.6081257078999918E-2</v>
      </c>
    </row>
    <row r="10" spans="1:41" ht="15" x14ac:dyDescent="0.25">
      <c r="A10" s="25" t="s">
        <v>18</v>
      </c>
      <c r="B10" s="48">
        <f>VLOOKUP($A10,Costdrivere!$A$3:$G$50,2,FALSE)</f>
        <v>6570520</v>
      </c>
      <c r="C10" s="32">
        <f>VLOOKUP($A10,Costdrivere!$A$3:$G$50,3,FALSE)</f>
        <v>9993389</v>
      </c>
      <c r="D10" s="32">
        <f>VLOOKUP($A10,Costdrivere!$A$3:$G$50,4,FALSE)</f>
        <v>987179</v>
      </c>
      <c r="E10" s="32">
        <f>VLOOKUP($A10,Costdrivere!$A$3:$G$50,5,FALSE)</f>
        <v>251619.47999999998</v>
      </c>
      <c r="F10" s="152">
        <f>VLOOKUP($A10,Costdrivere!$A$3:$G$50,6,FALSE)</f>
        <v>22303458.692011308</v>
      </c>
      <c r="G10" s="37">
        <f>VLOOKUP($A10,Costdrivere!$A$3:$G$50,7,FALSE)</f>
        <v>2476926.1</v>
      </c>
      <c r="H10" s="156">
        <v>33.326597745400221</v>
      </c>
      <c r="I10" s="41">
        <f t="shared" si="0"/>
        <v>42583092.27201131</v>
      </c>
      <c r="J10" s="169">
        <f t="shared" si="10"/>
        <v>50854677.848760165</v>
      </c>
      <c r="K10" s="41">
        <f>I10+'Potentialer og krav'!$J10</f>
        <v>42583092.27201131</v>
      </c>
      <c r="L10" s="152">
        <f t="shared" si="11"/>
        <v>50854677.848760165</v>
      </c>
      <c r="M10" s="41">
        <f>K10+(0.3*'Potentialer og krav'!$G10)</f>
        <v>55817412.340781808</v>
      </c>
      <c r="N10" s="169">
        <f>L10+(0.3*'Potentialer og krav'!$G10)</f>
        <v>64088997.917530663</v>
      </c>
      <c r="O10" s="189">
        <v>42667062</v>
      </c>
      <c r="P10" s="169">
        <f t="shared" si="12"/>
        <v>42880397.309999995</v>
      </c>
      <c r="R10" s="198">
        <f t="shared" si="13"/>
        <v>0.15429879911090019</v>
      </c>
      <c r="S10" s="208">
        <f t="shared" si="14"/>
        <v>0.23467973946477294</v>
      </c>
      <c r="T10" s="199">
        <f t="shared" si="15"/>
        <v>2.3182416948354066E-2</v>
      </c>
      <c r="U10" s="208">
        <f t="shared" si="16"/>
        <v>5.908905778676447E-3</v>
      </c>
      <c r="V10" s="208">
        <f t="shared" si="17"/>
        <v>0.52376324738329905</v>
      </c>
      <c r="W10" s="200">
        <f t="shared" si="18"/>
        <v>5.8166891313997299E-2</v>
      </c>
      <c r="X10" s="12"/>
      <c r="Y10" s="217">
        <f t="shared" si="2"/>
        <v>0.23564810737325156</v>
      </c>
      <c r="AA10" s="198">
        <f t="shared" si="3"/>
        <v>9.3054416576099835E-2</v>
      </c>
      <c r="AB10" s="199">
        <f t="shared" si="4"/>
        <v>-6.9574862448972929E-2</v>
      </c>
      <c r="AC10" s="199">
        <f t="shared" si="5"/>
        <v>-2.0688300960540681E-3</v>
      </c>
      <c r="AD10" s="199">
        <f t="shared" si="6"/>
        <v>2.4025677722235537E-3</v>
      </c>
      <c r="AE10" s="199">
        <f t="shared" si="7"/>
        <v>-3.7350413930399062E-2</v>
      </c>
      <c r="AF10" s="200">
        <f t="shared" si="8"/>
        <v>1.3537122127002699E-2</v>
      </c>
      <c r="AH10" s="198">
        <f t="shared" si="9"/>
        <v>0.23564810737325156</v>
      </c>
      <c r="AI10" s="199">
        <f t="shared" si="19"/>
        <v>8.3409121754848409E-2</v>
      </c>
      <c r="AJ10" s="200">
        <f t="shared" si="20"/>
        <v>0</v>
      </c>
    </row>
    <row r="11" spans="1:41" ht="15" x14ac:dyDescent="0.25">
      <c r="A11" s="25" t="s">
        <v>19</v>
      </c>
      <c r="B11" s="48">
        <f>VLOOKUP($A11,Costdrivere!$A$3:$G$50,2,FALSE)</f>
        <v>2329000</v>
      </c>
      <c r="C11" s="32">
        <f>VLOOKUP($A11,Costdrivere!$A$3:$G$50,3,FALSE)</f>
        <v>2717073</v>
      </c>
      <c r="D11" s="32">
        <f>VLOOKUP($A11,Costdrivere!$A$3:$G$50,4,FALSE)</f>
        <v>243414</v>
      </c>
      <c r="E11" s="32">
        <f>VLOOKUP($A11,Costdrivere!$A$3:$G$50,5,FALSE)</f>
        <v>243006</v>
      </c>
      <c r="F11" s="152">
        <f>VLOOKUP($A11,Costdrivere!$A$3:$G$50,6,FALSE)</f>
        <v>7187522.7141684927</v>
      </c>
      <c r="G11" s="37">
        <f>VLOOKUP($A11,Costdrivere!$A$3:$G$50,7,FALSE)</f>
        <v>1267860</v>
      </c>
      <c r="H11" s="156">
        <v>32.258682574383769</v>
      </c>
      <c r="I11" s="41">
        <f t="shared" si="0"/>
        <v>13987875.714168493</v>
      </c>
      <c r="J11" s="169">
        <f t="shared" si="10"/>
        <v>16510769.171675034</v>
      </c>
      <c r="K11" s="41">
        <f>I11+'Potentialer og krav'!$J11</f>
        <v>14643237.714168493</v>
      </c>
      <c r="L11" s="152">
        <f t="shared" si="11"/>
        <v>17284334.145156108</v>
      </c>
      <c r="M11" s="41">
        <f>K11+(0.3*'Potentialer og krav'!$G11)</f>
        <v>23180088.628702395</v>
      </c>
      <c r="N11" s="169">
        <f>L11+(0.3*'Potentialer og krav'!$G11)</f>
        <v>25821185.059690006</v>
      </c>
      <c r="O11" s="189">
        <v>26218055</v>
      </c>
      <c r="P11" s="169">
        <f t="shared" si="12"/>
        <v>26349145.274999999</v>
      </c>
      <c r="R11" s="198">
        <f t="shared" si="13"/>
        <v>0.16650133641385784</v>
      </c>
      <c r="S11" s="208">
        <f t="shared" si="14"/>
        <v>0.1942448628741992</v>
      </c>
      <c r="T11" s="199">
        <f t="shared" si="15"/>
        <v>1.7401784586450319E-2</v>
      </c>
      <c r="U11" s="208">
        <f t="shared" si="16"/>
        <v>1.7372616469122342E-2</v>
      </c>
      <c r="V11" s="208">
        <f t="shared" si="17"/>
        <v>0.51383947505968774</v>
      </c>
      <c r="W11" s="200">
        <f t="shared" si="18"/>
        <v>9.0639924596682603E-2</v>
      </c>
      <c r="X11" s="12"/>
      <c r="Y11" s="217">
        <f t="shared" si="2"/>
        <v>0.27454304559699072</v>
      </c>
      <c r="AA11" s="198">
        <f t="shared" si="3"/>
        <v>8.0851879273142191E-2</v>
      </c>
      <c r="AB11" s="199">
        <f t="shared" si="4"/>
        <v>-2.9139985858399192E-2</v>
      </c>
      <c r="AC11" s="199">
        <f t="shared" si="5"/>
        <v>3.7118022658496792E-3</v>
      </c>
      <c r="AD11" s="199">
        <f t="shared" si="6"/>
        <v>-9.0611429182223414E-3</v>
      </c>
      <c r="AE11" s="199">
        <f t="shared" si="7"/>
        <v>-2.7426641606787761E-2</v>
      </c>
      <c r="AF11" s="200">
        <f t="shared" si="8"/>
        <v>-1.8935911155682605E-2</v>
      </c>
      <c r="AH11" s="198">
        <f t="shared" si="9"/>
        <v>0.27454304559699072</v>
      </c>
      <c r="AI11" s="199">
        <f t="shared" si="19"/>
        <v>4.4514183531109253E-2</v>
      </c>
      <c r="AJ11" s="200">
        <f t="shared" si="20"/>
        <v>0</v>
      </c>
    </row>
    <row r="12" spans="1:41" ht="15" x14ac:dyDescent="0.25">
      <c r="A12" s="25" t="s">
        <v>20</v>
      </c>
      <c r="B12" s="48">
        <f>VLOOKUP($A12,Costdrivere!$A$3:$G$50,2,FALSE)</f>
        <v>11341730</v>
      </c>
      <c r="C12" s="32">
        <f>VLOOKUP($A12,Costdrivere!$A$3:$G$50,3,FALSE)</f>
        <v>10114415</v>
      </c>
      <c r="D12" s="32">
        <f>VLOOKUP($A12,Costdrivere!$A$3:$G$50,4,FALSE)</f>
        <v>662627</v>
      </c>
      <c r="E12" s="32">
        <f>VLOOKUP($A12,Costdrivere!$A$3:$G$50,5,FALSE)</f>
        <v>363378.18</v>
      </c>
      <c r="F12" s="152">
        <f>VLOOKUP($A12,Costdrivere!$A$3:$G$50,6,FALSE)</f>
        <v>51297479.345328085</v>
      </c>
      <c r="G12" s="37">
        <f>VLOOKUP($A12,Costdrivere!$A$3:$G$50,7,FALSE)</f>
        <v>1964188.5999999999</v>
      </c>
      <c r="H12" s="156">
        <v>38.557959141002044</v>
      </c>
      <c r="I12" s="41">
        <f t="shared" si="0"/>
        <v>75743818.125328079</v>
      </c>
      <c r="J12" s="169">
        <f t="shared" si="10"/>
        <v>95607897.171353236</v>
      </c>
      <c r="K12" s="41">
        <f>I12+'Potentialer og krav'!$J12</f>
        <v>75743818.125328079</v>
      </c>
      <c r="L12" s="152">
        <f t="shared" si="11"/>
        <v>95607897.171353236</v>
      </c>
      <c r="M12" s="41">
        <f>K12+(0.3*'Potentialer og krav'!$G12)</f>
        <v>91776620.650344416</v>
      </c>
      <c r="N12" s="169">
        <f>L12+(0.3*'Potentialer og krav'!$G12)</f>
        <v>111640699.69636957</v>
      </c>
      <c r="O12" s="189">
        <v>52219000</v>
      </c>
      <c r="P12" s="169">
        <f t="shared" si="12"/>
        <v>52480094.999999993</v>
      </c>
      <c r="R12" s="198">
        <f t="shared" si="13"/>
        <v>0.14973802853763749</v>
      </c>
      <c r="S12" s="208">
        <f t="shared" si="14"/>
        <v>0.13353452796985193</v>
      </c>
      <c r="T12" s="199">
        <f t="shared" si="15"/>
        <v>8.7482650914639231E-3</v>
      </c>
      <c r="U12" s="208">
        <f t="shared" si="16"/>
        <v>4.7974631988942406E-3</v>
      </c>
      <c r="V12" s="208">
        <f t="shared" si="17"/>
        <v>0.67724971641183551</v>
      </c>
      <c r="W12" s="200">
        <f t="shared" si="18"/>
        <v>2.5931998790317018E-2</v>
      </c>
      <c r="X12" s="12"/>
      <c r="Y12" s="217">
        <f t="shared" si="2"/>
        <v>0.18441829241941843</v>
      </c>
      <c r="AA12" s="198">
        <f t="shared" si="3"/>
        <v>9.7615187149362542E-2</v>
      </c>
      <c r="AB12" s="199">
        <f t="shared" si="4"/>
        <v>3.1570349045948076E-2</v>
      </c>
      <c r="AC12" s="199">
        <f t="shared" si="5"/>
        <v>1.2365321760836075E-2</v>
      </c>
      <c r="AD12" s="199">
        <f t="shared" si="6"/>
        <v>3.5140103520057602E-3</v>
      </c>
      <c r="AE12" s="199">
        <f t="shared" si="7"/>
        <v>-0.19083688295893553</v>
      </c>
      <c r="AF12" s="200">
        <f t="shared" si="8"/>
        <v>4.5772014650682979E-2</v>
      </c>
      <c r="AH12" s="198">
        <f t="shared" si="9"/>
        <v>0.18441829241941843</v>
      </c>
      <c r="AI12" s="199">
        <f t="shared" si="19"/>
        <v>0.13463893670868154</v>
      </c>
      <c r="AJ12" s="200">
        <f t="shared" si="20"/>
        <v>0</v>
      </c>
    </row>
    <row r="13" spans="1:41" ht="15" x14ac:dyDescent="0.25">
      <c r="A13" s="25" t="s">
        <v>24</v>
      </c>
      <c r="B13" s="48">
        <f>VLOOKUP($A13,Costdrivere!$A$3:$G$50,2,FALSE)</f>
        <v>8412310</v>
      </c>
      <c r="C13" s="32">
        <f>VLOOKUP($A13,Costdrivere!$A$3:$G$50,3,FALSE)</f>
        <v>11181270</v>
      </c>
      <c r="D13" s="32">
        <f>VLOOKUP($A13,Costdrivere!$A$3:$G$50,4,FALSE)</f>
        <v>378644</v>
      </c>
      <c r="E13" s="32">
        <f>VLOOKUP($A13,Costdrivere!$A$3:$G$50,5,FALSE)</f>
        <v>383636.69999999995</v>
      </c>
      <c r="F13" s="152">
        <f>VLOOKUP($A13,Costdrivere!$A$3:$G$50,6,FALSE)</f>
        <v>58490612.902900964</v>
      </c>
      <c r="G13" s="37">
        <f>VLOOKUP($A13,Costdrivere!$A$3:$G$50,7,FALSE)</f>
        <v>2927762.1999999997</v>
      </c>
      <c r="H13" s="156">
        <v>32.134950611967881</v>
      </c>
      <c r="I13" s="41">
        <f t="shared" si="0"/>
        <v>81774235.80290097</v>
      </c>
      <c r="J13" s="169">
        <f t="shared" si="10"/>
        <v>96391736.821156934</v>
      </c>
      <c r="K13" s="41">
        <f>I13+'Potentialer og krav'!$J13</f>
        <v>81774235.80290097</v>
      </c>
      <c r="L13" s="152">
        <f t="shared" si="11"/>
        <v>96391736.821156934</v>
      </c>
      <c r="M13" s="41">
        <f>K13+(0.3*'Potentialer og krav'!$G13)</f>
        <v>102271566.65291895</v>
      </c>
      <c r="N13" s="169">
        <f>L13+(0.3*'Potentialer og krav'!$G13)</f>
        <v>116889067.67117491</v>
      </c>
      <c r="O13" s="189">
        <v>60664750</v>
      </c>
      <c r="P13" s="169">
        <f t="shared" si="12"/>
        <v>60968073.749999993</v>
      </c>
      <c r="R13" s="198">
        <f t="shared" si="13"/>
        <v>0.10287237682386963</v>
      </c>
      <c r="S13" s="208">
        <f t="shared" si="14"/>
        <v>0.13673340863679878</v>
      </c>
      <c r="T13" s="199">
        <f t="shared" si="15"/>
        <v>4.6303581596609366E-3</v>
      </c>
      <c r="U13" s="208">
        <f t="shared" si="16"/>
        <v>4.6914128421165916E-3</v>
      </c>
      <c r="V13" s="208">
        <f t="shared" si="17"/>
        <v>0.7152694528858683</v>
      </c>
      <c r="W13" s="200">
        <f t="shared" si="18"/>
        <v>3.5802990651685629E-2</v>
      </c>
      <c r="X13" s="12"/>
      <c r="Y13" s="217">
        <f t="shared" si="2"/>
        <v>0.14330572563521621</v>
      </c>
      <c r="AA13" s="198">
        <f t="shared" si="3"/>
        <v>0.1444808388631304</v>
      </c>
      <c r="AB13" s="199">
        <f t="shared" si="4"/>
        <v>2.837146837900123E-2</v>
      </c>
      <c r="AC13" s="199">
        <f t="shared" si="5"/>
        <v>1.648322869263906E-2</v>
      </c>
      <c r="AD13" s="199">
        <f t="shared" si="6"/>
        <v>3.6200607087834092E-3</v>
      </c>
      <c r="AE13" s="199">
        <f t="shared" si="7"/>
        <v>-0.22885661943296831</v>
      </c>
      <c r="AF13" s="200">
        <f t="shared" si="8"/>
        <v>3.5901022789314369E-2</v>
      </c>
      <c r="AH13" s="198">
        <f t="shared" si="9"/>
        <v>0.14330572563521621</v>
      </c>
      <c r="AI13" s="199">
        <f t="shared" si="19"/>
        <v>0.17575150349288376</v>
      </c>
      <c r="AJ13" s="200">
        <f t="shared" si="20"/>
        <v>0</v>
      </c>
    </row>
    <row r="14" spans="1:41" ht="15" x14ac:dyDescent="0.25">
      <c r="A14" s="25" t="s">
        <v>21</v>
      </c>
      <c r="B14" s="48">
        <f>VLOOKUP($A14,Costdrivere!$A$3:$G$50,2,FALSE)</f>
        <v>8257230</v>
      </c>
      <c r="C14" s="32">
        <f>VLOOKUP($A14,Costdrivere!$A$3:$G$50,3,FALSE)</f>
        <v>2723327</v>
      </c>
      <c r="D14" s="32">
        <f>VLOOKUP($A14,Costdrivere!$A$3:$G$50,4,FALSE)</f>
        <v>54092</v>
      </c>
      <c r="E14" s="32">
        <f>VLOOKUP($A14,Costdrivere!$A$3:$G$50,5,FALSE)</f>
        <v>71217.599999999991</v>
      </c>
      <c r="F14" s="152">
        <f>VLOOKUP($A14,Costdrivere!$A$3:$G$50,6,FALSE)</f>
        <v>0</v>
      </c>
      <c r="G14" s="37">
        <f>VLOOKUP($A14,Costdrivere!$A$3:$G$50,7,FALSE)</f>
        <v>1918321.9</v>
      </c>
      <c r="H14" s="156">
        <v>65.905123248920447</v>
      </c>
      <c r="I14" s="41">
        <f t="shared" si="0"/>
        <v>13024188.5</v>
      </c>
      <c r="J14" s="169">
        <f t="shared" si="10"/>
        <v>21070097.176525742</v>
      </c>
      <c r="K14" s="41">
        <f>I14+'Potentialer og krav'!$J14</f>
        <v>13782968.5</v>
      </c>
      <c r="L14" s="152">
        <f t="shared" si="11"/>
        <v>22297626.118970346</v>
      </c>
      <c r="M14" s="41">
        <f>K14+(0.3*'Potentialer og krav'!$G14)</f>
        <v>23607696.625759959</v>
      </c>
      <c r="N14" s="169">
        <f>L14+(0.3*'Potentialer og krav'!$G14)</f>
        <v>32122354.244730305</v>
      </c>
      <c r="O14" s="189">
        <v>24578392</v>
      </c>
      <c r="P14" s="169">
        <f t="shared" si="12"/>
        <v>24701283.959999997</v>
      </c>
      <c r="R14" s="198">
        <f t="shared" si="13"/>
        <v>0.63399189899624075</v>
      </c>
      <c r="S14" s="208">
        <f t="shared" si="14"/>
        <v>0.20909763399078568</v>
      </c>
      <c r="T14" s="199">
        <f t="shared" si="15"/>
        <v>4.1531954178949419E-3</v>
      </c>
      <c r="U14" s="208">
        <f t="shared" si="16"/>
        <v>5.4681026768001705E-3</v>
      </c>
      <c r="V14" s="208">
        <f t="shared" si="17"/>
        <v>0</v>
      </c>
      <c r="W14" s="200">
        <f t="shared" si="18"/>
        <v>0.14728916891827848</v>
      </c>
      <c r="X14" s="12"/>
      <c r="Y14" s="217">
        <f t="shared" si="2"/>
        <v>0.78543426333241417</v>
      </c>
      <c r="AA14" s="198">
        <f t="shared" si="3"/>
        <v>-0.38663868330924073</v>
      </c>
      <c r="AB14" s="199">
        <f t="shared" si="4"/>
        <v>-4.399275697498567E-2</v>
      </c>
      <c r="AC14" s="199">
        <f t="shared" si="5"/>
        <v>1.6960391434405055E-2</v>
      </c>
      <c r="AD14" s="199">
        <f t="shared" si="6"/>
        <v>2.8433708740998303E-3</v>
      </c>
      <c r="AE14" s="199">
        <f t="shared" si="7"/>
        <v>0.48641283345289998</v>
      </c>
      <c r="AF14" s="200">
        <f t="shared" si="8"/>
        <v>-7.5585155477278482E-2</v>
      </c>
      <c r="AH14" s="198">
        <f t="shared" si="9"/>
        <v>0.78543426333241417</v>
      </c>
      <c r="AI14" s="199">
        <f t="shared" si="19"/>
        <v>-0.4663770342043142</v>
      </c>
      <c r="AJ14" s="200">
        <f t="shared" si="20"/>
        <v>-7.9142686426982592E-2</v>
      </c>
    </row>
    <row r="15" spans="1:41" ht="15" x14ac:dyDescent="0.25">
      <c r="A15" s="25" t="s">
        <v>22</v>
      </c>
      <c r="B15" s="48">
        <f>VLOOKUP($A15,Costdrivere!$A$3:$G$50,2,FALSE)</f>
        <v>5496880</v>
      </c>
      <c r="C15" s="32">
        <f>VLOOKUP($A15,Costdrivere!$A$3:$G$50,3,FALSE)</f>
        <v>7520254</v>
      </c>
      <c r="D15" s="32">
        <f>VLOOKUP($A15,Costdrivere!$A$3:$G$50,4,FALSE)</f>
        <v>365121</v>
      </c>
      <c r="E15" s="32">
        <f>VLOOKUP($A15,Costdrivere!$A$3:$G$50,5,FALSE)</f>
        <v>478144.37999999995</v>
      </c>
      <c r="F15" s="152">
        <f>VLOOKUP($A15,Costdrivere!$A$3:$G$50,6,FALSE)</f>
        <v>19007384.325476211</v>
      </c>
      <c r="G15" s="37">
        <f>VLOOKUP($A15,Costdrivere!$A$3:$G$50,7,FALSE)</f>
        <v>2079041.8</v>
      </c>
      <c r="H15" s="156">
        <v>34.314140591445032</v>
      </c>
      <c r="I15" s="41">
        <f t="shared" si="0"/>
        <v>34946825.505476207</v>
      </c>
      <c r="J15" s="169">
        <f t="shared" si="10"/>
        <v>42183747.896722294</v>
      </c>
      <c r="K15" s="41">
        <f>I15+'Potentialer og krav'!$J15</f>
        <v>35818840.505476207</v>
      </c>
      <c r="L15" s="152">
        <f t="shared" si="11"/>
        <v>43236343.100724332</v>
      </c>
      <c r="M15" s="41">
        <f>K15+(0.3*'Potentialer og krav'!$G15)</f>
        <v>46784411.98625131</v>
      </c>
      <c r="N15" s="169">
        <f>L15+(0.3*'Potentialer og krav'!$G15)</f>
        <v>54201914.581499428</v>
      </c>
      <c r="O15" s="189">
        <v>33303840</v>
      </c>
      <c r="P15" s="169">
        <f t="shared" si="12"/>
        <v>33470359.199999996</v>
      </c>
      <c r="R15" s="198">
        <f t="shared" si="13"/>
        <v>0.15729268454265274</v>
      </c>
      <c r="S15" s="208">
        <f t="shared" si="14"/>
        <v>0.21519133401177076</v>
      </c>
      <c r="T15" s="199">
        <f t="shared" si="15"/>
        <v>1.0447901768439171E-2</v>
      </c>
      <c r="U15" s="208">
        <f t="shared" si="16"/>
        <v>1.3682054752729234E-2</v>
      </c>
      <c r="V15" s="208">
        <f t="shared" si="17"/>
        <v>0.54389444679310661</v>
      </c>
      <c r="W15" s="200">
        <f t="shared" si="18"/>
        <v>5.9491578131301563E-2</v>
      </c>
      <c r="X15" s="12"/>
      <c r="Y15" s="217">
        <f t="shared" si="2"/>
        <v>0.2272321644423935</v>
      </c>
      <c r="AA15" s="198">
        <f t="shared" si="3"/>
        <v>9.0060531144347283E-2</v>
      </c>
      <c r="AB15" s="199">
        <f t="shared" si="4"/>
        <v>-5.0086456995970752E-2</v>
      </c>
      <c r="AC15" s="199">
        <f t="shared" si="5"/>
        <v>1.0665685083860827E-2</v>
      </c>
      <c r="AD15" s="199">
        <f t="shared" si="6"/>
        <v>-5.3705812018292332E-3</v>
      </c>
      <c r="AE15" s="199">
        <f t="shared" si="7"/>
        <v>-5.7481613340206628E-2</v>
      </c>
      <c r="AF15" s="200">
        <f t="shared" si="8"/>
        <v>1.2212435309698434E-2</v>
      </c>
      <c r="AH15" s="198">
        <f t="shared" si="9"/>
        <v>0.2272321644423935</v>
      </c>
      <c r="AI15" s="199">
        <f t="shared" si="19"/>
        <v>9.1825064685706476E-2</v>
      </c>
      <c r="AJ15" s="200">
        <f t="shared" si="20"/>
        <v>0</v>
      </c>
    </row>
    <row r="16" spans="1:41" ht="15" x14ac:dyDescent="0.25">
      <c r="A16" s="25" t="s">
        <v>23</v>
      </c>
      <c r="B16" s="48">
        <f>VLOOKUP($A16,Costdrivere!$A$3:$G$50,2,FALSE)</f>
        <v>10038760</v>
      </c>
      <c r="C16" s="32">
        <f>VLOOKUP($A16,Costdrivere!$A$3:$G$50,3,FALSE)</f>
        <v>15062706</v>
      </c>
      <c r="D16" s="32">
        <f>VLOOKUP($A16,Costdrivere!$A$3:$G$50,4,FALSE)</f>
        <v>649104</v>
      </c>
      <c r="E16" s="32">
        <f>VLOOKUP($A16,Costdrivere!$A$3:$G$50,5,FALSE)</f>
        <v>26899.079999999998</v>
      </c>
      <c r="F16" s="152">
        <f>VLOOKUP($A16,Costdrivere!$A$3:$G$50,6,FALSE)</f>
        <v>25751599.685652155</v>
      </c>
      <c r="G16" s="37">
        <f>VLOOKUP($A16,Costdrivere!$A$3:$G$50,7,FALSE)</f>
        <v>4169767.8</v>
      </c>
      <c r="H16" s="156">
        <v>38.564890644794559</v>
      </c>
      <c r="I16" s="41">
        <f t="shared" si="0"/>
        <v>55698836.565652147</v>
      </c>
      <c r="J16" s="169">
        <f t="shared" si="10"/>
        <v>70311068.662017852</v>
      </c>
      <c r="K16" s="41">
        <f>I16+'Potentialer og krav'!$J16</f>
        <v>55698836.565652147</v>
      </c>
      <c r="L16" s="152">
        <f t="shared" si="11"/>
        <v>70311068.662017852</v>
      </c>
      <c r="M16" s="41">
        <f>K16+(0.3*'Potentialer og krav'!$G16)</f>
        <v>68355475.64924401</v>
      </c>
      <c r="N16" s="169">
        <f>L16+(0.3*'Potentialer og krav'!$G16)</f>
        <v>82967707.745609716</v>
      </c>
      <c r="O16" s="189">
        <v>37808802</v>
      </c>
      <c r="P16" s="169">
        <f t="shared" si="12"/>
        <v>37997846.009999998</v>
      </c>
      <c r="R16" s="198">
        <f t="shared" si="13"/>
        <v>0.18023284899617834</v>
      </c>
      <c r="S16" s="208">
        <f t="shared" si="14"/>
        <v>0.27043125007190427</v>
      </c>
      <c r="T16" s="199">
        <f t="shared" si="15"/>
        <v>1.165381613016103E-2</v>
      </c>
      <c r="U16" s="208">
        <f t="shared" si="16"/>
        <v>4.8293791501899841E-4</v>
      </c>
      <c r="V16" s="208">
        <f t="shared" si="17"/>
        <v>0.46233640186180153</v>
      </c>
      <c r="W16" s="200">
        <f t="shared" si="18"/>
        <v>7.486274502493602E-2</v>
      </c>
      <c r="X16" s="12"/>
      <c r="Y16" s="217">
        <f t="shared" si="2"/>
        <v>0.2667494101512754</v>
      </c>
      <c r="AA16" s="198">
        <f t="shared" si="3"/>
        <v>6.7120366690821692E-2</v>
      </c>
      <c r="AB16" s="199">
        <f t="shared" si="4"/>
        <v>-0.10532637305610426</v>
      </c>
      <c r="AC16" s="199">
        <f t="shared" si="5"/>
        <v>9.4597707221389677E-3</v>
      </c>
      <c r="AD16" s="199">
        <f t="shared" si="6"/>
        <v>7.8285356358810017E-3</v>
      </c>
      <c r="AE16" s="199">
        <f t="shared" si="7"/>
        <v>2.4076431591098457E-2</v>
      </c>
      <c r="AF16" s="200">
        <f t="shared" si="8"/>
        <v>-3.1587315839360225E-3</v>
      </c>
      <c r="AH16" s="198">
        <f t="shared" si="9"/>
        <v>0.2667494101512754</v>
      </c>
      <c r="AI16" s="199">
        <f t="shared" si="19"/>
        <v>5.2307818976824572E-2</v>
      </c>
      <c r="AJ16" s="200">
        <f t="shared" si="20"/>
        <v>0</v>
      </c>
    </row>
    <row r="17" spans="1:36" ht="15" x14ac:dyDescent="0.25">
      <c r="A17" s="25" t="s">
        <v>25</v>
      </c>
      <c r="B17" s="48">
        <f>VLOOKUP($A17,Costdrivere!$A$3:$G$50,2,FALSE)</f>
        <v>3837545.0000000005</v>
      </c>
      <c r="C17" s="32">
        <f>VLOOKUP($A17,Costdrivere!$A$3:$G$50,3,FALSE)</f>
        <v>8300568</v>
      </c>
      <c r="D17" s="32">
        <f>VLOOKUP($A17,Costdrivere!$A$3:$G$50,4,FALSE)</f>
        <v>297506</v>
      </c>
      <c r="E17" s="32">
        <f>VLOOKUP($A17,Costdrivere!$A$3:$G$50,5,FALSE)</f>
        <v>222314.4</v>
      </c>
      <c r="F17" s="152">
        <f>VLOOKUP($A17,Costdrivere!$A$3:$G$50,6,FALSE)</f>
        <v>10676506.166258305</v>
      </c>
      <c r="G17" s="37">
        <f>VLOOKUP($A17,Costdrivere!$A$3:$G$50,7,FALSE)</f>
        <v>1260402</v>
      </c>
      <c r="H17" s="156">
        <v>34.633968670727619</v>
      </c>
      <c r="I17" s="41">
        <f t="shared" si="0"/>
        <v>24594841.566258304</v>
      </c>
      <c r="J17" s="169">
        <f t="shared" si="10"/>
        <v>29790295.071397465</v>
      </c>
      <c r="K17" s="41">
        <f>I17+'Potentialer og krav'!$J17</f>
        <v>24811023.566258304</v>
      </c>
      <c r="L17" s="152">
        <f t="shared" si="11"/>
        <v>30052143.70139474</v>
      </c>
      <c r="M17" s="41">
        <f>K17+(0.3*'Potentialer og krav'!$G17)</f>
        <v>35100749.422921702</v>
      </c>
      <c r="N17" s="169">
        <f>L17+(0.3*'Potentialer og krav'!$G17)</f>
        <v>40341869.558058143</v>
      </c>
      <c r="O17" s="189">
        <v>32182395</v>
      </c>
      <c r="P17" s="169">
        <f t="shared" si="12"/>
        <v>32343306.974999998</v>
      </c>
      <c r="R17" s="198">
        <f t="shared" si="13"/>
        <v>0.15603048263847055</v>
      </c>
      <c r="S17" s="208">
        <f t="shared" si="14"/>
        <v>0.3374922329805759</v>
      </c>
      <c r="T17" s="199">
        <f t="shared" si="15"/>
        <v>1.2096276334959152E-2</v>
      </c>
      <c r="U17" s="208">
        <f t="shared" si="16"/>
        <v>9.0390661554410421E-3</v>
      </c>
      <c r="V17" s="208">
        <f t="shared" si="17"/>
        <v>0.43409534220807577</v>
      </c>
      <c r="W17" s="200">
        <f t="shared" si="18"/>
        <v>5.1246599682477613E-2</v>
      </c>
      <c r="X17" s="12"/>
      <c r="Y17" s="217">
        <f t="shared" si="2"/>
        <v>0.21937335865590732</v>
      </c>
      <c r="AA17" s="198">
        <f t="shared" si="3"/>
        <v>9.1322733048529475E-2</v>
      </c>
      <c r="AB17" s="199">
        <f t="shared" si="4"/>
        <v>-0.17238735596477589</v>
      </c>
      <c r="AC17" s="199">
        <f t="shared" si="5"/>
        <v>9.0173105173408461E-3</v>
      </c>
      <c r="AD17" s="199">
        <f t="shared" si="6"/>
        <v>-7.2759260454104135E-4</v>
      </c>
      <c r="AE17" s="199">
        <f t="shared" si="7"/>
        <v>5.231749124482421E-2</v>
      </c>
      <c r="AF17" s="200">
        <f t="shared" si="8"/>
        <v>2.0457413758522384E-2</v>
      </c>
      <c r="AH17" s="198">
        <f t="shared" si="9"/>
        <v>0.21937335865590732</v>
      </c>
      <c r="AI17" s="199">
        <f t="shared" si="19"/>
        <v>9.9683870472192654E-2</v>
      </c>
      <c r="AJ17" s="200">
        <f t="shared" si="20"/>
        <v>0</v>
      </c>
    </row>
    <row r="18" spans="1:36" x14ac:dyDescent="0.3">
      <c r="A18" s="25" t="s">
        <v>26</v>
      </c>
      <c r="B18" s="48">
        <f>VLOOKUP($A18,Costdrivere!$A$3:$G$50,2,FALSE)</f>
        <v>2405720.0000000005</v>
      </c>
      <c r="C18" s="32">
        <f>VLOOKUP($A18,Costdrivere!$A$3:$G$50,3,FALSE)</f>
        <v>8981113</v>
      </c>
      <c r="D18" s="32">
        <f>VLOOKUP($A18,Costdrivere!$A$3:$G$50,4,FALSE)</f>
        <v>946610</v>
      </c>
      <c r="E18" s="32">
        <f>VLOOKUP($A18,Costdrivere!$A$3:$G$50,5,FALSE)</f>
        <v>680898</v>
      </c>
      <c r="F18" s="152">
        <f>VLOOKUP($A18,Costdrivere!$A$3:$G$50,6,FALSE)</f>
        <v>14613290.318270085</v>
      </c>
      <c r="G18" s="37">
        <f>VLOOKUP($A18,Costdrivere!$A$3:$G$50,7,FALSE)</f>
        <v>1748528.0999999999</v>
      </c>
      <c r="H18" s="156">
        <v>31.415725611573301</v>
      </c>
      <c r="I18" s="41">
        <f t="shared" si="0"/>
        <v>29376159.418270089</v>
      </c>
      <c r="J18" s="169">
        <f t="shared" si="10"/>
        <v>34352611.046784237</v>
      </c>
      <c r="K18" s="41">
        <f>I18+'Potentialer og krav'!$J18</f>
        <v>33701966.918270089</v>
      </c>
      <c r="L18" s="152">
        <f t="shared" si="11"/>
        <v>39411229.51337456</v>
      </c>
      <c r="M18" s="41">
        <f>K18+(0.3*'Potentialer og krav'!$G18)</f>
        <v>45866052.774637848</v>
      </c>
      <c r="N18" s="169">
        <f>L18+(0.3*'Potentialer og krav'!$G18)</f>
        <v>51575315.369742319</v>
      </c>
      <c r="O18" s="189">
        <v>39667550</v>
      </c>
      <c r="P18" s="169">
        <f t="shared" si="12"/>
        <v>39865887.749999993</v>
      </c>
      <c r="R18" s="198">
        <f t="shared" si="13"/>
        <v>8.1893618758883666E-2</v>
      </c>
      <c r="S18" s="208">
        <f t="shared" si="14"/>
        <v>0.30572795007417897</v>
      </c>
      <c r="T18" s="199">
        <f t="shared" si="15"/>
        <v>3.2223749419444843E-2</v>
      </c>
      <c r="U18" s="208">
        <f t="shared" si="16"/>
        <v>2.3178591534212777E-2</v>
      </c>
      <c r="V18" s="208">
        <f t="shared" si="17"/>
        <v>0.49745407866971048</v>
      </c>
      <c r="W18" s="200">
        <f t="shared" si="18"/>
        <v>5.9522011543569148E-2</v>
      </c>
      <c r="X18" s="12"/>
      <c r="Y18" s="217">
        <f t="shared" si="2"/>
        <v>0.17363937972189766</v>
      </c>
      <c r="AA18" s="198">
        <f t="shared" si="3"/>
        <v>0.16545959692811635</v>
      </c>
      <c r="AB18" s="199">
        <f t="shared" si="4"/>
        <v>-0.14062307305837896</v>
      </c>
      <c r="AC18" s="199">
        <f t="shared" si="5"/>
        <v>-1.1110162567144845E-2</v>
      </c>
      <c r="AD18" s="199">
        <f t="shared" si="6"/>
        <v>-1.4867117983312776E-2</v>
      </c>
      <c r="AE18" s="199">
        <f t="shared" si="7"/>
        <v>-1.1041245216810491E-2</v>
      </c>
      <c r="AF18" s="200">
        <f t="shared" si="8"/>
        <v>1.218200189743085E-2</v>
      </c>
      <c r="AH18" s="198">
        <f t="shared" si="9"/>
        <v>0.17363937972189766</v>
      </c>
      <c r="AI18" s="199">
        <f t="shared" si="19"/>
        <v>0.14541784940620231</v>
      </c>
      <c r="AJ18" s="200">
        <f t="shared" si="20"/>
        <v>0</v>
      </c>
    </row>
    <row r="19" spans="1:36" x14ac:dyDescent="0.3">
      <c r="A19" s="25" t="s">
        <v>64</v>
      </c>
      <c r="B19" s="48">
        <f>VLOOKUP($A19,Costdrivere!$A$3:$G$50,2,FALSE)</f>
        <v>920640.00000000012</v>
      </c>
      <c r="C19" s="32">
        <f>VLOOKUP($A19,Costdrivere!$A$3:$G$50,3,FALSE)</f>
        <v>2082674</v>
      </c>
      <c r="D19" s="32">
        <f>VLOOKUP($A19,Costdrivere!$A$3:$G$50,4,FALSE)</f>
        <v>108184</v>
      </c>
      <c r="E19" s="32">
        <f>VLOOKUP($A19,Costdrivere!$A$3:$G$50,5,FALSE)</f>
        <v>22857</v>
      </c>
      <c r="F19" s="152">
        <f>VLOOKUP($A19,Costdrivere!$A$3:$G$50,6,FALSE)</f>
        <v>4408997.8768262528</v>
      </c>
      <c r="G19" s="37">
        <f>VLOOKUP($A19,Costdrivere!$A$3:$G$50,7,FALSE)</f>
        <v>567180.9</v>
      </c>
      <c r="H19" s="156">
        <v>42.59667753007065</v>
      </c>
      <c r="I19" s="41">
        <f t="shared" si="0"/>
        <v>8110533.7768262532</v>
      </c>
      <c r="J19" s="169">
        <f t="shared" si="10"/>
        <v>10663379.49871156</v>
      </c>
      <c r="K19" s="41">
        <f>I19+'Potentialer og krav'!$J19</f>
        <v>8110533.7768262532</v>
      </c>
      <c r="L19" s="152">
        <f t="shared" si="11"/>
        <v>10663379.49871156</v>
      </c>
      <c r="M19" s="41">
        <f>K19+(0.3*'Potentialer og krav'!$G19)</f>
        <v>10646077.199601972</v>
      </c>
      <c r="N19" s="169">
        <f>L19+(0.3*'Potentialer og krav'!$G19)</f>
        <v>13198922.921487279</v>
      </c>
      <c r="O19" s="189">
        <v>7078903</v>
      </c>
      <c r="P19" s="169">
        <f t="shared" si="12"/>
        <v>7114297.5149999997</v>
      </c>
      <c r="R19" s="198">
        <f t="shared" si="13"/>
        <v>0.11351164119807874</v>
      </c>
      <c r="S19" s="208">
        <f t="shared" si="14"/>
        <v>0.2567863049841061</v>
      </c>
      <c r="T19" s="199">
        <f t="shared" si="15"/>
        <v>1.3338702849510069E-2</v>
      </c>
      <c r="U19" s="208">
        <f t="shared" si="16"/>
        <v>2.8181868948389008E-3</v>
      </c>
      <c r="V19" s="208">
        <f t="shared" si="17"/>
        <v>0.54361377415427581</v>
      </c>
      <c r="W19" s="200">
        <f t="shared" si="18"/>
        <v>6.9931389919190318E-2</v>
      </c>
      <c r="X19" s="12"/>
      <c r="Y19" s="217">
        <f t="shared" si="2"/>
        <v>0.19678173396677914</v>
      </c>
      <c r="AA19" s="198">
        <f t="shared" si="3"/>
        <v>0.13384157448892128</v>
      </c>
      <c r="AB19" s="199">
        <f t="shared" si="4"/>
        <v>-9.1681427968306084E-2</v>
      </c>
      <c r="AC19" s="199">
        <f t="shared" si="5"/>
        <v>7.774884002789929E-3</v>
      </c>
      <c r="AD19" s="199">
        <f t="shared" si="6"/>
        <v>5.4932866560610995E-3</v>
      </c>
      <c r="AE19" s="199">
        <f t="shared" si="7"/>
        <v>-5.7200940701375824E-2</v>
      </c>
      <c r="AF19" s="200">
        <f t="shared" si="8"/>
        <v>1.7726235218096797E-3</v>
      </c>
      <c r="AH19" s="198">
        <f t="shared" si="9"/>
        <v>0.19678173396677914</v>
      </c>
      <c r="AI19" s="199">
        <f t="shared" si="19"/>
        <v>0.12227549516132083</v>
      </c>
      <c r="AJ19" s="200">
        <f t="shared" si="20"/>
        <v>0</v>
      </c>
    </row>
    <row r="20" spans="1:36" x14ac:dyDescent="0.3">
      <c r="A20" s="25" t="s">
        <v>65</v>
      </c>
      <c r="B20" s="48">
        <f>VLOOKUP($A20,Costdrivere!$A$3:$G$50,2,FALSE)</f>
        <v>4046230</v>
      </c>
      <c r="C20" s="32">
        <f>VLOOKUP($A20,Costdrivere!$A$3:$G$50,3,FALSE)</f>
        <v>816426</v>
      </c>
      <c r="D20" s="32">
        <f>VLOOKUP($A20,Costdrivere!$A$3:$G$50,4,FALSE)</f>
        <v>162276</v>
      </c>
      <c r="E20" s="32">
        <f>VLOOKUP($A20,Costdrivere!$A$3:$G$50,5,FALSE)</f>
        <v>339727.19999999995</v>
      </c>
      <c r="F20" s="152">
        <f>VLOOKUP($A20,Costdrivere!$A$3:$G$50,6,FALSE)</f>
        <v>0</v>
      </c>
      <c r="G20" s="37">
        <f>VLOOKUP($A20,Costdrivere!$A$3:$G$50,7,FALSE)</f>
        <v>657049.79999999993</v>
      </c>
      <c r="H20" s="156">
        <v>50.403726645219706</v>
      </c>
      <c r="I20" s="41">
        <f t="shared" si="0"/>
        <v>6021709</v>
      </c>
      <c r="J20" s="169">
        <f t="shared" si="10"/>
        <v>8528236.015849771</v>
      </c>
      <c r="K20" s="41">
        <f>I20+'Potentialer og krav'!$J20</f>
        <v>6021709</v>
      </c>
      <c r="L20" s="152">
        <f t="shared" si="11"/>
        <v>8528236.015849771</v>
      </c>
      <c r="M20" s="41">
        <f>K20+(0.3*'Potentialer og krav'!$G20)</f>
        <v>11340751.886518899</v>
      </c>
      <c r="N20" s="169">
        <f>L20+(0.3*'Potentialer og krav'!$G20)</f>
        <v>13847278.902368668</v>
      </c>
      <c r="O20" s="189">
        <v>11337179</v>
      </c>
      <c r="P20" s="169">
        <f t="shared" si="12"/>
        <v>11393864.895</v>
      </c>
      <c r="R20" s="198">
        <f t="shared" si="13"/>
        <v>0.67194047404150548</v>
      </c>
      <c r="S20" s="208">
        <f t="shared" si="14"/>
        <v>0.1355804473447654</v>
      </c>
      <c r="T20" s="199">
        <f t="shared" si="15"/>
        <v>2.6948495850596565E-2</v>
      </c>
      <c r="U20" s="208">
        <f t="shared" si="16"/>
        <v>5.6417073624779934E-2</v>
      </c>
      <c r="V20" s="208">
        <f t="shared" si="17"/>
        <v>0</v>
      </c>
      <c r="W20" s="200">
        <f t="shared" si="18"/>
        <v>0.10911350913835258</v>
      </c>
      <c r="X20" s="12"/>
      <c r="Y20" s="217">
        <f t="shared" si="2"/>
        <v>0.80800247903045463</v>
      </c>
      <c r="AA20" s="198">
        <f t="shared" si="3"/>
        <v>-0.42458725835450545</v>
      </c>
      <c r="AB20" s="199">
        <f t="shared" si="4"/>
        <v>2.9524429671034608E-2</v>
      </c>
      <c r="AC20" s="199">
        <f t="shared" si="5"/>
        <v>-5.8349089982965667E-3</v>
      </c>
      <c r="AD20" s="199">
        <f t="shared" si="6"/>
        <v>-4.8105600073879935E-2</v>
      </c>
      <c r="AE20" s="199">
        <f t="shared" si="7"/>
        <v>0.48641283345289998</v>
      </c>
      <c r="AF20" s="200">
        <f t="shared" si="8"/>
        <v>-3.7409495697352579E-2</v>
      </c>
      <c r="AH20" s="198">
        <f t="shared" si="9"/>
        <v>0.80800247903045463</v>
      </c>
      <c r="AI20" s="199">
        <f t="shared" si="19"/>
        <v>-0.48894524990235466</v>
      </c>
      <c r="AJ20" s="200">
        <f t="shared" si="20"/>
        <v>-8.6511208852392801E-2</v>
      </c>
    </row>
    <row r="21" spans="1:36" x14ac:dyDescent="0.3">
      <c r="A21" s="25" t="s">
        <v>67</v>
      </c>
      <c r="B21" s="48">
        <f>VLOOKUP($A21,Costdrivere!$A$3:$G$50,2,FALSE)</f>
        <v>9087300</v>
      </c>
      <c r="C21" s="32">
        <f>VLOOKUP($A21,Costdrivere!$A$3:$G$50,3,FALSE)</f>
        <v>2467416</v>
      </c>
      <c r="D21" s="32">
        <f>VLOOKUP($A21,Costdrivere!$A$3:$G$50,4,FALSE)</f>
        <v>216368</v>
      </c>
      <c r="E21" s="32">
        <f>VLOOKUP($A21,Costdrivere!$A$3:$G$50,5,FALSE)</f>
        <v>653493.65999999992</v>
      </c>
      <c r="F21" s="152">
        <f>VLOOKUP($A21,Costdrivere!$A$3:$G$50,6,FALSE)</f>
        <v>0</v>
      </c>
      <c r="G21" s="37">
        <f>VLOOKUP($A21,Costdrivere!$A$3:$G$50,7,FALSE)</f>
        <v>1220253.0999999999</v>
      </c>
      <c r="H21" s="156">
        <v>54.203055502867514</v>
      </c>
      <c r="I21" s="41">
        <f t="shared" si="0"/>
        <v>13644830.76</v>
      </c>
      <c r="J21" s="169">
        <f t="shared" si="10"/>
        <v>19998405.955509681</v>
      </c>
      <c r="K21" s="41">
        <f>I21+'Potentialer og krav'!$J21</f>
        <v>14347129.76</v>
      </c>
      <c r="L21" s="152">
        <f t="shared" si="11"/>
        <v>21027723.266305588</v>
      </c>
      <c r="M21" s="41">
        <f>K21+(0.3*'Potentialer og krav'!$G21)</f>
        <v>20502069.746323939</v>
      </c>
      <c r="N21" s="169">
        <f>L21+(0.3*'Potentialer og krav'!$G21)</f>
        <v>27182663.252629526</v>
      </c>
      <c r="O21" s="189">
        <v>19051061</v>
      </c>
      <c r="P21" s="169">
        <f t="shared" si="12"/>
        <v>19146316.305</v>
      </c>
      <c r="R21" s="198">
        <f t="shared" si="13"/>
        <v>0.66598847283907248</v>
      </c>
      <c r="S21" s="208">
        <f t="shared" si="14"/>
        <v>0.18083155763523739</v>
      </c>
      <c r="T21" s="199">
        <f t="shared" si="15"/>
        <v>1.5857140612860192E-2</v>
      </c>
      <c r="U21" s="208">
        <f t="shared" si="16"/>
        <v>4.78931304824773E-2</v>
      </c>
      <c r="V21" s="208">
        <f t="shared" si="17"/>
        <v>0</v>
      </c>
      <c r="W21" s="200">
        <f t="shared" si="18"/>
        <v>8.9429698430352672E-2</v>
      </c>
      <c r="X21" s="12"/>
      <c r="Y21" s="217">
        <f t="shared" si="2"/>
        <v>0.77127531188228526</v>
      </c>
      <c r="AA21" s="198">
        <f t="shared" si="3"/>
        <v>-0.41863525715207245</v>
      </c>
      <c r="AB21" s="199">
        <f t="shared" si="4"/>
        <v>-1.5726680619437383E-2</v>
      </c>
      <c r="AC21" s="199">
        <f t="shared" si="5"/>
        <v>5.2564462394398062E-3</v>
      </c>
      <c r="AD21" s="199">
        <f t="shared" si="6"/>
        <v>-3.9581656931577301E-2</v>
      </c>
      <c r="AE21" s="199">
        <f t="shared" si="7"/>
        <v>0.48641283345289998</v>
      </c>
      <c r="AF21" s="200">
        <f t="shared" si="8"/>
        <v>-1.7725684989352675E-2</v>
      </c>
      <c r="AH21" s="198">
        <f t="shared" si="9"/>
        <v>0.77127531188228526</v>
      </c>
      <c r="AI21" s="199">
        <f t="shared" si="19"/>
        <v>-0.45221808275418529</v>
      </c>
      <c r="AJ21" s="200">
        <f t="shared" si="20"/>
        <v>-7.4519788778515492E-2</v>
      </c>
    </row>
    <row r="22" spans="1:36" x14ac:dyDescent="0.3">
      <c r="A22" s="25" t="s">
        <v>68</v>
      </c>
      <c r="B22" s="48">
        <f>VLOOKUP($A22,Costdrivere!$A$3:$G$50,2,FALSE)</f>
        <v>69357719.500000015</v>
      </c>
      <c r="C22" s="32">
        <f>VLOOKUP($A22,Costdrivere!$A$3:$G$50,3,FALSE)</f>
        <v>19239292</v>
      </c>
      <c r="D22" s="32">
        <f>VLOOKUP($A22,Costdrivere!$A$3:$G$50,4,FALSE)</f>
        <v>0</v>
      </c>
      <c r="E22" s="32">
        <f>VLOOKUP($A22,Costdrivere!$A$3:$G$50,5,FALSE)</f>
        <v>3187204.1399999997</v>
      </c>
      <c r="F22" s="152">
        <f>VLOOKUP($A22,Costdrivere!$A$3:$G$50,6,FALSE)</f>
        <v>0</v>
      </c>
      <c r="G22" s="37">
        <f>VLOOKUP($A22,Costdrivere!$A$3:$G$50,7,FALSE)</f>
        <v>4338567.2</v>
      </c>
      <c r="H22" s="156">
        <v>66.186355115949553</v>
      </c>
      <c r="I22" s="41">
        <f t="shared" si="0"/>
        <v>96122782.840000018</v>
      </c>
      <c r="J22" s="169">
        <f t="shared" si="10"/>
        <v>155855654.05840006</v>
      </c>
      <c r="K22" s="41">
        <f>I22+'Potentialer og krav'!$J22</f>
        <v>110990468.84000002</v>
      </c>
      <c r="L22" s="152">
        <f t="shared" si="11"/>
        <v>179962456.39392969</v>
      </c>
      <c r="M22" s="41">
        <f>K22+(0.3*'Potentialer og krav'!$G22)</f>
        <v>154948398.24729851</v>
      </c>
      <c r="N22" s="169">
        <f>L22+(0.3*'Potentialer og krav'!$G22)</f>
        <v>223920385.80122817</v>
      </c>
      <c r="O22" s="189">
        <v>101685019</v>
      </c>
      <c r="P22" s="169">
        <f t="shared" si="12"/>
        <v>102193444.09499998</v>
      </c>
      <c r="R22" s="198">
        <f t="shared" si="13"/>
        <v>0.72155338672881064</v>
      </c>
      <c r="S22" s="208">
        <f t="shared" si="14"/>
        <v>0.20015329801702186</v>
      </c>
      <c r="T22" s="199">
        <f t="shared" si="15"/>
        <v>0</v>
      </c>
      <c r="U22" s="208">
        <f t="shared" si="16"/>
        <v>3.3157634910604084E-2</v>
      </c>
      <c r="V22" s="208">
        <f t="shared" si="17"/>
        <v>0</v>
      </c>
      <c r="W22" s="200">
        <f t="shared" si="18"/>
        <v>4.5135680343563377E-2</v>
      </c>
      <c r="X22" s="12"/>
      <c r="Y22" s="217">
        <f t="shared" si="2"/>
        <v>0.76668906707237405</v>
      </c>
      <c r="AA22" s="198">
        <f t="shared" si="3"/>
        <v>-0.47420017104181061</v>
      </c>
      <c r="AB22" s="199">
        <f t="shared" si="4"/>
        <v>-3.5048421001221852E-2</v>
      </c>
      <c r="AC22" s="199">
        <f t="shared" si="5"/>
        <v>2.1113586852299998E-2</v>
      </c>
      <c r="AD22" s="199">
        <f t="shared" si="6"/>
        <v>-2.4846161359704085E-2</v>
      </c>
      <c r="AE22" s="199">
        <f t="shared" si="7"/>
        <v>0.48641283345289998</v>
      </c>
      <c r="AF22" s="200">
        <f t="shared" si="8"/>
        <v>2.6568333097436621E-2</v>
      </c>
      <c r="AH22" s="198">
        <f t="shared" si="9"/>
        <v>0.76668906707237405</v>
      </c>
      <c r="AI22" s="199">
        <f t="shared" si="19"/>
        <v>-0.44763183794427408</v>
      </c>
      <c r="AJ22" s="200">
        <f t="shared" si="20"/>
        <v>-7.3022379848079494E-2</v>
      </c>
    </row>
    <row r="23" spans="1:36" ht="15" x14ac:dyDescent="0.25">
      <c r="A23" s="25" t="s">
        <v>27</v>
      </c>
      <c r="B23" s="48">
        <f>VLOOKUP($A23,Costdrivere!$A$3:$G$50,2,FALSE)</f>
        <v>8709850</v>
      </c>
      <c r="C23" s="32">
        <f>VLOOKUP($A23,Costdrivere!$A$3:$G$50,3,FALSE)</f>
        <v>1733695</v>
      </c>
      <c r="D23" s="32">
        <f>VLOOKUP($A23,Costdrivere!$A$3:$G$50,4,FALSE)</f>
        <v>743765</v>
      </c>
      <c r="E23" s="32">
        <f>VLOOKUP($A23,Costdrivere!$A$3:$G$50,5,FALSE)</f>
        <v>0</v>
      </c>
      <c r="F23" s="152">
        <f>VLOOKUP($A23,Costdrivere!$A$3:$G$50,6,FALSE)</f>
        <v>1656350.0183565433</v>
      </c>
      <c r="G23" s="37">
        <f>VLOOKUP($A23,Costdrivere!$A$3:$G$50,7,FALSE)</f>
        <v>1349773.7</v>
      </c>
      <c r="H23" s="156">
        <v>36.974704186219682</v>
      </c>
      <c r="I23" s="41">
        <f t="shared" si="0"/>
        <v>14193433.718356542</v>
      </c>
      <c r="J23" s="169">
        <f t="shared" si="10"/>
        <v>17623577.23026767</v>
      </c>
      <c r="K23" s="41">
        <f>I23+'Potentialer og krav'!$J23</f>
        <v>14193433.718356542</v>
      </c>
      <c r="L23" s="152">
        <f t="shared" si="11"/>
        <v>17623577.23026767</v>
      </c>
      <c r="M23" s="41">
        <f>K23+(0.3*'Potentialer og krav'!$G23)</f>
        <v>17548031.288329422</v>
      </c>
      <c r="N23" s="169">
        <f>L23+(0.3*'Potentialer og krav'!$G23)</f>
        <v>20978174.80024055</v>
      </c>
      <c r="O23" s="189">
        <v>10088807</v>
      </c>
      <c r="P23" s="169">
        <f t="shared" si="12"/>
        <v>10139251.034999998</v>
      </c>
      <c r="R23" s="198">
        <f t="shared" si="13"/>
        <v>0.61365348039322187</v>
      </c>
      <c r="S23" s="208">
        <f t="shared" si="14"/>
        <v>0.12214768000485964</v>
      </c>
      <c r="T23" s="199">
        <f t="shared" si="15"/>
        <v>5.2402048352688579E-2</v>
      </c>
      <c r="U23" s="208">
        <f t="shared" si="16"/>
        <v>0</v>
      </c>
      <c r="V23" s="208">
        <f t="shared" si="17"/>
        <v>0.11669833045504453</v>
      </c>
      <c r="W23" s="200">
        <f t="shared" si="18"/>
        <v>9.5098460794185491E-2</v>
      </c>
      <c r="X23" s="12"/>
      <c r="Y23" s="217">
        <f t="shared" si="2"/>
        <v>0.76115398954009594</v>
      </c>
      <c r="AA23" s="198">
        <f t="shared" si="3"/>
        <v>-0.36630026470622185</v>
      </c>
      <c r="AB23" s="199">
        <f t="shared" si="4"/>
        <v>4.2957197010940376E-2</v>
      </c>
      <c r="AC23" s="199">
        <f t="shared" si="5"/>
        <v>-3.1288461500388581E-2</v>
      </c>
      <c r="AD23" s="199">
        <f t="shared" si="6"/>
        <v>8.3114735509000007E-3</v>
      </c>
      <c r="AE23" s="199">
        <f t="shared" si="7"/>
        <v>0.36971450299785547</v>
      </c>
      <c r="AF23" s="200">
        <f t="shared" si="8"/>
        <v>-2.3394447353185494E-2</v>
      </c>
      <c r="AH23" s="198">
        <f t="shared" si="9"/>
        <v>0.76115398954009594</v>
      </c>
      <c r="AI23" s="199">
        <f t="shared" si="19"/>
        <v>-0.44209676041199597</v>
      </c>
      <c r="AJ23" s="200">
        <f t="shared" si="20"/>
        <v>-7.1215177033790683E-2</v>
      </c>
    </row>
    <row r="24" spans="1:36" x14ac:dyDescent="0.3">
      <c r="A24" s="25" t="s">
        <v>66</v>
      </c>
      <c r="B24" s="48">
        <f>VLOOKUP($A24,Costdrivere!$A$3:$G$50,2,FALSE)</f>
        <v>0</v>
      </c>
      <c r="C24" s="32">
        <f>VLOOKUP($A24,Costdrivere!$A$3:$G$50,3,FALSE)</f>
        <v>0</v>
      </c>
      <c r="D24" s="32">
        <f>VLOOKUP($A24,Costdrivere!$A$3:$G$50,4,FALSE)</f>
        <v>0</v>
      </c>
      <c r="E24" s="32">
        <f>VLOOKUP($A24,Costdrivere!$A$3:$G$50,5,FALSE)</f>
        <v>0</v>
      </c>
      <c r="F24" s="152">
        <f>VLOOKUP($A24,Costdrivere!$A$3:$G$50,6,FALSE)</f>
        <v>5950942.1106186984</v>
      </c>
      <c r="G24" s="37">
        <f>VLOOKUP($A24,Costdrivere!$A$3:$G$50,7,FALSE)</f>
        <v>248.6</v>
      </c>
      <c r="H24" s="156">
        <v>0</v>
      </c>
      <c r="I24" s="41">
        <f t="shared" si="0"/>
        <v>5951190.710618698</v>
      </c>
      <c r="J24" s="169">
        <f t="shared" si="10"/>
        <v>4528856.1307808291</v>
      </c>
      <c r="K24" s="41">
        <f>I24+'Potentialer og krav'!$J24</f>
        <v>5951190.710618698</v>
      </c>
      <c r="L24" s="152">
        <f t="shared" si="11"/>
        <v>4528856.1307808291</v>
      </c>
      <c r="M24" s="41">
        <f>K24+(0.3*'Potentialer og krav'!$G24)</f>
        <v>8009651.0394197982</v>
      </c>
      <c r="N24" s="169">
        <f>L24+(0.3*'Potentialer og krav'!$G24)</f>
        <v>6587316.4595819283</v>
      </c>
      <c r="O24" s="189">
        <v>5991325</v>
      </c>
      <c r="P24" s="169">
        <f t="shared" si="12"/>
        <v>6021281.6249999991</v>
      </c>
      <c r="R24" s="198">
        <f t="shared" si="13"/>
        <v>0</v>
      </c>
      <c r="S24" s="208">
        <f t="shared" si="14"/>
        <v>0</v>
      </c>
      <c r="T24" s="199">
        <f t="shared" si="15"/>
        <v>0</v>
      </c>
      <c r="U24" s="208">
        <f t="shared" si="16"/>
        <v>0</v>
      </c>
      <c r="V24" s="208">
        <f t="shared" si="17"/>
        <v>0.99995822684701463</v>
      </c>
      <c r="W24" s="200">
        <f t="shared" si="18"/>
        <v>4.1773152985405676E-5</v>
      </c>
      <c r="X24" s="12"/>
      <c r="Y24" s="217">
        <f t="shared" si="2"/>
        <v>4.1773152985405676E-5</v>
      </c>
      <c r="AA24" s="198">
        <f t="shared" si="3"/>
        <v>0.24735321568700003</v>
      </c>
      <c r="AB24" s="199">
        <f t="shared" si="4"/>
        <v>0.16510487701580001</v>
      </c>
      <c r="AC24" s="199">
        <f t="shared" si="5"/>
        <v>2.1113586852299998E-2</v>
      </c>
      <c r="AD24" s="199">
        <f t="shared" si="6"/>
        <v>8.3114735509000007E-3</v>
      </c>
      <c r="AE24" s="199">
        <f t="shared" si="7"/>
        <v>-0.51354539339411465</v>
      </c>
      <c r="AF24" s="200">
        <f t="shared" si="8"/>
        <v>7.1662240288014586E-2</v>
      </c>
      <c r="AH24" s="198">
        <f t="shared" si="9"/>
        <v>4.1773152985405676E-5</v>
      </c>
      <c r="AI24" s="199">
        <f t="shared" si="19"/>
        <v>0.31901545597511455</v>
      </c>
      <c r="AJ24" s="200">
        <f t="shared" si="20"/>
        <v>0</v>
      </c>
    </row>
    <row r="25" spans="1:36" ht="15" x14ac:dyDescent="0.25">
      <c r="A25" s="25" t="s">
        <v>28</v>
      </c>
      <c r="B25" s="48">
        <f>VLOOKUP($A25,Costdrivere!$A$3:$G$50,2,FALSE)</f>
        <v>5128610</v>
      </c>
      <c r="C25" s="32">
        <f>VLOOKUP($A25,Costdrivere!$A$3:$G$50,3,FALSE)</f>
        <v>3028240</v>
      </c>
      <c r="D25" s="32">
        <f>VLOOKUP($A25,Costdrivere!$A$3:$G$50,4,FALSE)</f>
        <v>567966</v>
      </c>
      <c r="E25" s="32">
        <f>VLOOKUP($A25,Costdrivere!$A$3:$G$50,5,FALSE)</f>
        <v>303204.12</v>
      </c>
      <c r="F25" s="152">
        <f>VLOOKUP($A25,Costdrivere!$A$3:$G$50,6,FALSE)</f>
        <v>15236741.80738925</v>
      </c>
      <c r="G25" s="37">
        <f>VLOOKUP($A25,Costdrivere!$A$3:$G$50,7,FALSE)</f>
        <v>1864500</v>
      </c>
      <c r="H25" s="156">
        <v>31.26819189598832</v>
      </c>
      <c r="I25" s="41">
        <f t="shared" si="0"/>
        <v>26129261.927389249</v>
      </c>
      <c r="J25" s="169">
        <f t="shared" si="10"/>
        <v>30505560.415343154</v>
      </c>
      <c r="K25" s="41">
        <f>I25+'Potentialer og krav'!$J25</f>
        <v>26129261.927389249</v>
      </c>
      <c r="L25" s="152">
        <f t="shared" si="11"/>
        <v>30505560.415343154</v>
      </c>
      <c r="M25" s="41">
        <f>K25+(0.3*'Potentialer og krav'!$G25)</f>
        <v>35474039.797927849</v>
      </c>
      <c r="N25" s="169">
        <f>L25+(0.3*'Potentialer og krav'!$G25)</f>
        <v>39850338.285881758</v>
      </c>
      <c r="O25" s="189">
        <v>24931940</v>
      </c>
      <c r="P25" s="169">
        <f t="shared" si="12"/>
        <v>25056599.699999996</v>
      </c>
      <c r="R25" s="198">
        <f t="shared" si="13"/>
        <v>0.19627841055181439</v>
      </c>
      <c r="S25" s="208">
        <f t="shared" si="14"/>
        <v>0.11589458624645399</v>
      </c>
      <c r="T25" s="199">
        <f t="shared" si="15"/>
        <v>2.1736779308130626E-2</v>
      </c>
      <c r="U25" s="208">
        <f t="shared" si="16"/>
        <v>1.1604006299243186E-2</v>
      </c>
      <c r="V25" s="208">
        <f t="shared" si="17"/>
        <v>0.58312943739975187</v>
      </c>
      <c r="W25" s="200">
        <f t="shared" si="18"/>
        <v>7.1356780194605937E-2</v>
      </c>
      <c r="X25" s="12"/>
      <c r="Y25" s="217">
        <f t="shared" si="2"/>
        <v>0.28937197005455095</v>
      </c>
      <c r="AA25" s="198">
        <f t="shared" si="3"/>
        <v>5.1074805135185641E-2</v>
      </c>
      <c r="AB25" s="199">
        <f t="shared" si="4"/>
        <v>4.9210290769346021E-2</v>
      </c>
      <c r="AC25" s="199">
        <f t="shared" si="5"/>
        <v>-6.2319245583062829E-4</v>
      </c>
      <c r="AD25" s="199">
        <f t="shared" si="6"/>
        <v>-3.2925327483431851E-3</v>
      </c>
      <c r="AE25" s="199">
        <f t="shared" si="7"/>
        <v>-9.6716603946851887E-2</v>
      </c>
      <c r="AF25" s="200">
        <f t="shared" si="8"/>
        <v>3.4723324639406028E-4</v>
      </c>
      <c r="AH25" s="198">
        <f t="shared" si="9"/>
        <v>0.28937197005455095</v>
      </c>
      <c r="AI25" s="199">
        <f t="shared" si="19"/>
        <v>2.968525907354902E-2</v>
      </c>
      <c r="AJ25" s="200">
        <f t="shared" si="20"/>
        <v>0</v>
      </c>
    </row>
    <row r="26" spans="1:36" x14ac:dyDescent="0.3">
      <c r="A26" s="25" t="s">
        <v>36</v>
      </c>
      <c r="B26" s="48">
        <f>VLOOKUP($A26,Costdrivere!$A$3:$G$50,2,FALSE)</f>
        <v>3165730</v>
      </c>
      <c r="C26" s="32">
        <f>VLOOKUP($A26,Costdrivere!$A$3:$G$50,3,FALSE)</f>
        <v>1733290</v>
      </c>
      <c r="D26" s="32">
        <f>VLOOKUP($A26,Costdrivere!$A$3:$G$50,4,FALSE)</f>
        <v>175799</v>
      </c>
      <c r="E26" s="32">
        <f>VLOOKUP($A26,Costdrivere!$A$3:$G$50,5,FALSE)</f>
        <v>0</v>
      </c>
      <c r="F26" s="152">
        <f>VLOOKUP($A26,Costdrivere!$A$3:$G$50,6,FALSE)</f>
        <v>0</v>
      </c>
      <c r="G26" s="37">
        <f>VLOOKUP($A26,Costdrivere!$A$3:$G$50,7,FALSE)</f>
        <v>465379.2</v>
      </c>
      <c r="H26" s="156">
        <v>35.632404628776435</v>
      </c>
      <c r="I26" s="41">
        <f t="shared" si="0"/>
        <v>5540198.2000000002</v>
      </c>
      <c r="J26" s="169">
        <f t="shared" si="10"/>
        <v>6782428.4220182449</v>
      </c>
      <c r="K26" s="41">
        <f>I26+'Potentialer og krav'!$J26</f>
        <v>5981073.2000000002</v>
      </c>
      <c r="L26" s="152">
        <f t="shared" si="11"/>
        <v>7322156.970097499</v>
      </c>
      <c r="M26" s="41">
        <f>K26+(0.3*'Potentialer og krav'!$G26)</f>
        <v>8701945.1349056009</v>
      </c>
      <c r="N26" s="169">
        <f>L26+(0.3*'Potentialer og krav'!$G26)</f>
        <v>10043028.905003099</v>
      </c>
      <c r="O26" s="189">
        <v>8748111</v>
      </c>
      <c r="P26" s="169">
        <f t="shared" si="12"/>
        <v>8791851.5549999997</v>
      </c>
      <c r="R26" s="198">
        <f t="shared" si="13"/>
        <v>0.5714109650445357</v>
      </c>
      <c r="S26" s="208">
        <f t="shared" si="14"/>
        <v>0.3128570382193186</v>
      </c>
      <c r="T26" s="199">
        <f t="shared" si="15"/>
        <v>3.1731536247205018E-2</v>
      </c>
      <c r="U26" s="208">
        <f t="shared" si="16"/>
        <v>0</v>
      </c>
      <c r="V26" s="208">
        <f t="shared" si="17"/>
        <v>0</v>
      </c>
      <c r="W26" s="200">
        <f t="shared" si="18"/>
        <v>8.4000460488940623E-2</v>
      </c>
      <c r="X26" s="12"/>
      <c r="Y26" s="217">
        <f t="shared" si="2"/>
        <v>0.68714296178068135</v>
      </c>
      <c r="AA26" s="198">
        <f t="shared" si="3"/>
        <v>-0.32405774935753567</v>
      </c>
      <c r="AB26" s="199">
        <f t="shared" si="4"/>
        <v>-0.14775216120351858</v>
      </c>
      <c r="AC26" s="199">
        <f t="shared" si="5"/>
        <v>-1.061794939490502E-2</v>
      </c>
      <c r="AD26" s="199">
        <f t="shared" si="6"/>
        <v>8.3114735509000007E-3</v>
      </c>
      <c r="AE26" s="199">
        <f t="shared" si="7"/>
        <v>0.48641283345289998</v>
      </c>
      <c r="AF26" s="200">
        <f t="shared" si="8"/>
        <v>-1.2296447047940626E-2</v>
      </c>
      <c r="AH26" s="198">
        <f t="shared" si="9"/>
        <v>0.68714296178068135</v>
      </c>
      <c r="AI26" s="199">
        <f t="shared" si="19"/>
        <v>-0.36808573265258138</v>
      </c>
      <c r="AJ26" s="200">
        <f t="shared" si="20"/>
        <v>-4.7050576470341818E-2</v>
      </c>
    </row>
    <row r="27" spans="1:36" ht="15" x14ac:dyDescent="0.25">
      <c r="A27" s="25" t="s">
        <v>29</v>
      </c>
      <c r="B27" s="48">
        <f>VLOOKUP($A27,Costdrivere!$A$3:$G$50,2,FALSE)</f>
        <v>4362080</v>
      </c>
      <c r="C27" s="32">
        <f>VLOOKUP($A27,Costdrivere!$A$3:$G$50,3,FALSE)</f>
        <v>5444981</v>
      </c>
      <c r="D27" s="32">
        <f>VLOOKUP($A27,Costdrivere!$A$3:$G$50,4,FALSE)</f>
        <v>297506</v>
      </c>
      <c r="E27" s="32">
        <f>VLOOKUP($A27,Costdrivere!$A$3:$G$50,5,FALSE)</f>
        <v>201069.41999999998</v>
      </c>
      <c r="F27" s="152">
        <f>VLOOKUP($A27,Costdrivere!$A$3:$G$50,6,FALSE)</f>
        <v>14502052.966832727</v>
      </c>
      <c r="G27" s="37">
        <f>VLOOKUP($A27,Costdrivere!$A$3:$G$50,7,FALSE)</f>
        <v>2355485</v>
      </c>
      <c r="H27" s="156">
        <v>29.959029447505035</v>
      </c>
      <c r="I27" s="41">
        <f t="shared" si="0"/>
        <v>27163174.386832729</v>
      </c>
      <c r="J27" s="169">
        <f t="shared" si="10"/>
        <v>31250346.145836581</v>
      </c>
      <c r="K27" s="41">
        <f>I27+'Potentialer og krav'!$J27</f>
        <v>28184572.386832729</v>
      </c>
      <c r="L27" s="152">
        <f t="shared" si="11"/>
        <v>32425431.229711678</v>
      </c>
      <c r="M27" s="41">
        <f>K27+(0.3*'Potentialer og krav'!$G27)</f>
        <v>34964839.645715326</v>
      </c>
      <c r="N27" s="169">
        <f>L27+(0.3*'Potentialer og krav'!$G27)</f>
        <v>39205698.488594279</v>
      </c>
      <c r="O27" s="189">
        <v>21625760</v>
      </c>
      <c r="P27" s="169">
        <f t="shared" si="12"/>
        <v>21733888.799999997</v>
      </c>
      <c r="R27" s="198">
        <f t="shared" si="13"/>
        <v>0.16058800557988193</v>
      </c>
      <c r="S27" s="208">
        <f t="shared" si="14"/>
        <v>0.20045451693007718</v>
      </c>
      <c r="T27" s="199">
        <f t="shared" si="15"/>
        <v>1.0952549056424539E-2</v>
      </c>
      <c r="U27" s="208">
        <f t="shared" si="16"/>
        <v>7.4022799079575844E-3</v>
      </c>
      <c r="V27" s="208">
        <f t="shared" si="17"/>
        <v>0.53388653182827395</v>
      </c>
      <c r="W27" s="200">
        <f t="shared" si="18"/>
        <v>8.6716116697384771E-2</v>
      </c>
      <c r="X27" s="12"/>
      <c r="Y27" s="217">
        <f t="shared" si="2"/>
        <v>0.25825667133369123</v>
      </c>
      <c r="AA27" s="198">
        <f t="shared" si="3"/>
        <v>8.6765210107118101E-2</v>
      </c>
      <c r="AB27" s="199">
        <f t="shared" si="4"/>
        <v>-3.534963991427717E-2</v>
      </c>
      <c r="AC27" s="199">
        <f t="shared" si="5"/>
        <v>1.0161037795875459E-2</v>
      </c>
      <c r="AD27" s="199">
        <f t="shared" si="6"/>
        <v>9.091936429424163E-4</v>
      </c>
      <c r="AE27" s="199">
        <f t="shared" si="7"/>
        <v>-4.7473698375373963E-2</v>
      </c>
      <c r="AF27" s="200">
        <f t="shared" si="8"/>
        <v>-1.5012103256384773E-2</v>
      </c>
      <c r="AH27" s="198">
        <f t="shared" si="9"/>
        <v>0.25825667133369123</v>
      </c>
      <c r="AI27" s="199">
        <f t="shared" si="19"/>
        <v>6.0800557794408738E-2</v>
      </c>
      <c r="AJ27" s="200">
        <f t="shared" si="20"/>
        <v>0</v>
      </c>
    </row>
    <row r="28" spans="1:36" x14ac:dyDescent="0.3">
      <c r="A28" s="25" t="s">
        <v>30</v>
      </c>
      <c r="B28" s="48">
        <f>VLOOKUP($A28,Costdrivere!$A$3:$G$50,2,FALSE)</f>
        <v>4077120.0000000005</v>
      </c>
      <c r="C28" s="32">
        <f>VLOOKUP($A28,Costdrivere!$A$3:$G$50,3,FALSE)</f>
        <v>8329300</v>
      </c>
      <c r="D28" s="32">
        <f>VLOOKUP($A28,Costdrivere!$A$3:$G$50,4,FALSE)</f>
        <v>1379346</v>
      </c>
      <c r="E28" s="32">
        <f>VLOOKUP($A28,Costdrivere!$A$3:$G$50,5,FALSE)</f>
        <v>7290.1799999999994</v>
      </c>
      <c r="F28" s="152">
        <f>VLOOKUP($A28,Costdrivere!$A$3:$G$50,6,FALSE)</f>
        <v>0</v>
      </c>
      <c r="G28" s="37">
        <f>VLOOKUP($A28,Costdrivere!$A$3:$G$50,7,FALSE)</f>
        <v>1902660.0999999999</v>
      </c>
      <c r="H28" s="156">
        <v>30.714065329189275</v>
      </c>
      <c r="I28" s="41">
        <f t="shared" si="0"/>
        <v>15695716.279999999</v>
      </c>
      <c r="J28" s="169">
        <f t="shared" si="10"/>
        <v>18211470.406840414</v>
      </c>
      <c r="K28" s="41">
        <f>I28+'Potentialer og krav'!$J28</f>
        <v>15695716.279999999</v>
      </c>
      <c r="L28" s="152">
        <f t="shared" si="11"/>
        <v>18211470.406840414</v>
      </c>
      <c r="M28" s="41">
        <f>K28+(0.3*'Potentialer og krav'!$G28)</f>
        <v>21697120.429447699</v>
      </c>
      <c r="N28" s="169">
        <f>L28+(0.3*'Potentialer og krav'!$G28)</f>
        <v>24212874.556288116</v>
      </c>
      <c r="O28" s="189">
        <v>17085778</v>
      </c>
      <c r="P28" s="169">
        <f t="shared" si="12"/>
        <v>17171206.889999997</v>
      </c>
      <c r="R28" s="198">
        <f t="shared" si="13"/>
        <v>0.2597600470897401</v>
      </c>
      <c r="S28" s="208">
        <f t="shared" si="14"/>
        <v>0.53067345582778336</v>
      </c>
      <c r="T28" s="199">
        <f t="shared" si="15"/>
        <v>8.788041115126477E-2</v>
      </c>
      <c r="U28" s="208">
        <f t="shared" si="16"/>
        <v>4.6446940489676077E-4</v>
      </c>
      <c r="V28" s="208">
        <f t="shared" si="17"/>
        <v>0</v>
      </c>
      <c r="W28" s="200">
        <f t="shared" si="18"/>
        <v>0.12122161652631504</v>
      </c>
      <c r="X28" s="12"/>
      <c r="Y28" s="217">
        <f t="shared" si="2"/>
        <v>0.46886207476731989</v>
      </c>
      <c r="AA28" s="198">
        <f t="shared" si="3"/>
        <v>-1.2406831402740071E-2</v>
      </c>
      <c r="AB28" s="199">
        <f t="shared" si="4"/>
        <v>-0.36556857881198335</v>
      </c>
      <c r="AC28" s="199">
        <f t="shared" si="5"/>
        <v>-6.6766824298964772E-2</v>
      </c>
      <c r="AD28" s="199">
        <f t="shared" si="6"/>
        <v>7.8470041460032402E-3</v>
      </c>
      <c r="AE28" s="199">
        <f t="shared" si="7"/>
        <v>0.48641283345289998</v>
      </c>
      <c r="AF28" s="200">
        <f t="shared" si="8"/>
        <v>-4.951760308531504E-2</v>
      </c>
      <c r="AH28" s="198">
        <f t="shared" si="9"/>
        <v>0.46886207476731989</v>
      </c>
      <c r="AI28" s="199">
        <f t="shared" si="19"/>
        <v>-0.14980484563921992</v>
      </c>
      <c r="AJ28" s="200">
        <f t="shared" si="20"/>
        <v>0</v>
      </c>
    </row>
    <row r="29" spans="1:36" ht="15" x14ac:dyDescent="0.25">
      <c r="A29" s="25" t="s">
        <v>31</v>
      </c>
      <c r="B29" s="48">
        <f>VLOOKUP($A29,Costdrivere!$A$3:$G$50,2,FALSE)</f>
        <v>2570120.0000000005</v>
      </c>
      <c r="C29" s="32">
        <f>VLOOKUP($A29,Costdrivere!$A$3:$G$50,3,FALSE)</f>
        <v>6780426</v>
      </c>
      <c r="D29" s="32">
        <f>VLOOKUP($A29,Costdrivere!$A$3:$G$50,4,FALSE)</f>
        <v>419213</v>
      </c>
      <c r="E29" s="32">
        <f>VLOOKUP($A29,Costdrivere!$A$3:$G$50,5,FALSE)</f>
        <v>103073.04</v>
      </c>
      <c r="F29" s="152">
        <f>VLOOKUP($A29,Costdrivere!$A$3:$G$50,6,FALSE)</f>
        <v>4794156.5094560459</v>
      </c>
      <c r="G29" s="37">
        <f>VLOOKUP($A29,Costdrivere!$A$3:$G$50,7,FALSE)</f>
        <v>1271091.8</v>
      </c>
      <c r="H29" s="156">
        <v>34.184099208664541</v>
      </c>
      <c r="I29" s="41">
        <f t="shared" si="0"/>
        <v>15938080.349456046</v>
      </c>
      <c r="J29" s="169">
        <f t="shared" si="10"/>
        <v>19211655.104135193</v>
      </c>
      <c r="K29" s="41">
        <f>I29+'Potentialer og krav'!$J29</f>
        <v>15938080.349456046</v>
      </c>
      <c r="L29" s="152">
        <f t="shared" si="11"/>
        <v>19211655.104135193</v>
      </c>
      <c r="M29" s="41">
        <f>K29+(0.3*'Potentialer og krav'!$G29)</f>
        <v>20846184.469816744</v>
      </c>
      <c r="N29" s="169">
        <f>L29+(0.3*'Potentialer og krav'!$G29)</f>
        <v>24119759.224495891</v>
      </c>
      <c r="O29" s="189">
        <v>13962592</v>
      </c>
      <c r="P29" s="169">
        <f t="shared" si="12"/>
        <v>14032404.959999999</v>
      </c>
      <c r="R29" s="198">
        <f t="shared" si="13"/>
        <v>0.16125655936272881</v>
      </c>
      <c r="S29" s="208">
        <f t="shared" si="14"/>
        <v>0.42542300272889583</v>
      </c>
      <c r="T29" s="199">
        <f t="shared" si="15"/>
        <v>2.6302602999131411E-2</v>
      </c>
      <c r="U29" s="208">
        <f t="shared" si="16"/>
        <v>6.4670925067533492E-3</v>
      </c>
      <c r="V29" s="208">
        <f t="shared" si="17"/>
        <v>0.30079886688610319</v>
      </c>
      <c r="W29" s="200">
        <f t="shared" si="18"/>
        <v>7.9751875516387474E-2</v>
      </c>
      <c r="X29" s="12"/>
      <c r="Y29" s="217">
        <f t="shared" si="2"/>
        <v>0.26731103787824767</v>
      </c>
      <c r="AA29" s="198">
        <f t="shared" si="3"/>
        <v>8.6096656324271215E-2</v>
      </c>
      <c r="AB29" s="199">
        <f t="shared" si="4"/>
        <v>-0.26031812571309582</v>
      </c>
      <c r="AC29" s="199">
        <f t="shared" si="5"/>
        <v>-5.1890161468314128E-3</v>
      </c>
      <c r="AD29" s="199">
        <f t="shared" si="6"/>
        <v>1.8443810441466516E-3</v>
      </c>
      <c r="AE29" s="199">
        <f t="shared" si="7"/>
        <v>0.1856139665667968</v>
      </c>
      <c r="AF29" s="200">
        <f t="shared" si="8"/>
        <v>-8.0478620753874769E-3</v>
      </c>
      <c r="AH29" s="198">
        <f t="shared" si="9"/>
        <v>0.26731103787824767</v>
      </c>
      <c r="AI29" s="199">
        <f t="shared" si="19"/>
        <v>5.1746191249852302E-2</v>
      </c>
      <c r="AJ29" s="200">
        <f t="shared" si="20"/>
        <v>0</v>
      </c>
    </row>
    <row r="30" spans="1:36" ht="15" x14ac:dyDescent="0.25">
      <c r="A30" s="25" t="s">
        <v>32</v>
      </c>
      <c r="B30" s="48">
        <f>VLOOKUP($A30,Costdrivere!$A$3:$G$50,2,FALSE)</f>
        <v>14440080</v>
      </c>
      <c r="C30" s="32">
        <f>VLOOKUP($A30,Costdrivere!$A$3:$G$50,3,FALSE)</f>
        <v>12152999</v>
      </c>
      <c r="D30" s="32">
        <f>VLOOKUP($A30,Costdrivere!$A$3:$G$50,4,FALSE)</f>
        <v>1703898</v>
      </c>
      <c r="E30" s="32">
        <f>VLOOKUP($A30,Costdrivere!$A$3:$G$50,5,FALSE)</f>
        <v>743333.7</v>
      </c>
      <c r="F30" s="152">
        <f>VLOOKUP($A30,Costdrivere!$A$3:$G$50,6,FALSE)</f>
        <v>55370104.230515294</v>
      </c>
      <c r="G30" s="37">
        <f>VLOOKUP($A30,Costdrivere!$A$3:$G$50,7,FALSE)</f>
        <v>3745780.5</v>
      </c>
      <c r="H30" s="156">
        <v>33.720457176932797</v>
      </c>
      <c r="I30" s="41">
        <f t="shared" si="0"/>
        <v>88156195.430515289</v>
      </c>
      <c r="J30" s="169">
        <f t="shared" si="10"/>
        <v>105731538.49027024</v>
      </c>
      <c r="K30" s="41">
        <f>I30+'Potentialer og krav'!$J30</f>
        <v>88156195.430515289</v>
      </c>
      <c r="L30" s="152">
        <f t="shared" si="11"/>
        <v>105731538.49027024</v>
      </c>
      <c r="M30" s="41">
        <f>K30+(0.3*'Potentialer og krav'!$G30)</f>
        <v>108542211.29289921</v>
      </c>
      <c r="N30" s="169">
        <f>L30+(0.3*'Potentialer og krav'!$G30)</f>
        <v>126117554.35265416</v>
      </c>
      <c r="O30" s="189">
        <v>53978112</v>
      </c>
      <c r="P30" s="169">
        <f t="shared" si="12"/>
        <v>54248002.559999995</v>
      </c>
      <c r="R30" s="198">
        <f t="shared" si="13"/>
        <v>0.16380107977075384</v>
      </c>
      <c r="S30" s="208">
        <f t="shared" si="14"/>
        <v>0.13785757133290755</v>
      </c>
      <c r="T30" s="199">
        <f t="shared" si="15"/>
        <v>1.9328170773238649E-2</v>
      </c>
      <c r="U30" s="208">
        <f t="shared" si="16"/>
        <v>8.4320074881849404E-3</v>
      </c>
      <c r="V30" s="208">
        <f t="shared" si="17"/>
        <v>0.62809090115689037</v>
      </c>
      <c r="W30" s="200">
        <f t="shared" si="18"/>
        <v>4.2490269478024652E-2</v>
      </c>
      <c r="X30" s="12"/>
      <c r="Y30" s="217">
        <f t="shared" si="2"/>
        <v>0.22561952002201713</v>
      </c>
      <c r="AA30" s="198">
        <f t="shared" si="3"/>
        <v>8.355213591624619E-2</v>
      </c>
      <c r="AB30" s="199">
        <f t="shared" si="4"/>
        <v>2.7247305682892464E-2</v>
      </c>
      <c r="AC30" s="199">
        <f t="shared" si="5"/>
        <v>1.7854160790613492E-3</v>
      </c>
      <c r="AD30" s="199">
        <f t="shared" si="6"/>
        <v>-1.2053393728493969E-4</v>
      </c>
      <c r="AE30" s="199">
        <f t="shared" si="7"/>
        <v>-0.14167806770399038</v>
      </c>
      <c r="AF30" s="200">
        <f t="shared" si="8"/>
        <v>2.9213743962975346E-2</v>
      </c>
      <c r="AH30" s="198">
        <f t="shared" si="9"/>
        <v>0.22561952002201713</v>
      </c>
      <c r="AI30" s="199">
        <f t="shared" si="19"/>
        <v>9.3437709106082845E-2</v>
      </c>
      <c r="AJ30" s="200">
        <f t="shared" si="20"/>
        <v>0</v>
      </c>
    </row>
    <row r="31" spans="1:36" x14ac:dyDescent="0.3">
      <c r="A31" s="25" t="s">
        <v>33</v>
      </c>
      <c r="B31" s="48">
        <f>VLOOKUP($A31,Costdrivere!$A$3:$G$50,2,FALSE)</f>
        <v>6143080.0000000009</v>
      </c>
      <c r="C31" s="32">
        <f>VLOOKUP($A31,Costdrivere!$A$3:$G$50,3,FALSE)</f>
        <v>3765312</v>
      </c>
      <c r="D31" s="32">
        <f>VLOOKUP($A31,Costdrivere!$A$3:$G$50,4,FALSE)</f>
        <v>811380</v>
      </c>
      <c r="E31" s="32">
        <f>VLOOKUP($A31,Costdrivere!$A$3:$G$50,5,FALSE)</f>
        <v>39289.979999999996</v>
      </c>
      <c r="F31" s="152">
        <f>VLOOKUP($A31,Costdrivere!$A$3:$G$50,6,FALSE)</f>
        <v>16820076.769661911</v>
      </c>
      <c r="G31" s="37">
        <f>VLOOKUP($A31,Costdrivere!$A$3:$G$50,7,FALSE)</f>
        <v>2125902.9</v>
      </c>
      <c r="H31" s="156">
        <v>36.403304588734976</v>
      </c>
      <c r="I31" s="41">
        <f t="shared" si="0"/>
        <v>29705041.64966191</v>
      </c>
      <c r="J31" s="169">
        <f t="shared" si="10"/>
        <v>36663238.522310823</v>
      </c>
      <c r="K31" s="41">
        <f>I31+'Potentialer og krav'!$J31</f>
        <v>29705041.64966191</v>
      </c>
      <c r="L31" s="152">
        <f t="shared" si="11"/>
        <v>36663238.522310823</v>
      </c>
      <c r="M31" s="41">
        <f>K31+(0.3*'Potentialer og krav'!$G31)</f>
        <v>42727803.951540612</v>
      </c>
      <c r="N31" s="169">
        <f>L31+(0.3*'Potentialer og krav'!$G31)</f>
        <v>49686000.824189521</v>
      </c>
      <c r="O31" s="189">
        <v>39804681</v>
      </c>
      <c r="P31" s="169">
        <f t="shared" si="12"/>
        <v>40003704.404999994</v>
      </c>
      <c r="R31" s="198">
        <f t="shared" si="13"/>
        <v>0.20680260517560725</v>
      </c>
      <c r="S31" s="208">
        <f t="shared" si="14"/>
        <v>0.12675666455572382</v>
      </c>
      <c r="T31" s="199">
        <f t="shared" si="15"/>
        <v>2.7314555204780693E-2</v>
      </c>
      <c r="U31" s="208">
        <f t="shared" si="16"/>
        <v>1.3226704228656476E-3</v>
      </c>
      <c r="V31" s="208">
        <f t="shared" si="17"/>
        <v>0.56623643110944266</v>
      </c>
      <c r="W31" s="200">
        <f t="shared" si="18"/>
        <v>7.1567073531579983E-2</v>
      </c>
      <c r="X31" s="12"/>
      <c r="Y31" s="217">
        <f t="shared" si="2"/>
        <v>0.30568423391196792</v>
      </c>
      <c r="AA31" s="198">
        <f t="shared" si="3"/>
        <v>4.0550610511392776E-2</v>
      </c>
      <c r="AB31" s="199">
        <f t="shared" si="4"/>
        <v>3.8348212460076192E-2</v>
      </c>
      <c r="AC31" s="199">
        <f t="shared" si="5"/>
        <v>-6.2009683524806951E-3</v>
      </c>
      <c r="AD31" s="199">
        <f t="shared" si="6"/>
        <v>6.9888031280343531E-3</v>
      </c>
      <c r="AE31" s="199">
        <f t="shared" si="7"/>
        <v>-7.9823597656542677E-2</v>
      </c>
      <c r="AF31" s="200">
        <f t="shared" si="8"/>
        <v>1.3693990942001411E-4</v>
      </c>
      <c r="AH31" s="198">
        <f t="shared" si="9"/>
        <v>0.30568423391196792</v>
      </c>
      <c r="AI31" s="199">
        <f t="shared" si="19"/>
        <v>1.3372995216132055E-2</v>
      </c>
      <c r="AJ31" s="200">
        <f t="shared" si="20"/>
        <v>0</v>
      </c>
    </row>
    <row r="32" spans="1:36" ht="15" x14ac:dyDescent="0.25">
      <c r="A32" s="25" t="s">
        <v>62</v>
      </c>
      <c r="B32" s="48">
        <f>VLOOKUP($A32,Costdrivere!$A$3:$G$50,2,FALSE)</f>
        <v>5792360.0000000009</v>
      </c>
      <c r="C32" s="32">
        <f>VLOOKUP($A32,Costdrivere!$A$3:$G$50,3,FALSE)</f>
        <v>8441982</v>
      </c>
      <c r="D32" s="32">
        <f>VLOOKUP($A32,Costdrivere!$A$3:$G$50,4,FALSE)</f>
        <v>135230</v>
      </c>
      <c r="E32" s="32">
        <f>VLOOKUP($A32,Costdrivere!$A$3:$G$50,5,FALSE)</f>
        <v>42153.119999999995</v>
      </c>
      <c r="F32" s="152">
        <f>VLOOKUP($A32,Costdrivere!$A$3:$G$50,6,FALSE)</f>
        <v>19134620.61485</v>
      </c>
      <c r="G32" s="37">
        <f>VLOOKUP($A32,Costdrivere!$A$3:$G$50,7,FALSE)</f>
        <v>2502159</v>
      </c>
      <c r="H32" s="156">
        <v>34.097035666719727</v>
      </c>
      <c r="I32" s="41">
        <f t="shared" si="0"/>
        <v>36048504.734849997</v>
      </c>
      <c r="J32" s="169">
        <f t="shared" si="10"/>
        <v>43411825.075010084</v>
      </c>
      <c r="K32" s="41">
        <f>I32+'Potentialer og krav'!$J32</f>
        <v>36048504.734849997</v>
      </c>
      <c r="L32" s="152">
        <f t="shared" si="11"/>
        <v>43411825.075010084</v>
      </c>
      <c r="M32" s="41">
        <f>K32+(0.3*'Potentialer og krav'!$G32)</f>
        <v>46404351.105116457</v>
      </c>
      <c r="N32" s="169">
        <f>L32+(0.3*'Potentialer og krav'!$G32)</f>
        <v>53767671.445276543</v>
      </c>
      <c r="O32" s="189">
        <v>33554894</v>
      </c>
      <c r="P32" s="169">
        <f t="shared" si="12"/>
        <v>33722668.469999999</v>
      </c>
      <c r="R32" s="198">
        <f t="shared" si="13"/>
        <v>0.16068239286497285</v>
      </c>
      <c r="S32" s="208">
        <f t="shared" si="14"/>
        <v>0.23418397134898883</v>
      </c>
      <c r="T32" s="199">
        <f t="shared" si="15"/>
        <v>3.7513345142792011E-3</v>
      </c>
      <c r="U32" s="208">
        <f t="shared" si="16"/>
        <v>1.1693444793355976E-3</v>
      </c>
      <c r="V32" s="208">
        <f t="shared" si="17"/>
        <v>0.53080206115599438</v>
      </c>
      <c r="W32" s="200">
        <f t="shared" si="18"/>
        <v>6.9410895636429285E-2</v>
      </c>
      <c r="X32" s="12"/>
      <c r="Y32" s="217">
        <f t="shared" si="2"/>
        <v>0.23384462301568132</v>
      </c>
      <c r="AA32" s="198">
        <f t="shared" si="3"/>
        <v>8.6670822822027177E-2</v>
      </c>
      <c r="AB32" s="199">
        <f t="shared" si="4"/>
        <v>-6.9079094333188817E-2</v>
      </c>
      <c r="AC32" s="199">
        <f t="shared" si="5"/>
        <v>1.7362252338020797E-2</v>
      </c>
      <c r="AD32" s="199">
        <f t="shared" si="6"/>
        <v>7.1421290715644034E-3</v>
      </c>
      <c r="AE32" s="199">
        <f t="shared" si="7"/>
        <v>-4.4389227703094392E-2</v>
      </c>
      <c r="AF32" s="200">
        <f t="shared" si="8"/>
        <v>2.2931178045707129E-3</v>
      </c>
      <c r="AH32" s="198">
        <f t="shared" si="9"/>
        <v>0.23384462301568132</v>
      </c>
      <c r="AI32" s="199">
        <f t="shared" si="19"/>
        <v>8.5212606112418654E-2</v>
      </c>
      <c r="AJ32" s="200">
        <f t="shared" si="20"/>
        <v>0</v>
      </c>
    </row>
    <row r="33" spans="1:36" x14ac:dyDescent="0.3">
      <c r="A33" s="25" t="s">
        <v>34</v>
      </c>
      <c r="B33" s="48">
        <f>VLOOKUP($A33,Costdrivere!$A$3:$G$50,2,FALSE)</f>
        <v>13036261</v>
      </c>
      <c r="C33" s="32">
        <f>VLOOKUP($A33,Costdrivere!$A$3:$G$50,3,FALSE)</f>
        <v>958321.67599999998</v>
      </c>
      <c r="D33" s="32">
        <f>VLOOKUP($A33,Costdrivere!$A$3:$G$50,4,FALSE)</f>
        <v>81138</v>
      </c>
      <c r="E33" s="32">
        <f>VLOOKUP($A33,Costdrivere!$A$3:$G$50,5,FALSE)</f>
        <v>203355.12</v>
      </c>
      <c r="F33" s="152">
        <f>VLOOKUP($A33,Costdrivere!$A$3:$G$50,6,FALSE)</f>
        <v>0</v>
      </c>
      <c r="G33" s="37">
        <f>VLOOKUP($A33,Costdrivere!$A$3:$G$50,7,FALSE)</f>
        <v>1405708.7</v>
      </c>
      <c r="H33" s="156">
        <v>53.119817335553172</v>
      </c>
      <c r="I33" s="41">
        <f t="shared" si="0"/>
        <v>15684784.495999997</v>
      </c>
      <c r="J33" s="169">
        <f t="shared" si="10"/>
        <v>22767368.537331469</v>
      </c>
      <c r="K33" s="41">
        <f>I33+'Potentialer og krav'!$J33</f>
        <v>15707135.495999997</v>
      </c>
      <c r="L33" s="152">
        <f t="shared" si="11"/>
        <v>22799812.301815938</v>
      </c>
      <c r="M33" s="41">
        <f>K33+(0.3*'Potentialer og krav'!$G33)</f>
        <v>27890787.180106137</v>
      </c>
      <c r="N33" s="169">
        <f>L33+(0.3*'Potentialer og krav'!$G33)</f>
        <v>34983463.985922076</v>
      </c>
      <c r="O33" s="189">
        <v>14367167</v>
      </c>
      <c r="P33" s="169">
        <f t="shared" si="12"/>
        <v>14439002.834999999</v>
      </c>
      <c r="R33" s="198">
        <f t="shared" si="13"/>
        <v>0.83114058744795405</v>
      </c>
      <c r="S33" s="208">
        <f t="shared" si="14"/>
        <v>6.1098810522031421E-2</v>
      </c>
      <c r="T33" s="199">
        <f t="shared" si="15"/>
        <v>5.1730388785827548E-3</v>
      </c>
      <c r="U33" s="208">
        <f t="shared" si="16"/>
        <v>1.2965120435786702E-2</v>
      </c>
      <c r="V33" s="208">
        <f t="shared" si="17"/>
        <v>0</v>
      </c>
      <c r="W33" s="200">
        <f t="shared" si="18"/>
        <v>8.962244271564522E-2</v>
      </c>
      <c r="X33" s="40"/>
      <c r="Y33" s="217">
        <f t="shared" si="2"/>
        <v>0.92593606904218206</v>
      </c>
      <c r="AA33" s="198">
        <f t="shared" si="3"/>
        <v>-0.58378737176095408</v>
      </c>
      <c r="AB33" s="199">
        <f t="shared" si="4"/>
        <v>0.10400606649376859</v>
      </c>
      <c r="AC33" s="199">
        <f t="shared" si="5"/>
        <v>1.5940547973717245E-2</v>
      </c>
      <c r="AD33" s="199">
        <f t="shared" si="6"/>
        <v>-4.6536468848867012E-3</v>
      </c>
      <c r="AE33" s="199">
        <f t="shared" si="7"/>
        <v>0.48641283345289998</v>
      </c>
      <c r="AF33" s="200">
        <f t="shared" si="8"/>
        <v>-1.7918429274645223E-2</v>
      </c>
      <c r="AH33" s="198">
        <f t="shared" si="9"/>
        <v>0.92593606904218206</v>
      </c>
      <c r="AI33" s="199">
        <f t="shared" si="19"/>
        <v>-0.60687883991408209</v>
      </c>
      <c r="AJ33" s="200">
        <f t="shared" si="20"/>
        <v>-0.12501652599122182</v>
      </c>
    </row>
    <row r="34" spans="1:36" x14ac:dyDescent="0.3">
      <c r="A34" s="25" t="s">
        <v>35</v>
      </c>
      <c r="B34" s="48">
        <f>VLOOKUP($A34,Costdrivere!$A$3:$G$50,2,FALSE)</f>
        <v>2783840</v>
      </c>
      <c r="C34" s="32">
        <f>VLOOKUP($A34,Costdrivere!$A$3:$G$50,3,FALSE)</f>
        <v>4100118</v>
      </c>
      <c r="D34" s="32">
        <f>VLOOKUP($A34,Costdrivere!$A$3:$G$50,4,FALSE)</f>
        <v>54092</v>
      </c>
      <c r="E34" s="32">
        <f>VLOOKUP($A34,Costdrivere!$A$3:$G$50,5,FALSE)</f>
        <v>0</v>
      </c>
      <c r="F34" s="152">
        <f>VLOOKUP($A34,Costdrivere!$A$3:$G$50,6,FALSE)</f>
        <v>15787550.92139283</v>
      </c>
      <c r="G34" s="37">
        <f>VLOOKUP($A34,Costdrivere!$A$3:$G$50,7,FALSE)</f>
        <v>998004.7</v>
      </c>
      <c r="H34" s="156">
        <v>33.398521891398815</v>
      </c>
      <c r="I34" s="41">
        <f t="shared" si="0"/>
        <v>23723605.621392827</v>
      </c>
      <c r="J34" s="169">
        <f t="shared" si="10"/>
        <v>28353997.579836946</v>
      </c>
      <c r="K34" s="41">
        <f>I34+'Potentialer og krav'!$J34</f>
        <v>23821042.621392827</v>
      </c>
      <c r="L34" s="152">
        <f t="shared" si="11"/>
        <v>28470452.409944866</v>
      </c>
      <c r="M34" s="41">
        <f>K34+(0.3*'Potentialer og krav'!$G34)</f>
        <v>30360224.94028037</v>
      </c>
      <c r="N34" s="169">
        <f>L34+(0.3*'Potentialer og krav'!$G34)</f>
        <v>35009634.728832409</v>
      </c>
      <c r="O34" s="189">
        <v>21120308</v>
      </c>
      <c r="P34" s="169">
        <f t="shared" si="12"/>
        <v>21225909.539999999</v>
      </c>
      <c r="R34" s="198">
        <f t="shared" si="13"/>
        <v>0.1173447259420661</v>
      </c>
      <c r="S34" s="208">
        <f t="shared" si="14"/>
        <v>0.17282861911608863</v>
      </c>
      <c r="T34" s="199">
        <f t="shared" si="15"/>
        <v>2.2800918571678828E-3</v>
      </c>
      <c r="U34" s="208">
        <f t="shared" si="16"/>
        <v>0</v>
      </c>
      <c r="V34" s="208">
        <f t="shared" si="17"/>
        <v>0.66547856060953747</v>
      </c>
      <c r="W34" s="200">
        <f t="shared" si="18"/>
        <v>4.2068002475140052E-2</v>
      </c>
      <c r="X34" s="12"/>
      <c r="Y34" s="217">
        <f t="shared" si="2"/>
        <v>0.16169282027437404</v>
      </c>
      <c r="AA34" s="198">
        <f t="shared" si="3"/>
        <v>0.13000848974493392</v>
      </c>
      <c r="AB34" s="199">
        <f t="shared" si="4"/>
        <v>-7.7237421002886164E-3</v>
      </c>
      <c r="AC34" s="199">
        <f t="shared" si="5"/>
        <v>1.8833494995132115E-2</v>
      </c>
      <c r="AD34" s="199">
        <f t="shared" si="6"/>
        <v>8.3114735509000007E-3</v>
      </c>
      <c r="AE34" s="199">
        <f t="shared" si="7"/>
        <v>-0.17906572715663749</v>
      </c>
      <c r="AF34" s="200">
        <f t="shared" si="8"/>
        <v>2.9636010965859945E-2</v>
      </c>
      <c r="AH34" s="198">
        <f t="shared" si="9"/>
        <v>0.16169282027437404</v>
      </c>
      <c r="AI34" s="199">
        <f t="shared" si="19"/>
        <v>0.15736440885372593</v>
      </c>
      <c r="AJ34" s="200">
        <f t="shared" si="20"/>
        <v>0</v>
      </c>
    </row>
    <row r="35" spans="1:36" ht="15" x14ac:dyDescent="0.25">
      <c r="A35" s="25" t="s">
        <v>37</v>
      </c>
      <c r="B35" s="48">
        <f>VLOOKUP($A35,Costdrivere!$A$3:$G$50,2,FALSE)</f>
        <v>2696160.0000000005</v>
      </c>
      <c r="C35" s="32">
        <f>VLOOKUP($A35,Costdrivere!$A$3:$G$50,3,FALSE)</f>
        <v>9681357</v>
      </c>
      <c r="D35" s="32">
        <f>VLOOKUP($A35,Costdrivere!$A$3:$G$50,4,FALSE)</f>
        <v>473305</v>
      </c>
      <c r="E35" s="32">
        <f>VLOOKUP($A35,Costdrivere!$A$3:$G$50,5,FALSE)</f>
        <v>60631.199999999997</v>
      </c>
      <c r="F35" s="152">
        <f>VLOOKUP($A35,Costdrivere!$A$3:$G$50,6,FALSE)</f>
        <v>16155122.53508758</v>
      </c>
      <c r="G35" s="37">
        <f>VLOOKUP($A35,Costdrivere!$A$3:$G$50,7,FALSE)</f>
        <v>1547907.9</v>
      </c>
      <c r="H35" s="156">
        <v>37.522817663563401</v>
      </c>
      <c r="I35" s="41">
        <f t="shared" si="0"/>
        <v>30614483.635087579</v>
      </c>
      <c r="J35" s="169">
        <f t="shared" si="10"/>
        <v>38231263.981247626</v>
      </c>
      <c r="K35" s="41">
        <f>I35+'Potentialer og krav'!$J35</f>
        <v>30614483.635087579</v>
      </c>
      <c r="L35" s="152">
        <f t="shared" si="11"/>
        <v>38231263.981247626</v>
      </c>
      <c r="M35" s="41">
        <f>K35+(0.3*'Potentialer og krav'!$G35)</f>
        <v>38905031.495228417</v>
      </c>
      <c r="N35" s="169">
        <f>L35+(0.3*'Potentialer og krav'!$G35)</f>
        <v>46521811.841388464</v>
      </c>
      <c r="O35" s="189">
        <v>23335147</v>
      </c>
      <c r="P35" s="169">
        <f t="shared" si="12"/>
        <v>23451822.734999996</v>
      </c>
      <c r="R35" s="198">
        <f t="shared" si="13"/>
        <v>8.8068119395288552E-2</v>
      </c>
      <c r="S35" s="208">
        <f t="shared" si="14"/>
        <v>0.31623453511082888</v>
      </c>
      <c r="T35" s="199">
        <f t="shared" si="15"/>
        <v>1.5460166032574862E-2</v>
      </c>
      <c r="U35" s="208">
        <f t="shared" si="16"/>
        <v>1.9804743637913246E-3</v>
      </c>
      <c r="V35" s="208">
        <f t="shared" si="17"/>
        <v>0.5276954113500717</v>
      </c>
      <c r="W35" s="200">
        <f t="shared" si="18"/>
        <v>5.0561293747444641E-2</v>
      </c>
      <c r="X35" s="12"/>
      <c r="Y35" s="217">
        <f t="shared" si="2"/>
        <v>0.15408957917530805</v>
      </c>
      <c r="AA35" s="198">
        <f t="shared" si="3"/>
        <v>0.15928509629171148</v>
      </c>
      <c r="AB35" s="199">
        <f t="shared" si="4"/>
        <v>-0.15112965809502887</v>
      </c>
      <c r="AC35" s="199">
        <f t="shared" si="5"/>
        <v>5.653420819725136E-3</v>
      </c>
      <c r="AD35" s="199">
        <f t="shared" si="6"/>
        <v>6.3309991871086761E-3</v>
      </c>
      <c r="AE35" s="199">
        <f t="shared" si="7"/>
        <v>-4.1282577897171713E-2</v>
      </c>
      <c r="AF35" s="200">
        <f t="shared" si="8"/>
        <v>2.1142719693555356E-2</v>
      </c>
      <c r="AH35" s="198">
        <f t="shared" si="9"/>
        <v>0.15408957917530805</v>
      </c>
      <c r="AI35" s="199">
        <f t="shared" si="19"/>
        <v>0.16496764995279192</v>
      </c>
      <c r="AJ35" s="200">
        <f t="shared" si="20"/>
        <v>0</v>
      </c>
    </row>
    <row r="36" spans="1:36" ht="15" x14ac:dyDescent="0.25">
      <c r="A36" s="25" t="s">
        <v>44</v>
      </c>
      <c r="B36" s="48">
        <f>VLOOKUP($A36,Costdrivere!$A$3:$G$50,2,FALSE)</f>
        <v>12839250</v>
      </c>
      <c r="C36" s="32">
        <f>VLOOKUP($A36,Costdrivere!$A$3:$G$50,3,FALSE)</f>
        <v>5584350</v>
      </c>
      <c r="D36" s="32">
        <f>VLOOKUP($A36,Costdrivere!$A$3:$G$50,4,FALSE)</f>
        <v>824903</v>
      </c>
      <c r="E36" s="32">
        <f>VLOOKUP($A36,Costdrivere!$A$3:$G$50,5,FALSE)</f>
        <v>417681.6</v>
      </c>
      <c r="F36" s="152">
        <f>VLOOKUP($A36,Costdrivere!$A$3:$G$50,6,FALSE)</f>
        <v>22975062.585576028</v>
      </c>
      <c r="G36" s="37">
        <f>VLOOKUP($A36,Costdrivere!$A$3:$G$50,7,FALSE)</f>
        <v>3031925.6</v>
      </c>
      <c r="H36" s="156">
        <v>34.009781459629323</v>
      </c>
      <c r="I36" s="41">
        <f t="shared" si="0"/>
        <v>45673172.785576031</v>
      </c>
      <c r="J36" s="169">
        <f t="shared" si="10"/>
        <v>54950634.614892654</v>
      </c>
      <c r="K36" s="41">
        <f>I36+'Potentialer og krav'!$J36</f>
        <v>45673172.785576031</v>
      </c>
      <c r="L36" s="152">
        <f t="shared" si="11"/>
        <v>54950634.614892654</v>
      </c>
      <c r="M36" s="41">
        <f>K36+(0.3*'Potentialer og krav'!$G36)</f>
        <v>61936991.391053408</v>
      </c>
      <c r="N36" s="169">
        <f>L36+(0.3*'Potentialer og krav'!$G36)</f>
        <v>71214453.220370024</v>
      </c>
      <c r="O36" s="189">
        <v>52804591</v>
      </c>
      <c r="P36" s="169">
        <f t="shared" si="12"/>
        <v>53068613.954999991</v>
      </c>
      <c r="R36" s="198">
        <f t="shared" si="13"/>
        <v>0.28111140997970568</v>
      </c>
      <c r="S36" s="208">
        <f t="shared" si="14"/>
        <v>0.12226761705864202</v>
      </c>
      <c r="T36" s="199">
        <f t="shared" si="15"/>
        <v>1.8060996197323764E-2</v>
      </c>
      <c r="U36" s="208">
        <f t="shared" si="16"/>
        <v>9.1450095214735613E-3</v>
      </c>
      <c r="V36" s="208">
        <f t="shared" si="17"/>
        <v>0.50303189343639698</v>
      </c>
      <c r="W36" s="200">
        <f t="shared" si="18"/>
        <v>6.6383073806457943E-2</v>
      </c>
      <c r="X36" s="12"/>
      <c r="Y36" s="217">
        <f t="shared" si="2"/>
        <v>0.36555547998348736</v>
      </c>
      <c r="AA36" s="198">
        <f t="shared" si="3"/>
        <v>-3.3758194292705657E-2</v>
      </c>
      <c r="AB36" s="199">
        <f t="shared" si="4"/>
        <v>4.2837259957157994E-2</v>
      </c>
      <c r="AC36" s="199">
        <f t="shared" si="5"/>
        <v>3.0525906549762338E-3</v>
      </c>
      <c r="AD36" s="199">
        <f t="shared" si="6"/>
        <v>-8.3353597057356059E-4</v>
      </c>
      <c r="AE36" s="199">
        <f t="shared" si="7"/>
        <v>-1.6619059983496998E-2</v>
      </c>
      <c r="AF36" s="200">
        <f t="shared" si="8"/>
        <v>5.3209396345420545E-3</v>
      </c>
      <c r="AH36" s="198">
        <f t="shared" si="9"/>
        <v>0.36555547998348736</v>
      </c>
      <c r="AI36" s="199">
        <f t="shared" si="19"/>
        <v>-4.6498250855387391E-2</v>
      </c>
      <c r="AJ36" s="200">
        <f t="shared" si="20"/>
        <v>0</v>
      </c>
    </row>
    <row r="37" spans="1:36" ht="15" x14ac:dyDescent="0.25">
      <c r="A37" s="25" t="s">
        <v>38</v>
      </c>
      <c r="B37" s="48">
        <f>VLOOKUP($A37,Costdrivere!$A$3:$G$50,2,FALSE)</f>
        <v>3121820</v>
      </c>
      <c r="C37" s="32">
        <f>VLOOKUP($A37,Costdrivere!$A$3:$G$50,3,FALSE)</f>
        <v>1513825</v>
      </c>
      <c r="D37" s="32">
        <f>VLOOKUP($A37,Costdrivere!$A$3:$G$50,4,FALSE)</f>
        <v>446259</v>
      </c>
      <c r="E37" s="32">
        <f>VLOOKUP($A37,Costdrivere!$A$3:$G$50,5,FALSE)</f>
        <v>0</v>
      </c>
      <c r="F37" s="152">
        <f>VLOOKUP($A37,Costdrivere!$A$3:$G$50,6,FALSE)</f>
        <v>6790338.8164812662</v>
      </c>
      <c r="G37" s="37">
        <f>VLOOKUP($A37,Costdrivere!$A$3:$G$50,7,FALSE)</f>
        <v>990671</v>
      </c>
      <c r="H37" s="156">
        <v>30.027088697766388</v>
      </c>
      <c r="I37" s="41">
        <f t="shared" si="0"/>
        <v>12862913.816481266</v>
      </c>
      <c r="J37" s="169">
        <f t="shared" si="10"/>
        <v>14809743.517371945</v>
      </c>
      <c r="K37" s="41">
        <f>I37+'Potentialer og krav'!$J37</f>
        <v>12862913.816481266</v>
      </c>
      <c r="L37" s="152">
        <f t="shared" si="11"/>
        <v>14809743.517371945</v>
      </c>
      <c r="M37" s="41">
        <f>K37+(0.3*'Potentialer og krav'!$G37)</f>
        <v>16800735.129792325</v>
      </c>
      <c r="N37" s="169">
        <f>L37+(0.3*'Potentialer og krav'!$G37)</f>
        <v>18747564.830683004</v>
      </c>
      <c r="O37" s="189">
        <v>12959401</v>
      </c>
      <c r="P37" s="169">
        <f t="shared" si="12"/>
        <v>13024198.004999999</v>
      </c>
      <c r="R37" s="198">
        <f t="shared" si="13"/>
        <v>0.24269928606689478</v>
      </c>
      <c r="S37" s="208">
        <f t="shared" si="14"/>
        <v>0.11768911940157248</v>
      </c>
      <c r="T37" s="199">
        <f t="shared" si="15"/>
        <v>3.4693461090301934E-2</v>
      </c>
      <c r="U37" s="208">
        <f t="shared" si="16"/>
        <v>0</v>
      </c>
      <c r="V37" s="208">
        <f t="shared" si="17"/>
        <v>0.52790051409508765</v>
      </c>
      <c r="W37" s="200">
        <f t="shared" si="18"/>
        <v>7.7017619346143179E-2</v>
      </c>
      <c r="X37" s="12"/>
      <c r="Y37" s="217">
        <f t="shared" si="2"/>
        <v>0.3544103665033399</v>
      </c>
      <c r="AA37" s="198">
        <f t="shared" si="3"/>
        <v>4.653929620105246E-3</v>
      </c>
      <c r="AB37" s="199">
        <f t="shared" si="4"/>
        <v>4.7415757614227533E-2</v>
      </c>
      <c r="AC37" s="199">
        <f t="shared" si="5"/>
        <v>-1.3579874238001936E-2</v>
      </c>
      <c r="AD37" s="199">
        <f t="shared" si="6"/>
        <v>8.3114735509000007E-3</v>
      </c>
      <c r="AE37" s="199">
        <f t="shared" si="7"/>
        <v>-4.1487680642187663E-2</v>
      </c>
      <c r="AF37" s="200">
        <f t="shared" si="8"/>
        <v>-5.3136059051431817E-3</v>
      </c>
      <c r="AH37" s="198">
        <f t="shared" si="9"/>
        <v>0.3544103665033399</v>
      </c>
      <c r="AI37" s="199">
        <f t="shared" si="19"/>
        <v>-3.5353137375239929E-2</v>
      </c>
      <c r="AJ37" s="200">
        <f t="shared" si="20"/>
        <v>0</v>
      </c>
    </row>
    <row r="38" spans="1:36" ht="15" x14ac:dyDescent="0.25">
      <c r="A38" s="25" t="s">
        <v>46</v>
      </c>
      <c r="B38" s="48">
        <f>VLOOKUP($A38,Costdrivere!$A$3:$G$50,2,FALSE)</f>
        <v>6258160.0000000009</v>
      </c>
      <c r="C38" s="32">
        <f>VLOOKUP($A38,Costdrivere!$A$3:$G$50,3,FALSE)</f>
        <v>3699770</v>
      </c>
      <c r="D38" s="32">
        <f>VLOOKUP($A38,Costdrivere!$A$3:$G$50,4,FALSE)</f>
        <v>148753</v>
      </c>
      <c r="E38" s="32">
        <f>VLOOKUP($A38,Costdrivere!$A$3:$G$50,5,FALSE)</f>
        <v>456971.57999999996</v>
      </c>
      <c r="F38" s="152">
        <f>VLOOKUP($A38,Costdrivere!$A$3:$G$50,6,FALSE)</f>
        <v>9196767.9407362547</v>
      </c>
      <c r="G38" s="37">
        <f>VLOOKUP($A38,Costdrivere!$A$3:$G$50,7,FALSE)</f>
        <v>1841131.5999999999</v>
      </c>
      <c r="H38" s="156">
        <v>54.488395639933088</v>
      </c>
      <c r="I38" s="41">
        <f t="shared" si="0"/>
        <v>21601554.120736256</v>
      </c>
      <c r="J38" s="169">
        <f t="shared" si="10"/>
        <v>31740225.041665643</v>
      </c>
      <c r="K38" s="41">
        <f>I38+'Potentialer og krav'!$J38</f>
        <v>21601554.120736256</v>
      </c>
      <c r="L38" s="152">
        <f t="shared" si="11"/>
        <v>31740225.041665643</v>
      </c>
      <c r="M38" s="41">
        <f>K38+(0.3*'Potentialer og krav'!$G38)</f>
        <v>31398230.503994215</v>
      </c>
      <c r="N38" s="169">
        <f>L38+(0.3*'Potentialer og krav'!$G38)</f>
        <v>41536901.424923599</v>
      </c>
      <c r="O38" s="189">
        <v>22833353</v>
      </c>
      <c r="P38" s="169">
        <f t="shared" si="12"/>
        <v>22947519.764999997</v>
      </c>
      <c r="R38" s="198">
        <f t="shared" si="13"/>
        <v>0.28970878507266867</v>
      </c>
      <c r="S38" s="208">
        <f t="shared" si="14"/>
        <v>0.17127332502657447</v>
      </c>
      <c r="T38" s="199">
        <f t="shared" si="15"/>
        <v>6.8862174993791596E-3</v>
      </c>
      <c r="U38" s="208">
        <f t="shared" si="16"/>
        <v>2.1154569594663254E-2</v>
      </c>
      <c r="V38" s="208">
        <f t="shared" si="17"/>
        <v>0.42574566113777357</v>
      </c>
      <c r="W38" s="200">
        <f t="shared" si="18"/>
        <v>8.5231441668940797E-2</v>
      </c>
      <c r="X38" s="12"/>
      <c r="Y38" s="217">
        <f t="shared" si="2"/>
        <v>0.38182644424098866</v>
      </c>
      <c r="AA38" s="198">
        <f t="shared" si="3"/>
        <v>-4.2355569385668645E-2</v>
      </c>
      <c r="AB38" s="199">
        <f t="shared" si="4"/>
        <v>-6.1684480107744577E-3</v>
      </c>
      <c r="AC38" s="199">
        <f t="shared" si="5"/>
        <v>1.4227369352920839E-2</v>
      </c>
      <c r="AD38" s="199">
        <f t="shared" si="6"/>
        <v>-1.2843096043763253E-2</v>
      </c>
      <c r="AE38" s="199">
        <f t="shared" si="7"/>
        <v>6.0667172315126416E-2</v>
      </c>
      <c r="AF38" s="200">
        <f t="shared" si="8"/>
        <v>-1.3527428227940799E-2</v>
      </c>
      <c r="AH38" s="198">
        <f t="shared" si="9"/>
        <v>0.38182644424098866</v>
      </c>
      <c r="AI38" s="199">
        <f t="shared" si="19"/>
        <v>-6.2769215112888688E-2</v>
      </c>
      <c r="AJ38" s="200">
        <f t="shared" si="20"/>
        <v>0</v>
      </c>
    </row>
    <row r="39" spans="1:36" x14ac:dyDescent="0.3">
      <c r="A39" s="25" t="s">
        <v>39</v>
      </c>
      <c r="B39" s="48">
        <f>VLOOKUP($A39,Costdrivere!$A$3:$G$50,2,FALSE)</f>
        <v>904200</v>
      </c>
      <c r="C39" s="32">
        <f>VLOOKUP($A39,Costdrivere!$A$3:$G$50,3,FALSE)</f>
        <v>1708998</v>
      </c>
      <c r="D39" s="32">
        <f>VLOOKUP($A39,Costdrivere!$A$3:$G$50,4,FALSE)</f>
        <v>40569</v>
      </c>
      <c r="E39" s="32">
        <f>VLOOKUP($A39,Costdrivere!$A$3:$G$50,5,FALSE)</f>
        <v>0</v>
      </c>
      <c r="F39" s="152">
        <f>VLOOKUP($A39,Costdrivere!$A$3:$G$50,6,FALSE)</f>
        <v>2584846.8462576643</v>
      </c>
      <c r="G39" s="37">
        <f>VLOOKUP($A39,Costdrivere!$A$3:$G$50,7,FALSE)</f>
        <v>283528.3</v>
      </c>
      <c r="H39" s="156">
        <v>26.93168564460769</v>
      </c>
      <c r="I39" s="41">
        <f t="shared" si="0"/>
        <v>5522142.1462576641</v>
      </c>
      <c r="J39" s="169">
        <f t="shared" si="10"/>
        <v>6135717.9260841403</v>
      </c>
      <c r="K39" s="41">
        <f>I39+'Potentialer og krav'!$J39</f>
        <v>5522142.1462576641</v>
      </c>
      <c r="L39" s="152">
        <f t="shared" si="11"/>
        <v>6135717.9260841403</v>
      </c>
      <c r="M39" s="41">
        <f>K39+(0.3*'Potentialer og krav'!$G39)</f>
        <v>7507246.6431025043</v>
      </c>
      <c r="N39" s="169">
        <f>L39+(0.3*'Potentialer og krav'!$G39)</f>
        <v>8120822.4229289806</v>
      </c>
      <c r="O39" s="189">
        <v>4967348</v>
      </c>
      <c r="P39" s="169">
        <f t="shared" si="12"/>
        <v>4992184.7399999993</v>
      </c>
      <c r="R39" s="198">
        <f t="shared" si="13"/>
        <v>0.16374080493613752</v>
      </c>
      <c r="S39" s="208">
        <f t="shared" si="14"/>
        <v>0.30948098667800172</v>
      </c>
      <c r="T39" s="199">
        <f t="shared" si="15"/>
        <v>7.3466055247225874E-3</v>
      </c>
      <c r="U39" s="208">
        <f t="shared" si="16"/>
        <v>0</v>
      </c>
      <c r="V39" s="208">
        <f t="shared" si="17"/>
        <v>0.46808770542232525</v>
      </c>
      <c r="W39" s="200">
        <f t="shared" si="18"/>
        <v>5.1343897438812965E-2</v>
      </c>
      <c r="X39" s="12"/>
      <c r="Y39" s="217">
        <f t="shared" si="2"/>
        <v>0.22243130789967305</v>
      </c>
      <c r="AA39" s="198">
        <f t="shared" si="3"/>
        <v>8.3612410750862509E-2</v>
      </c>
      <c r="AB39" s="199">
        <f t="shared" si="4"/>
        <v>-0.14437610966220171</v>
      </c>
      <c r="AC39" s="199">
        <f t="shared" si="5"/>
        <v>1.3766981327577411E-2</v>
      </c>
      <c r="AD39" s="199">
        <f t="shared" si="6"/>
        <v>8.3114735509000007E-3</v>
      </c>
      <c r="AE39" s="199">
        <f t="shared" si="7"/>
        <v>1.8325128030574733E-2</v>
      </c>
      <c r="AF39" s="200">
        <f t="shared" si="8"/>
        <v>2.0360116002187033E-2</v>
      </c>
      <c r="AH39" s="198">
        <f t="shared" si="9"/>
        <v>0.22243130789967305</v>
      </c>
      <c r="AI39" s="199">
        <f t="shared" si="19"/>
        <v>9.662592122842692E-2</v>
      </c>
      <c r="AJ39" s="200">
        <f t="shared" si="20"/>
        <v>0</v>
      </c>
    </row>
    <row r="40" spans="1:36" ht="15" x14ac:dyDescent="0.25">
      <c r="A40" s="25" t="s">
        <v>47</v>
      </c>
      <c r="B40" s="48">
        <f>VLOOKUP($A40,Costdrivere!$A$3:$G$50,2,FALSE)</f>
        <v>13048830</v>
      </c>
      <c r="C40" s="32">
        <f>VLOOKUP($A40,Costdrivere!$A$3:$G$50,3,FALSE)</f>
        <v>4819404</v>
      </c>
      <c r="D40" s="32">
        <f>VLOOKUP($A40,Costdrivere!$A$3:$G$50,4,FALSE)</f>
        <v>1676852</v>
      </c>
      <c r="E40" s="32">
        <f>VLOOKUP($A40,Costdrivere!$A$3:$G$50,5,FALSE)</f>
        <v>175541.75999999998</v>
      </c>
      <c r="F40" s="152">
        <f>VLOOKUP($A40,Costdrivere!$A$3:$G$50,6,FALSE)</f>
        <v>30317604.435407966</v>
      </c>
      <c r="G40" s="37">
        <f>VLOOKUP($A40,Costdrivere!$A$3:$G$50,7,FALSE)</f>
        <v>3211290.5</v>
      </c>
      <c r="H40" s="156">
        <v>31.524586980297535</v>
      </c>
      <c r="I40" s="41">
        <f t="shared" si="0"/>
        <v>53249522.695407972</v>
      </c>
      <c r="J40" s="169">
        <f t="shared" si="10"/>
        <v>62345586.499524787</v>
      </c>
      <c r="K40" s="41">
        <f>I40+'Potentialer og krav'!$J40</f>
        <v>53249522.695407972</v>
      </c>
      <c r="L40" s="152">
        <f t="shared" si="11"/>
        <v>62345586.499524787</v>
      </c>
      <c r="M40" s="41">
        <f>K40+(0.3*'Potentialer og krav'!$G40)</f>
        <v>67615634.967071712</v>
      </c>
      <c r="N40" s="169">
        <f>L40+(0.3*'Potentialer og krav'!$G40)</f>
        <v>76711698.771188527</v>
      </c>
      <c r="O40" s="189">
        <v>41722000</v>
      </c>
      <c r="P40" s="169">
        <f t="shared" si="12"/>
        <v>41930609.999999993</v>
      </c>
      <c r="R40" s="198">
        <f t="shared" si="13"/>
        <v>0.24505064720749656</v>
      </c>
      <c r="S40" s="208">
        <f t="shared" si="14"/>
        <v>9.050605068457461E-2</v>
      </c>
      <c r="T40" s="199">
        <f t="shared" si="15"/>
        <v>3.1490460667445666E-2</v>
      </c>
      <c r="U40" s="208">
        <f t="shared" si="16"/>
        <v>3.2965884220993781E-3</v>
      </c>
      <c r="V40" s="208">
        <f t="shared" si="17"/>
        <v>0.56934978758077093</v>
      </c>
      <c r="W40" s="200">
        <f t="shared" si="18"/>
        <v>6.0306465437612818E-2</v>
      </c>
      <c r="X40" s="12"/>
      <c r="Y40" s="217">
        <f t="shared" si="2"/>
        <v>0.33684757331255505</v>
      </c>
      <c r="AA40" s="198">
        <f t="shared" si="3"/>
        <v>2.3025684795034695E-3</v>
      </c>
      <c r="AB40" s="199">
        <f t="shared" si="4"/>
        <v>7.4598826331225401E-2</v>
      </c>
      <c r="AC40" s="199">
        <f t="shared" si="5"/>
        <v>-1.0376873815145668E-2</v>
      </c>
      <c r="AD40" s="199">
        <f t="shared" si="6"/>
        <v>5.0148851288006231E-3</v>
      </c>
      <c r="AE40" s="199">
        <f t="shared" si="7"/>
        <v>-8.2936954127870943E-2</v>
      </c>
      <c r="AF40" s="200">
        <f t="shared" si="8"/>
        <v>1.139754800338718E-2</v>
      </c>
      <c r="AH40" s="198">
        <f t="shared" si="9"/>
        <v>0.33684757331255505</v>
      </c>
      <c r="AI40" s="199">
        <f t="shared" si="19"/>
        <v>-1.7790344184455076E-2</v>
      </c>
      <c r="AJ40" s="200">
        <f t="shared" si="20"/>
        <v>0</v>
      </c>
    </row>
    <row r="41" spans="1:36" ht="15" x14ac:dyDescent="0.25">
      <c r="A41" s="25" t="s">
        <v>48</v>
      </c>
      <c r="B41" s="48">
        <f>VLOOKUP($A41,Costdrivere!$A$3:$G$50,2,FALSE)</f>
        <v>5725560.0000000009</v>
      </c>
      <c r="C41" s="32">
        <f>VLOOKUP($A41,Costdrivere!$A$3:$G$50,3,FALSE)</f>
        <v>3802239</v>
      </c>
      <c r="D41" s="32">
        <f>VLOOKUP($A41,Costdrivere!$A$3:$G$50,4,FALSE)</f>
        <v>1419915</v>
      </c>
      <c r="E41" s="32">
        <f>VLOOKUP($A41,Costdrivere!$A$3:$G$50,5,FALSE)</f>
        <v>172822.97999999998</v>
      </c>
      <c r="F41" s="152">
        <f>VLOOKUP($A41,Costdrivere!$A$3:$G$50,6,FALSE)</f>
        <v>21498059.171138816</v>
      </c>
      <c r="G41" s="37">
        <f>VLOOKUP($A41,Costdrivere!$A$3:$G$50,7,FALSE)</f>
        <v>2225094.2999999998</v>
      </c>
      <c r="H41" s="156">
        <v>29.693019065002645</v>
      </c>
      <c r="I41" s="41">
        <f t="shared" si="0"/>
        <v>34843690.451138817</v>
      </c>
      <c r="J41" s="169">
        <f t="shared" si="10"/>
        <v>39966035.176505946</v>
      </c>
      <c r="K41" s="41">
        <f>I41+'Potentialer og krav'!$J41</f>
        <v>34843690.451138817</v>
      </c>
      <c r="L41" s="152">
        <f t="shared" si="11"/>
        <v>39966035.176505946</v>
      </c>
      <c r="M41" s="41">
        <f>K41+(0.3*'Potentialer og krav'!$G41)</f>
        <v>47386116.217247099</v>
      </c>
      <c r="N41" s="169">
        <f>L41+(0.3*'Potentialer og krav'!$G41)</f>
        <v>52508460.942614228</v>
      </c>
      <c r="O41" s="189">
        <v>32037722</v>
      </c>
      <c r="P41" s="169">
        <f t="shared" si="12"/>
        <v>32197910.609999996</v>
      </c>
      <c r="R41" s="198">
        <f t="shared" si="13"/>
        <v>0.16432128531359022</v>
      </c>
      <c r="S41" s="208">
        <f t="shared" si="14"/>
        <v>0.10912274075364853</v>
      </c>
      <c r="T41" s="199">
        <f t="shared" si="15"/>
        <v>4.0750993411307612E-2</v>
      </c>
      <c r="U41" s="208">
        <f t="shared" si="16"/>
        <v>4.9599505035882764E-3</v>
      </c>
      <c r="V41" s="208">
        <f t="shared" si="17"/>
        <v>0.61698571227079024</v>
      </c>
      <c r="W41" s="200">
        <f t="shared" si="18"/>
        <v>6.3859317747075081E-2</v>
      </c>
      <c r="X41" s="12"/>
      <c r="Y41" s="217">
        <f t="shared" si="2"/>
        <v>0.2689315964719729</v>
      </c>
      <c r="AA41" s="198">
        <f t="shared" si="3"/>
        <v>8.3031930373409807E-2</v>
      </c>
      <c r="AB41" s="199">
        <f t="shared" si="4"/>
        <v>5.5982136262151483E-2</v>
      </c>
      <c r="AC41" s="199">
        <f t="shared" si="5"/>
        <v>-1.9637406559007614E-2</v>
      </c>
      <c r="AD41" s="199">
        <f t="shared" si="6"/>
        <v>3.3515230473117243E-3</v>
      </c>
      <c r="AE41" s="199">
        <f t="shared" si="7"/>
        <v>-0.13057287881789026</v>
      </c>
      <c r="AF41" s="200">
        <f t="shared" si="8"/>
        <v>7.8446956939249163E-3</v>
      </c>
      <c r="AH41" s="198">
        <f t="shared" si="9"/>
        <v>0.2689315964719729</v>
      </c>
      <c r="AI41" s="199">
        <f t="shared" si="19"/>
        <v>5.0125632656127073E-2</v>
      </c>
      <c r="AJ41" s="200">
        <f t="shared" si="20"/>
        <v>0</v>
      </c>
    </row>
    <row r="42" spans="1:36" ht="15" x14ac:dyDescent="0.25">
      <c r="A42" s="25" t="s">
        <v>49</v>
      </c>
      <c r="B42" s="48">
        <f>VLOOKUP($A42,Costdrivere!$A$3:$G$50,2,FALSE)</f>
        <v>7099260</v>
      </c>
      <c r="C42" s="32">
        <f>VLOOKUP($A42,Costdrivere!$A$3:$G$50,3,FALSE)</f>
        <v>5621580</v>
      </c>
      <c r="D42" s="32">
        <f>VLOOKUP($A42,Costdrivere!$A$3:$G$50,4,FALSE)</f>
        <v>892518</v>
      </c>
      <c r="E42" s="32">
        <f>VLOOKUP($A42,Costdrivere!$A$3:$G$50,5,FALSE)</f>
        <v>538318.43999999994</v>
      </c>
      <c r="F42" s="152">
        <f>VLOOKUP($A42,Costdrivere!$A$3:$G$50,6,FALSE)</f>
        <v>21940099.989483118</v>
      </c>
      <c r="G42" s="37">
        <f>VLOOKUP($A42,Costdrivere!$A$3:$G$50,7,FALSE)</f>
        <v>1872082.3</v>
      </c>
      <c r="H42" s="156">
        <v>33.511763928440224</v>
      </c>
      <c r="I42" s="41">
        <f t="shared" si="0"/>
        <v>37963858.729483113</v>
      </c>
      <c r="J42" s="169">
        <f t="shared" si="10"/>
        <v>45429562.823352851</v>
      </c>
      <c r="K42" s="41">
        <f>I42+'Potentialer og krav'!$J42</f>
        <v>37963858.729483113</v>
      </c>
      <c r="L42" s="152">
        <f t="shared" si="11"/>
        <v>45429562.823352851</v>
      </c>
      <c r="M42" s="41">
        <f>K42+(0.3*'Potentialer og krav'!$G42)</f>
        <v>47705826.860472754</v>
      </c>
      <c r="N42" s="169">
        <f>L42+(0.3*'Potentialer og krav'!$G42)</f>
        <v>55171530.954342492</v>
      </c>
      <c r="O42" s="189">
        <v>27581000</v>
      </c>
      <c r="P42" s="169">
        <f t="shared" si="12"/>
        <v>27718904.999999996</v>
      </c>
      <c r="R42" s="198">
        <f t="shared" si="13"/>
        <v>0.18700048513473799</v>
      </c>
      <c r="S42" s="208">
        <f t="shared" si="14"/>
        <v>0.14807714990347451</v>
      </c>
      <c r="T42" s="199">
        <f t="shared" si="15"/>
        <v>2.3509675514276993E-2</v>
      </c>
      <c r="U42" s="208">
        <f t="shared" si="16"/>
        <v>1.4179760909866005E-2</v>
      </c>
      <c r="V42" s="208">
        <f t="shared" si="17"/>
        <v>0.57792070468443235</v>
      </c>
      <c r="W42" s="200">
        <f t="shared" si="18"/>
        <v>4.9312223853212322E-2</v>
      </c>
      <c r="X42" s="12"/>
      <c r="Y42" s="217">
        <f t="shared" si="2"/>
        <v>0.25982238450222728</v>
      </c>
      <c r="AA42" s="198">
        <f t="shared" si="3"/>
        <v>6.0352730552262035E-2</v>
      </c>
      <c r="AB42" s="199">
        <f t="shared" si="4"/>
        <v>1.7027727112325503E-2</v>
      </c>
      <c r="AC42" s="199">
        <f t="shared" si="5"/>
        <v>-2.3960886619769951E-3</v>
      </c>
      <c r="AD42" s="199">
        <f t="shared" si="6"/>
        <v>-5.8682873589660043E-3</v>
      </c>
      <c r="AE42" s="199">
        <f t="shared" si="7"/>
        <v>-9.1507871231532367E-2</v>
      </c>
      <c r="AF42" s="200">
        <f t="shared" si="8"/>
        <v>2.2391789587787675E-2</v>
      </c>
      <c r="AH42" s="198">
        <f t="shared" si="9"/>
        <v>0.25982238450222728</v>
      </c>
      <c r="AI42" s="199">
        <f t="shared" si="19"/>
        <v>5.9234844625872696E-2</v>
      </c>
      <c r="AJ42" s="200">
        <f t="shared" si="20"/>
        <v>0</v>
      </c>
    </row>
    <row r="43" spans="1:36" x14ac:dyDescent="0.3">
      <c r="A43" s="25" t="s">
        <v>50</v>
      </c>
      <c r="B43" s="48">
        <f>VLOOKUP($A43,Costdrivere!$A$3:$G$50,2,FALSE)</f>
        <v>3465650</v>
      </c>
      <c r="C43" s="32">
        <f>VLOOKUP($A43,Costdrivere!$A$3:$G$50,3,FALSE)</f>
        <v>1486966</v>
      </c>
      <c r="D43" s="32">
        <f>VLOOKUP($A43,Costdrivere!$A$3:$G$50,4,FALSE)</f>
        <v>108184</v>
      </c>
      <c r="E43" s="32">
        <f>VLOOKUP($A43,Costdrivere!$A$3:$G$50,5,FALSE)</f>
        <v>5630.04</v>
      </c>
      <c r="F43" s="152">
        <f>VLOOKUP($A43,Costdrivere!$A$3:$G$50,6,FALSE)</f>
        <v>5071705.4064911082</v>
      </c>
      <c r="G43" s="37">
        <f>VLOOKUP($A43,Costdrivere!$A$3:$G$50,7,FALSE)</f>
        <v>826843.6</v>
      </c>
      <c r="H43" s="156">
        <v>37.595660880447227</v>
      </c>
      <c r="I43" s="41">
        <f t="shared" si="0"/>
        <v>10964979.046491107</v>
      </c>
      <c r="J43" s="169">
        <f t="shared" si="10"/>
        <v>13703412.293689892</v>
      </c>
      <c r="K43" s="41">
        <f>I43+'Potentialer og krav'!$J43</f>
        <v>10964979.046491107</v>
      </c>
      <c r="L43" s="152">
        <f t="shared" si="11"/>
        <v>13703412.293689892</v>
      </c>
      <c r="M43" s="41">
        <f>K43+(0.3*'Potentialer og krav'!$G43)</f>
        <v>14671715.988582227</v>
      </c>
      <c r="N43" s="169">
        <f>L43+(0.3*'Potentialer og krav'!$G43)</f>
        <v>17410149.23578101</v>
      </c>
      <c r="O43" s="189">
        <v>10433840</v>
      </c>
      <c r="P43" s="169">
        <f t="shared" si="12"/>
        <v>10486009.199999999</v>
      </c>
      <c r="R43" s="198">
        <f t="shared" si="13"/>
        <v>0.31606535546541142</v>
      </c>
      <c r="S43" s="208">
        <f t="shared" si="14"/>
        <v>0.13561047346240418</v>
      </c>
      <c r="T43" s="199">
        <f t="shared" si="15"/>
        <v>9.8663207235785699E-3</v>
      </c>
      <c r="U43" s="208">
        <f t="shared" si="16"/>
        <v>5.134565215427077E-4</v>
      </c>
      <c r="V43" s="208">
        <f t="shared" si="17"/>
        <v>0.46253671666742491</v>
      </c>
      <c r="W43" s="200">
        <f t="shared" si="18"/>
        <v>7.5407677159638295E-2</v>
      </c>
      <c r="X43" s="12"/>
      <c r="Y43" s="217">
        <f t="shared" si="2"/>
        <v>0.4013393533486283</v>
      </c>
      <c r="AA43" s="198">
        <f t="shared" si="3"/>
        <v>-6.8712139778411396E-2</v>
      </c>
      <c r="AB43" s="199">
        <f t="shared" si="4"/>
        <v>2.9494403553395832E-2</v>
      </c>
      <c r="AC43" s="199">
        <f t="shared" si="5"/>
        <v>1.1247266128721428E-2</v>
      </c>
      <c r="AD43" s="199">
        <f t="shared" si="6"/>
        <v>7.7980170293572935E-3</v>
      </c>
      <c r="AE43" s="199">
        <f t="shared" si="7"/>
        <v>2.3876116785475077E-2</v>
      </c>
      <c r="AF43" s="200">
        <f t="shared" si="8"/>
        <v>-3.7036637186382976E-3</v>
      </c>
      <c r="AH43" s="198">
        <f t="shared" si="9"/>
        <v>0.4013393533486283</v>
      </c>
      <c r="AI43" s="199">
        <f t="shared" si="19"/>
        <v>-8.228212422052833E-2</v>
      </c>
      <c r="AJ43" s="200">
        <f t="shared" si="20"/>
        <v>0</v>
      </c>
    </row>
    <row r="44" spans="1:36" x14ac:dyDescent="0.3">
      <c r="A44" s="25" t="s">
        <v>51</v>
      </c>
      <c r="B44" s="48">
        <f>VLOOKUP($A44,Costdrivere!$A$3:$G$50,2,FALSE)</f>
        <v>295920</v>
      </c>
      <c r="C44" s="32">
        <f>VLOOKUP($A44,Costdrivere!$A$3:$G$50,3,FALSE)</f>
        <v>676970</v>
      </c>
      <c r="D44" s="32">
        <f>VLOOKUP($A44,Costdrivere!$A$3:$G$50,4,FALSE)</f>
        <v>67615</v>
      </c>
      <c r="E44" s="32">
        <f>VLOOKUP($A44,Costdrivere!$A$3:$G$50,5,FALSE)</f>
        <v>72180</v>
      </c>
      <c r="F44" s="152">
        <f>VLOOKUP($A44,Costdrivere!$A$3:$G$50,6,FALSE)</f>
        <v>45958572.518038787</v>
      </c>
      <c r="G44" s="37">
        <f>VLOOKUP($A44,Costdrivere!$A$3:$G$50,7,FALSE)</f>
        <v>1243</v>
      </c>
      <c r="H44" s="156">
        <v>36.309693580522399</v>
      </c>
      <c r="I44" s="41">
        <f t="shared" si="0"/>
        <v>47072500.518038787</v>
      </c>
      <c r="J44" s="169">
        <f t="shared" si="10"/>
        <v>58041617.802654132</v>
      </c>
      <c r="K44" s="41">
        <f>I44+'Potentialer og krav'!$J44</f>
        <v>53760660.518038787</v>
      </c>
      <c r="L44" s="152">
        <f t="shared" si="11"/>
        <v>66288293.085481718</v>
      </c>
      <c r="M44" s="41">
        <f>K44+(0.3*'Potentialer og krav'!$G44)</f>
        <v>70475117.93439059</v>
      </c>
      <c r="N44" s="169">
        <f>L44+(0.3*'Potentialer og krav'!$G44)</f>
        <v>83002750.501833513</v>
      </c>
      <c r="O44" s="189">
        <v>54998294</v>
      </c>
      <c r="P44" s="169">
        <f t="shared" si="12"/>
        <v>55273285.469999991</v>
      </c>
      <c r="R44" s="198">
        <f t="shared" si="13"/>
        <v>6.286472924602755E-3</v>
      </c>
      <c r="S44" s="208">
        <f t="shared" si="14"/>
        <v>1.4381432737795104E-2</v>
      </c>
      <c r="T44" s="199">
        <f t="shared" si="15"/>
        <v>1.4364012800656099E-3</v>
      </c>
      <c r="U44" s="208">
        <f t="shared" si="16"/>
        <v>1.5333793447479956E-3</v>
      </c>
      <c r="V44" s="208">
        <f t="shared" si="17"/>
        <v>0.9763359076373449</v>
      </c>
      <c r="W44" s="200">
        <f t="shared" si="18"/>
        <v>2.6406075443637554E-5</v>
      </c>
      <c r="X44" s="12"/>
      <c r="Y44" s="217">
        <f t="shared" si="2"/>
        <v>7.7492802801120029E-3</v>
      </c>
      <c r="AA44" s="198">
        <f t="shared" si="3"/>
        <v>0.24106674276239728</v>
      </c>
      <c r="AB44" s="199">
        <f t="shared" si="4"/>
        <v>0.15072344427800491</v>
      </c>
      <c r="AC44" s="199">
        <f t="shared" si="5"/>
        <v>1.9677185572234388E-2</v>
      </c>
      <c r="AD44" s="199">
        <f t="shared" si="6"/>
        <v>6.7780942061520053E-3</v>
      </c>
      <c r="AE44" s="199">
        <f t="shared" si="7"/>
        <v>-0.48992307418444492</v>
      </c>
      <c r="AF44" s="200">
        <f t="shared" si="8"/>
        <v>7.1677607365556353E-2</v>
      </c>
      <c r="AH44" s="198">
        <f t="shared" si="9"/>
        <v>7.7492802801120029E-3</v>
      </c>
      <c r="AI44" s="199">
        <f t="shared" si="19"/>
        <v>0.31130794884798796</v>
      </c>
      <c r="AJ44" s="200">
        <f t="shared" si="20"/>
        <v>0</v>
      </c>
    </row>
    <row r="45" spans="1:36" ht="15" x14ac:dyDescent="0.25">
      <c r="A45" s="25" t="s">
        <v>40</v>
      </c>
      <c r="B45" s="48">
        <f>VLOOKUP($A45,Costdrivere!$A$3:$G$50,2,FALSE)</f>
        <v>4044240.0000000005</v>
      </c>
      <c r="C45" s="32">
        <f>VLOOKUP($A45,Costdrivere!$A$3:$G$50,3,FALSE)</f>
        <v>5121748</v>
      </c>
      <c r="D45" s="32">
        <f>VLOOKUP($A45,Costdrivere!$A$3:$G$50,4,FALSE)</f>
        <v>743765</v>
      </c>
      <c r="E45" s="32">
        <f>VLOOKUP($A45,Costdrivere!$A$3:$G$50,5,FALSE)</f>
        <v>150158.46</v>
      </c>
      <c r="F45" s="152">
        <f>VLOOKUP($A45,Costdrivere!$A$3:$G$50,6,FALSE)</f>
        <v>13037796.348940277</v>
      </c>
      <c r="G45" s="37">
        <f>VLOOKUP($A45,Costdrivere!$A$3:$G$50,7,FALSE)</f>
        <v>2532861.1</v>
      </c>
      <c r="H45" s="156">
        <v>40.898493958815145</v>
      </c>
      <c r="I45" s="41">
        <f t="shared" si="0"/>
        <v>25630568.908940278</v>
      </c>
      <c r="J45" s="169">
        <f t="shared" si="10"/>
        <v>33132134.619586311</v>
      </c>
      <c r="K45" s="41">
        <f>I45+'Potentialer og krav'!$J45</f>
        <v>25630568.908940278</v>
      </c>
      <c r="L45" s="152">
        <f t="shared" si="11"/>
        <v>33132134.619586311</v>
      </c>
      <c r="M45" s="41">
        <f>K45+(0.3*'Potentialer og krav'!$G45)</f>
        <v>33110481.996933777</v>
      </c>
      <c r="N45" s="169">
        <f>L45+(0.3*'Potentialer og krav'!$G45)</f>
        <v>40612047.707579814</v>
      </c>
      <c r="O45" s="268">
        <v>27774920</v>
      </c>
      <c r="P45" s="169">
        <f t="shared" si="12"/>
        <v>27913794.599999998</v>
      </c>
      <c r="R45" s="198">
        <f t="shared" si="13"/>
        <v>0.1577897086236473</v>
      </c>
      <c r="S45" s="208">
        <f t="shared" si="14"/>
        <v>0.19982966504553348</v>
      </c>
      <c r="T45" s="199">
        <f t="shared" si="15"/>
        <v>2.9018669177513459E-2</v>
      </c>
      <c r="U45" s="208">
        <f t="shared" si="16"/>
        <v>5.8585691380273171E-3</v>
      </c>
      <c r="V45" s="208">
        <f t="shared" si="17"/>
        <v>0.50868150431075776</v>
      </c>
      <c r="W45" s="200">
        <f t="shared" si="18"/>
        <v>9.8821883704520691E-2</v>
      </c>
      <c r="X45" s="12"/>
      <c r="Y45" s="217">
        <f t="shared" si="2"/>
        <v>0.28563026150568149</v>
      </c>
      <c r="AA45" s="198">
        <f t="shared" si="3"/>
        <v>8.9563507063352726E-2</v>
      </c>
      <c r="AB45" s="199">
        <f t="shared" si="4"/>
        <v>-3.4724788029733472E-2</v>
      </c>
      <c r="AC45" s="199">
        <f t="shared" si="5"/>
        <v>-7.9050823252134611E-3</v>
      </c>
      <c r="AD45" s="199">
        <f t="shared" si="6"/>
        <v>2.4529044128726836E-3</v>
      </c>
      <c r="AE45" s="199">
        <f t="shared" si="7"/>
        <v>-2.2268670857857775E-2</v>
      </c>
      <c r="AF45" s="200">
        <f t="shared" si="8"/>
        <v>-2.7117870263520694E-2</v>
      </c>
      <c r="AH45" s="198">
        <f t="shared" si="9"/>
        <v>0.28563026150568149</v>
      </c>
      <c r="AI45" s="199">
        <f t="shared" si="19"/>
        <v>3.342696762241848E-2</v>
      </c>
      <c r="AJ45" s="200">
        <f t="shared" si="20"/>
        <v>0</v>
      </c>
    </row>
    <row r="46" spans="1:36" ht="15" x14ac:dyDescent="0.25">
      <c r="A46" s="25" t="s">
        <v>41</v>
      </c>
      <c r="B46" s="48">
        <f>VLOOKUP($A46,Costdrivere!$A$3:$G$50,2,FALSE)</f>
        <v>32214640</v>
      </c>
      <c r="C46" s="32">
        <f>VLOOKUP($A46,Costdrivere!$A$3:$G$50,3,FALSE)</f>
        <v>15983825</v>
      </c>
      <c r="D46" s="32">
        <f>VLOOKUP($A46,Costdrivere!$A$3:$G$50,4,FALSE)</f>
        <v>2055496</v>
      </c>
      <c r="E46" s="32">
        <f>VLOOKUP($A46,Costdrivere!$A$3:$G$50,5,FALSE)</f>
        <v>391263.72</v>
      </c>
      <c r="F46" s="152">
        <f>VLOOKUP($A46,Costdrivere!$A$3:$G$50,6,FALSE)</f>
        <v>78943951.521482691</v>
      </c>
      <c r="G46" s="37">
        <f>VLOOKUP($A46,Costdrivere!$A$3:$G$50,7,FALSE)</f>
        <v>9156683.7999999989</v>
      </c>
      <c r="H46" s="156">
        <v>37.876900207822771</v>
      </c>
      <c r="I46" s="41">
        <f t="shared" si="0"/>
        <v>138745860.04148269</v>
      </c>
      <c r="J46" s="169">
        <f t="shared" si="10"/>
        <v>173904019.72708553</v>
      </c>
      <c r="K46" s="41">
        <f>I46+'Potentialer og krav'!$J46</f>
        <v>138745860.04148269</v>
      </c>
      <c r="L46" s="152">
        <f t="shared" si="11"/>
        <v>173904019.72708553</v>
      </c>
      <c r="M46" s="41">
        <f>K46+(0.3*'Potentialer og krav'!$G46)</f>
        <v>177492093.3314907</v>
      </c>
      <c r="N46" s="169">
        <f>L46+(0.3*'Potentialer og krav'!$G46)</f>
        <v>212650253.01709354</v>
      </c>
      <c r="O46" s="189">
        <v>125891519</v>
      </c>
      <c r="P46" s="169">
        <f t="shared" si="12"/>
        <v>126520976.59499998</v>
      </c>
      <c r="R46" s="198">
        <f t="shared" si="13"/>
        <v>0.23218451340002766</v>
      </c>
      <c r="S46" s="208">
        <f t="shared" si="14"/>
        <v>0.11520217608814493</v>
      </c>
      <c r="T46" s="199">
        <f t="shared" si="15"/>
        <v>1.481482762358056E-2</v>
      </c>
      <c r="U46" s="208">
        <f t="shared" si="16"/>
        <v>2.820002844647175E-3</v>
      </c>
      <c r="V46" s="208">
        <f t="shared" si="17"/>
        <v>0.56898239340532231</v>
      </c>
      <c r="W46" s="200">
        <f t="shared" si="18"/>
        <v>6.5996086638277385E-2</v>
      </c>
      <c r="X46" s="12"/>
      <c r="Y46" s="217">
        <f t="shared" si="2"/>
        <v>0.31299542766188559</v>
      </c>
      <c r="AA46" s="198">
        <f t="shared" si="3"/>
        <v>1.5168702286972369E-2</v>
      </c>
      <c r="AB46" s="199">
        <f t="shared" si="4"/>
        <v>4.9902700927655086E-2</v>
      </c>
      <c r="AC46" s="199">
        <f t="shared" si="5"/>
        <v>6.2987592287194385E-3</v>
      </c>
      <c r="AD46" s="199">
        <f t="shared" si="6"/>
        <v>5.4914707062528254E-3</v>
      </c>
      <c r="AE46" s="199">
        <f t="shared" si="7"/>
        <v>-8.2569559952422322E-2</v>
      </c>
      <c r="AF46" s="200">
        <f t="shared" si="8"/>
        <v>5.7079268027226127E-3</v>
      </c>
      <c r="AH46" s="198">
        <f t="shared" si="9"/>
        <v>0.31299542766188559</v>
      </c>
      <c r="AI46" s="199">
        <f t="shared" si="19"/>
        <v>6.0618014662143782E-3</v>
      </c>
      <c r="AJ46" s="200">
        <f t="shared" si="20"/>
        <v>0</v>
      </c>
    </row>
    <row r="47" spans="1:36" ht="15" x14ac:dyDescent="0.25">
      <c r="A47" s="25" t="s">
        <v>42</v>
      </c>
      <c r="B47" s="48">
        <f>VLOOKUP($A47,Costdrivere!$A$3:$G$50,2,FALSE)</f>
        <v>5317820</v>
      </c>
      <c r="C47" s="32">
        <f>VLOOKUP($A47,Costdrivere!$A$3:$G$50,3,FALSE)</f>
        <v>2334872</v>
      </c>
      <c r="D47" s="32">
        <f>VLOOKUP($A47,Costdrivere!$A$3:$G$50,4,FALSE)</f>
        <v>500351</v>
      </c>
      <c r="E47" s="32">
        <f>VLOOKUP($A47,Costdrivere!$A$3:$G$50,5,FALSE)</f>
        <v>363666.89999999997</v>
      </c>
      <c r="F47" s="152">
        <f>VLOOKUP($A47,Costdrivere!$A$3:$G$50,6,FALSE)</f>
        <v>22059378.993455194</v>
      </c>
      <c r="G47" s="37">
        <f>VLOOKUP($A47,Costdrivere!$A$3:$G$50,7,FALSE)</f>
        <v>2112229.9</v>
      </c>
      <c r="H47" s="156">
        <v>30.51835827024032</v>
      </c>
      <c r="I47" s="41">
        <f t="shared" si="0"/>
        <v>32688318.793455191</v>
      </c>
      <c r="J47" s="169">
        <f t="shared" si="10"/>
        <v>37844530.31629584</v>
      </c>
      <c r="K47" s="41">
        <f>I47+'Potentialer og krav'!$J47</f>
        <v>32730846.193455189</v>
      </c>
      <c r="L47" s="152">
        <f t="shared" si="11"/>
        <v>37893765.931279361</v>
      </c>
      <c r="M47" s="41">
        <f>K47+(0.3*'Potentialer og krav'!$G47)</f>
        <v>42979846.593391806</v>
      </c>
      <c r="N47" s="169">
        <f>L47+(0.3*'Potentialer og krav'!$G47)</f>
        <v>48142766.331215978</v>
      </c>
      <c r="O47" s="189">
        <v>32404308</v>
      </c>
      <c r="P47" s="169">
        <f t="shared" si="12"/>
        <v>32566329.539999995</v>
      </c>
      <c r="R47" s="198">
        <f t="shared" si="13"/>
        <v>0.16268257886253626</v>
      </c>
      <c r="S47" s="208">
        <f t="shared" si="14"/>
        <v>7.1428329329298046E-2</v>
      </c>
      <c r="T47" s="199">
        <f t="shared" si="15"/>
        <v>1.5306721742452524E-2</v>
      </c>
      <c r="U47" s="208">
        <f t="shared" si="16"/>
        <v>1.1125286139610608E-2</v>
      </c>
      <c r="V47" s="208">
        <f t="shared" si="17"/>
        <v>0.67483981457840814</v>
      </c>
      <c r="W47" s="200">
        <f t="shared" si="18"/>
        <v>6.4617269347694559E-2</v>
      </c>
      <c r="X47" s="12"/>
      <c r="Y47" s="217">
        <f t="shared" si="2"/>
        <v>0.24260656995268332</v>
      </c>
      <c r="AA47" s="198">
        <f t="shared" si="3"/>
        <v>8.4670636824463769E-2</v>
      </c>
      <c r="AB47" s="199">
        <f t="shared" si="4"/>
        <v>9.3676547686501965E-2</v>
      </c>
      <c r="AC47" s="199">
        <f t="shared" si="5"/>
        <v>5.8068651098474745E-3</v>
      </c>
      <c r="AD47" s="199">
        <f t="shared" si="6"/>
        <v>-2.8138125887106069E-3</v>
      </c>
      <c r="AE47" s="199">
        <f t="shared" si="7"/>
        <v>-0.18842698112550815</v>
      </c>
      <c r="AF47" s="200">
        <f t="shared" si="8"/>
        <v>7.0867440933054388E-3</v>
      </c>
      <c r="AH47" s="198">
        <f t="shared" si="9"/>
        <v>0.24260656995268332</v>
      </c>
      <c r="AI47" s="199">
        <f t="shared" si="19"/>
        <v>7.6450659175416658E-2</v>
      </c>
      <c r="AJ47" s="200">
        <f t="shared" si="20"/>
        <v>0</v>
      </c>
    </row>
    <row r="48" spans="1:36" ht="15" x14ac:dyDescent="0.25">
      <c r="A48" s="25" t="s">
        <v>52</v>
      </c>
      <c r="B48" s="48">
        <f>VLOOKUP($A48,Costdrivere!$A$3:$G$50,2,FALSE)</f>
        <v>4203160.0000000009</v>
      </c>
      <c r="C48" s="32">
        <f>VLOOKUP($A48,Costdrivere!$A$3:$G$50,3,FALSE)</f>
        <v>1298868</v>
      </c>
      <c r="D48" s="32">
        <f>VLOOKUP($A48,Costdrivere!$A$3:$G$50,4,FALSE)</f>
        <v>1041271</v>
      </c>
      <c r="E48" s="32">
        <f>VLOOKUP($A48,Costdrivere!$A$3:$G$50,5,FALSE)</f>
        <v>515052.42</v>
      </c>
      <c r="F48" s="152">
        <f>VLOOKUP($A48,Costdrivere!$A$3:$G$50,6,FALSE)</f>
        <v>15089110.578769254</v>
      </c>
      <c r="G48" s="37">
        <f>VLOOKUP($A48,Costdrivere!$A$3:$G$50,7,FALSE)</f>
        <v>548660.19999999995</v>
      </c>
      <c r="H48" s="156">
        <v>34.509130459597372</v>
      </c>
      <c r="I48" s="41">
        <f t="shared" si="0"/>
        <v>22696122.198769253</v>
      </c>
      <c r="J48" s="169">
        <f t="shared" si="10"/>
        <v>27453653.737759199</v>
      </c>
      <c r="K48" s="41">
        <f>I48+'Potentialer og krav'!$J48</f>
        <v>22696122.198769253</v>
      </c>
      <c r="L48" s="152">
        <f t="shared" si="11"/>
        <v>27453653.737759199</v>
      </c>
      <c r="M48" s="41">
        <f>K48+(0.3*'Potentialer og krav'!$G48)</f>
        <v>30406448.657500371</v>
      </c>
      <c r="N48" s="169">
        <f>L48+(0.3*'Potentialer og krav'!$G48)</f>
        <v>35163980.196490318</v>
      </c>
      <c r="O48" s="189">
        <v>22612292</v>
      </c>
      <c r="P48" s="169">
        <f t="shared" si="12"/>
        <v>22725353.459999997</v>
      </c>
      <c r="R48" s="198">
        <f t="shared" si="13"/>
        <v>0.18519286965365064</v>
      </c>
      <c r="S48" s="208">
        <f t="shared" si="14"/>
        <v>5.7228630892304323E-2</v>
      </c>
      <c r="T48" s="199">
        <f t="shared" si="15"/>
        <v>4.587880655914274E-2</v>
      </c>
      <c r="U48" s="208">
        <f t="shared" si="16"/>
        <v>2.2693410596279297E-2</v>
      </c>
      <c r="V48" s="208">
        <f t="shared" si="17"/>
        <v>0.66483209980194302</v>
      </c>
      <c r="W48" s="200">
        <f t="shared" si="18"/>
        <v>2.4174182496680085E-2</v>
      </c>
      <c r="X48" s="12"/>
      <c r="Y48" s="217">
        <f t="shared" si="2"/>
        <v>0.25524585870947347</v>
      </c>
      <c r="AA48" s="198">
        <f t="shared" si="3"/>
        <v>6.2160346033349384E-2</v>
      </c>
      <c r="AB48" s="199">
        <f t="shared" si="4"/>
        <v>0.10787624612349569</v>
      </c>
      <c r="AC48" s="199">
        <f t="shared" si="5"/>
        <v>-2.4765219706842742E-2</v>
      </c>
      <c r="AD48" s="199">
        <f t="shared" si="6"/>
        <v>-1.4381937045379297E-2</v>
      </c>
      <c r="AE48" s="199">
        <f t="shared" si="7"/>
        <v>-0.17841926634904304</v>
      </c>
      <c r="AF48" s="200">
        <f t="shared" si="8"/>
        <v>4.7529830944319909E-2</v>
      </c>
      <c r="AH48" s="198">
        <f t="shared" si="9"/>
        <v>0.25524585870947347</v>
      </c>
      <c r="AI48" s="199">
        <f t="shared" si="19"/>
        <v>6.3811370418626501E-2</v>
      </c>
      <c r="AJ48" s="200">
        <f t="shared" si="20"/>
        <v>0</v>
      </c>
    </row>
    <row r="49" spans="1:36" ht="15" x14ac:dyDescent="0.25">
      <c r="A49" s="25" t="s">
        <v>43</v>
      </c>
      <c r="B49" s="48">
        <f>VLOOKUP($A49,Costdrivere!$A$3:$G$50,2,FALSE)</f>
        <v>17909060</v>
      </c>
      <c r="C49" s="32">
        <f>VLOOKUP($A49,Costdrivere!$A$3:$G$50,3,FALSE)</f>
        <v>9062618</v>
      </c>
      <c r="D49" s="32">
        <f>VLOOKUP($A49,Costdrivere!$A$3:$G$50,4,FALSE)</f>
        <v>2555847</v>
      </c>
      <c r="E49" s="32">
        <f>VLOOKUP($A49,Costdrivere!$A$3:$G$50,5,FALSE)</f>
        <v>609223.26</v>
      </c>
      <c r="F49" s="152">
        <f>VLOOKUP($A49,Costdrivere!$A$3:$G$50,6,FALSE)</f>
        <v>43109286.711240843</v>
      </c>
      <c r="G49" s="37">
        <f>VLOOKUP($A49,Costdrivere!$A$3:$G$50,7,FALSE)</f>
        <v>3517565.6999999997</v>
      </c>
      <c r="H49" s="156">
        <v>31.854633317277955</v>
      </c>
      <c r="I49" s="41">
        <f t="shared" si="0"/>
        <v>76763600.671240851</v>
      </c>
      <c r="J49" s="169">
        <f t="shared" si="10"/>
        <v>90205692.680266574</v>
      </c>
      <c r="K49" s="41">
        <f>I49+'Potentialer og krav'!$J49</f>
        <v>90018320.671240851</v>
      </c>
      <c r="L49" s="152">
        <f t="shared" si="11"/>
        <v>105781449.78946805</v>
      </c>
      <c r="M49" s="41">
        <f>K49+(0.3*'Potentialer og krav'!$G49)</f>
        <v>113938925.08005372</v>
      </c>
      <c r="N49" s="169">
        <f>L49+(0.3*'Potentialer og krav'!$G49)</f>
        <v>129702054.19828092</v>
      </c>
      <c r="O49" s="189">
        <v>72535279</v>
      </c>
      <c r="P49" s="169">
        <f t="shared" si="12"/>
        <v>72897955.394999996</v>
      </c>
      <c r="R49" s="198">
        <f t="shared" si="13"/>
        <v>0.23330145854804268</v>
      </c>
      <c r="S49" s="208">
        <f t="shared" si="14"/>
        <v>0.11805879245832811</v>
      </c>
      <c r="T49" s="199">
        <f t="shared" si="15"/>
        <v>3.3295037982207849E-2</v>
      </c>
      <c r="U49" s="208">
        <f t="shared" si="16"/>
        <v>7.9363559639307382E-3</v>
      </c>
      <c r="V49" s="208">
        <f t="shared" si="17"/>
        <v>0.56158500036843051</v>
      </c>
      <c r="W49" s="200">
        <f t="shared" si="18"/>
        <v>4.5823354679060027E-2</v>
      </c>
      <c r="X49" s="12"/>
      <c r="Y49" s="217">
        <f t="shared" si="2"/>
        <v>0.31241985120931054</v>
      </c>
      <c r="AA49" s="198">
        <f t="shared" si="3"/>
        <v>1.4051757138957344E-2</v>
      </c>
      <c r="AB49" s="199">
        <f t="shared" si="4"/>
        <v>4.7046084557471904E-2</v>
      </c>
      <c r="AC49" s="199">
        <f t="shared" si="5"/>
        <v>-1.2181451129907851E-2</v>
      </c>
      <c r="AD49" s="199">
        <f t="shared" si="6"/>
        <v>3.7511758696926259E-4</v>
      </c>
      <c r="AE49" s="199">
        <f t="shared" si="7"/>
        <v>-7.5172166915530525E-2</v>
      </c>
      <c r="AF49" s="200">
        <f t="shared" si="8"/>
        <v>2.588065876193997E-2</v>
      </c>
      <c r="AH49" s="198">
        <f t="shared" si="9"/>
        <v>0.31241985120931054</v>
      </c>
      <c r="AI49" s="199">
        <f t="shared" si="19"/>
        <v>6.6373779187894333E-3</v>
      </c>
      <c r="AJ49" s="200">
        <f t="shared" si="20"/>
        <v>0</v>
      </c>
    </row>
    <row r="50" spans="1:36" ht="15.75" thickBot="1" x14ac:dyDescent="0.3">
      <c r="A50" s="26" t="s">
        <v>45</v>
      </c>
      <c r="B50" s="43">
        <f>VLOOKUP($A50,Costdrivere!$A$3:$G$50,2,FALSE)</f>
        <v>44935460</v>
      </c>
      <c r="C50" s="39">
        <f>VLOOKUP($A50,Costdrivere!$A$3:$G$50,3,FALSE)</f>
        <v>7948157</v>
      </c>
      <c r="D50" s="39">
        <f>VLOOKUP($A50,Costdrivere!$A$3:$G$50,4,FALSE)</f>
        <v>4205653</v>
      </c>
      <c r="E50" s="39">
        <f>VLOOKUP($A50,Costdrivere!$A$3:$G$50,5,FALSE)</f>
        <v>950779.0199999999</v>
      </c>
      <c r="F50" s="153">
        <f>VLOOKUP($A50,Costdrivere!$A$3:$G$50,6,FALSE)</f>
        <v>86658417.972450018</v>
      </c>
      <c r="G50" s="45">
        <f>VLOOKUP($A50,Costdrivere!$A$3:$G$50,7,FALSE)</f>
        <v>9738034.9000000004</v>
      </c>
      <c r="H50" s="157">
        <v>37.526826070710399</v>
      </c>
      <c r="I50" s="47">
        <f t="shared" si="0"/>
        <v>154436501.89245003</v>
      </c>
      <c r="J50" s="170">
        <f t="shared" si="10"/>
        <v>192867830.63148433</v>
      </c>
      <c r="K50" s="47">
        <f>I50+'Potentialer og krav'!$J50</f>
        <v>154436501.89245003</v>
      </c>
      <c r="L50" s="153">
        <f t="shared" si="11"/>
        <v>192867830.63148433</v>
      </c>
      <c r="M50" s="47">
        <f>K50+(0.3*'Potentialer og krav'!$G50)</f>
        <v>202668169.9531624</v>
      </c>
      <c r="N50" s="170">
        <f>L50+(0.3*'Potentialer og krav'!$G50)</f>
        <v>241099498.6921967</v>
      </c>
      <c r="O50" s="190">
        <v>131477484</v>
      </c>
      <c r="P50" s="170">
        <f t="shared" si="12"/>
        <v>132134871.41999999</v>
      </c>
      <c r="R50" s="204">
        <f t="shared" si="13"/>
        <v>0.29096398486993164</v>
      </c>
      <c r="S50" s="209">
        <f t="shared" si="14"/>
        <v>5.146553374755352E-2</v>
      </c>
      <c r="T50" s="205">
        <f t="shared" si="15"/>
        <v>2.72322472243565E-2</v>
      </c>
      <c r="U50" s="209">
        <f t="shared" si="16"/>
        <v>6.1564397558170848E-3</v>
      </c>
      <c r="V50" s="209">
        <f t="shared" si="17"/>
        <v>0.56112652715223477</v>
      </c>
      <c r="W50" s="206">
        <f t="shared" si="18"/>
        <v>6.3055267250106406E-2</v>
      </c>
      <c r="X50" s="12"/>
      <c r="Y50" s="218">
        <f t="shared" si="2"/>
        <v>0.38125149934439456</v>
      </c>
      <c r="AA50" s="204">
        <f t="shared" si="3"/>
        <v>-4.3610769182931608E-2</v>
      </c>
      <c r="AB50" s="205">
        <f t="shared" si="4"/>
        <v>0.11363934326824648</v>
      </c>
      <c r="AC50" s="205">
        <f t="shared" si="5"/>
        <v>-6.1186603720565017E-3</v>
      </c>
      <c r="AD50" s="205">
        <f t="shared" si="6"/>
        <v>2.1550337950829159E-3</v>
      </c>
      <c r="AE50" s="205">
        <f t="shared" si="7"/>
        <v>-7.4713693699334782E-2</v>
      </c>
      <c r="AF50" s="206">
        <f t="shared" si="8"/>
        <v>8.6487461908935914E-3</v>
      </c>
      <c r="AH50" s="204">
        <f t="shared" si="9"/>
        <v>0.38125149934439456</v>
      </c>
      <c r="AI50" s="205">
        <f t="shared" si="19"/>
        <v>-6.2194270216294589E-2</v>
      </c>
      <c r="AJ50" s="206">
        <f t="shared" si="20"/>
        <v>0</v>
      </c>
    </row>
    <row r="51" spans="1:36" ht="15.75" thickBot="1" x14ac:dyDescent="0.3"/>
    <row r="52" spans="1:36" x14ac:dyDescent="0.3">
      <c r="Q52" s="219" t="s">
        <v>73</v>
      </c>
      <c r="R52" s="220">
        <v>0.24735321568700003</v>
      </c>
      <c r="S52" s="220">
        <v>0.16510487701580001</v>
      </c>
      <c r="T52" s="220">
        <v>2.1113586852299998E-2</v>
      </c>
      <c r="U52" s="220">
        <v>8.3114735509000007E-3</v>
      </c>
      <c r="V52" s="220">
        <v>0.48641283345289998</v>
      </c>
      <c r="W52" s="220">
        <v>7.1704013440999997E-2</v>
      </c>
      <c r="X52" s="220"/>
      <c r="Y52" s="221">
        <v>0.31905722912809997</v>
      </c>
    </row>
    <row r="53" spans="1:36" ht="15" x14ac:dyDescent="0.25">
      <c r="Q53" s="222" t="s">
        <v>74</v>
      </c>
      <c r="R53" s="213">
        <v>3.7846888155840004</v>
      </c>
      <c r="S53" s="213">
        <v>1.0260966937995</v>
      </c>
      <c r="T53" s="213">
        <v>3.1092878386099997E-2</v>
      </c>
      <c r="U53" s="213">
        <v>1.4412599526500001E-2</v>
      </c>
      <c r="V53" s="213">
        <v>6.8942067777039995</v>
      </c>
      <c r="W53" s="213">
        <v>0.23530934754240002</v>
      </c>
      <c r="X53" s="213"/>
      <c r="Y53" s="223">
        <v>5.0166965269987998</v>
      </c>
    </row>
    <row r="54" spans="1:36" ht="15" x14ac:dyDescent="0.25">
      <c r="Q54" s="222" t="s">
        <v>75</v>
      </c>
      <c r="R54" s="213">
        <v>0.19454276690699998</v>
      </c>
      <c r="S54" s="213">
        <v>0.101296431023</v>
      </c>
      <c r="T54" s="213">
        <v>1.7633172824600002E-2</v>
      </c>
      <c r="U54" s="213">
        <v>1.20052486549E-2</v>
      </c>
      <c r="V54" s="213">
        <v>0.26256821547369996</v>
      </c>
      <c r="W54" s="213">
        <v>4.8508694843500004E-2</v>
      </c>
      <c r="X54" s="213"/>
      <c r="Y54" s="223">
        <v>0.22397983228400001</v>
      </c>
    </row>
    <row r="55" spans="1:36" ht="15.75" thickBot="1" x14ac:dyDescent="0.3">
      <c r="Q55" s="224" t="s">
        <v>76</v>
      </c>
      <c r="R55" s="225">
        <v>-0.19454276690699998</v>
      </c>
      <c r="S55" s="225">
        <v>-0.101296431023</v>
      </c>
      <c r="T55" s="225">
        <v>-1.7633172824600002E-2</v>
      </c>
      <c r="U55" s="225">
        <v>-1.20052486549E-2</v>
      </c>
      <c r="V55" s="225">
        <v>-0.26256821547369996</v>
      </c>
      <c r="W55" s="225">
        <v>-4.8508694843500004E-2</v>
      </c>
      <c r="X55" s="225"/>
      <c r="Y55" s="226">
        <v>-0.22397983228400001</v>
      </c>
    </row>
    <row r="56" spans="1:36" ht="15" x14ac:dyDescent="0.25">
      <c r="R56" s="210"/>
      <c r="S56" s="210"/>
      <c r="T56" s="210"/>
      <c r="U56" s="210"/>
      <c r="V56" s="210"/>
      <c r="W56" s="210"/>
      <c r="X56" s="210"/>
      <c r="Y56" s="210"/>
    </row>
    <row r="57" spans="1:36" ht="15" x14ac:dyDescent="0.25">
      <c r="Q57" s="184"/>
    </row>
    <row r="58" spans="1:36" ht="15" x14ac:dyDescent="0.25">
      <c r="R58" s="9"/>
      <c r="S58" s="12"/>
      <c r="T58" s="12"/>
      <c r="U58" s="12"/>
      <c r="V58" s="12"/>
      <c r="W58" s="12"/>
      <c r="X58" s="12"/>
      <c r="Y58" s="12"/>
    </row>
    <row r="59" spans="1:36" ht="15" x14ac:dyDescent="0.25">
      <c r="R59" s="210"/>
      <c r="S59" s="210"/>
      <c r="T59" s="210"/>
      <c r="U59" s="210"/>
      <c r="V59" s="210"/>
      <c r="W59" s="210"/>
      <c r="X59" s="210"/>
      <c r="Y59" s="210"/>
    </row>
    <row r="60" spans="1:36" ht="15" x14ac:dyDescent="0.25">
      <c r="R60" s="210"/>
      <c r="S60" s="210"/>
      <c r="T60" s="210"/>
      <c r="U60" s="210"/>
      <c r="V60" s="210"/>
      <c r="W60" s="210"/>
      <c r="X60" s="210"/>
      <c r="Y60" s="210"/>
    </row>
    <row r="61" spans="1:36" ht="15" x14ac:dyDescent="0.25">
      <c r="R61" s="210"/>
      <c r="S61" s="210"/>
      <c r="T61" s="210"/>
      <c r="U61" s="210"/>
      <c r="V61" s="210"/>
      <c r="W61" s="210"/>
      <c r="X61" s="210"/>
      <c r="Y61" s="210"/>
    </row>
    <row r="62" spans="1:36" ht="15" x14ac:dyDescent="0.25">
      <c r="R62" s="210"/>
      <c r="S62" s="210"/>
      <c r="T62" s="210"/>
      <c r="U62" s="210"/>
      <c r="V62" s="210"/>
      <c r="W62" s="210"/>
      <c r="X62" s="210"/>
      <c r="Y62" s="210"/>
    </row>
    <row r="63" spans="1:36" ht="15" x14ac:dyDescent="0.25">
      <c r="R63" s="210"/>
      <c r="S63" s="210"/>
      <c r="T63" s="210"/>
      <c r="U63" s="210"/>
      <c r="V63" s="210"/>
      <c r="W63" s="210"/>
      <c r="X63" s="210"/>
      <c r="Y63" s="210"/>
    </row>
  </sheetData>
  <sortState ref="A3:P111">
    <sortCondition ref="A2"/>
  </sortState>
  <customSheetViews>
    <customSheetView guid="{88D7A6C6-1D77-4300-8600-F7BD640C7FF4}">
      <pane xSplit="1" ySplit="2" topLeftCell="B3" activePane="bottomRight" state="frozen"/>
      <selection pane="bottomRight" activeCell="F11" sqref="F11"/>
      <pageMargins left="0.7" right="0.7" top="0.75" bottom="0.75" header="0.3" footer="0.3"/>
      <pageSetup paperSize="9" orientation="portrait" r:id="rId1"/>
    </customSheetView>
    <customSheetView guid="{78B6FDE5-7C04-44E0-987D-B0794FC3C0C0}">
      <pane xSplit="1" ySplit="2" topLeftCell="W3" activePane="bottomRight" state="frozen"/>
      <selection pane="bottomRight" activeCell="AJ3" sqref="AJ3"/>
      <pageMargins left="0.7" right="0.7" top="0.75" bottom="0.75" header="0.3" footer="0.3"/>
      <pageSetup paperSize="9" orientation="portrait" r:id="rId2"/>
    </customSheetView>
    <customSheetView guid="{898A57C7-EA84-4A1C-AA42-8284F31DD32C}">
      <pane xSplit="1" ySplit="2" topLeftCell="K30" activePane="bottomRight" state="frozen"/>
      <selection pane="bottomRight" activeCell="L36" sqref="L36"/>
      <pageMargins left="0.7" right="0.7" top="0.75" bottom="0.75" header="0.3" footer="0.3"/>
      <pageSetup paperSize="9" orientation="portrait" r:id="rId3"/>
    </customSheetView>
    <customSheetView guid="{1AAC2EB3-B963-4CB8-8604-06326666FF8C}" scale="90">
      <pane xSplit="1" ySplit="2" topLeftCell="B43" activePane="bottomRight" state="frozen"/>
      <selection pane="bottomRight" activeCell="A43" sqref="A43"/>
      <pageMargins left="0.7" right="0.7" top="0.75" bottom="0.75" header="0.3" footer="0.3"/>
      <pageSetup paperSize="9" orientation="portrait" r:id="rId4"/>
    </customSheetView>
    <customSheetView guid="{A178F800-3B7E-4511-BF10-5AA233FDE985}">
      <pane xSplit="3" ySplit="2" topLeftCell="D3" activePane="bottomRight" state="frozen"/>
      <selection pane="bottomRight" activeCell="B68" sqref="B68"/>
      <pageMargins left="0.7" right="0.7" top="0.75" bottom="0.75" header="0.3" footer="0.3"/>
      <pageSetup paperSize="9" orientation="portrait" r:id="rId5"/>
    </customSheetView>
    <customSheetView guid="{80E426B4-B9D0-45E3-ACA1-6AA797532F97}">
      <pane xSplit="1" ySplit="2" topLeftCell="K81" activePane="bottomRight" state="frozen"/>
      <selection pane="bottomRight" activeCell="A109" sqref="A109:XFD109"/>
      <pageMargins left="0.7" right="0.7" top="0.75" bottom="0.75" header="0.3" footer="0.3"/>
      <pageSetup paperSize="9" orientation="portrait" r:id="rId6"/>
    </customSheetView>
    <customSheetView guid="{630A50AD-37E0-4B13-8A0F-82608C065D57}">
      <pane xSplit="1" ySplit="2" topLeftCell="Z3" activePane="bottomRight" state="frozen"/>
      <selection pane="bottomRight" activeCell="AM4" sqref="AM4"/>
      <pageMargins left="0.7" right="0.7" top="0.75" bottom="0.75" header="0.3" footer="0.3"/>
      <pageSetup paperSize="9" orientation="portrait" r:id="rId7"/>
    </customSheetView>
    <customSheetView guid="{CA125778-F8FD-4378-B746-C94ABF8D8556}">
      <pane xSplit="1" ySplit="2" topLeftCell="I43" activePane="bottomRight" state="frozen"/>
      <selection pane="bottomRight" activeCell="N70" sqref="N70"/>
      <pageMargins left="0.7" right="0.7" top="0.75" bottom="0.75" header="0.3" footer="0.3"/>
      <pageSetup paperSize="9" orientation="portrait" r:id="rId8"/>
    </customSheetView>
  </customSheetViews>
  <mergeCells count="6">
    <mergeCell ref="AA1:AF1"/>
    <mergeCell ref="B1:G1"/>
    <mergeCell ref="I1:J1"/>
    <mergeCell ref="K1:L1"/>
    <mergeCell ref="M1:N1"/>
    <mergeCell ref="R1:W1"/>
  </mergeCells>
  <conditionalFormatting sqref="AJ3:AJ50">
    <cfRule type="cellIs" dxfId="10" priority="1" operator="equal">
      <formula>0</formula>
    </cfRule>
  </conditionalFormatting>
  <conditionalFormatting sqref="AD3:AD50">
    <cfRule type="cellIs" dxfId="9" priority="410" operator="between">
      <formula>$U$54</formula>
      <formula>$U$55</formula>
    </cfRule>
  </conditionalFormatting>
  <conditionalFormatting sqref="AA3:AA50">
    <cfRule type="cellIs" dxfId="8" priority="412" operator="between">
      <formula>$R$54</formula>
      <formula>$R$55</formula>
    </cfRule>
  </conditionalFormatting>
  <conditionalFormatting sqref="AB3:AC50">
    <cfRule type="cellIs" dxfId="7" priority="414" operator="between">
      <formula>$S$54</formula>
      <formula>$S$55</formula>
    </cfRule>
  </conditionalFormatting>
  <conditionalFormatting sqref="AC3:AC50">
    <cfRule type="cellIs" dxfId="6" priority="416" operator="between">
      <formula>$T$54</formula>
      <formula>$T$55</formula>
    </cfRule>
  </conditionalFormatting>
  <conditionalFormatting sqref="AE3:AE50">
    <cfRule type="cellIs" dxfId="5" priority="418" operator="between">
      <formula>$V$54</formula>
      <formula>$V$55</formula>
    </cfRule>
  </conditionalFormatting>
  <conditionalFormatting sqref="AF3:AF50">
    <cfRule type="cellIs" dxfId="4" priority="424" operator="between">
      <formula>$W$54</formula>
      <formula>$W$55</formula>
    </cfRule>
  </conditionalFormatting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W25" sqref="W25"/>
    </sheetView>
  </sheetViews>
  <sheetFormatPr defaultColWidth="9.109375" defaultRowHeight="14.4" x14ac:dyDescent="0.3"/>
  <cols>
    <col min="1" max="1" width="32" style="6" customWidth="1"/>
    <col min="2" max="2" width="13.6640625" style="6" customWidth="1"/>
    <col min="3" max="7" width="12.33203125" style="6" customWidth="1"/>
    <col min="8" max="17" width="9.109375" style="6" customWidth="1"/>
    <col min="18" max="18" width="17.6640625" style="6" bestFit="1" customWidth="1"/>
    <col min="19" max="19" width="21.109375" style="6" bestFit="1" customWidth="1"/>
    <col min="20" max="20" width="9.109375" style="6" customWidth="1"/>
    <col min="21" max="16384" width="9.109375" style="2"/>
  </cols>
  <sheetData>
    <row r="1" spans="1:20" customFormat="1" ht="18.75" customHeight="1" thickBot="1" x14ac:dyDescent="0.35">
      <c r="A1" s="328" t="s">
        <v>0</v>
      </c>
      <c r="B1" s="332" t="s">
        <v>55</v>
      </c>
      <c r="C1" s="333"/>
      <c r="D1" s="333"/>
      <c r="E1" s="333"/>
      <c r="F1" s="333"/>
      <c r="G1" s="334"/>
      <c r="H1" s="330" t="s">
        <v>1</v>
      </c>
      <c r="I1" s="330"/>
      <c r="J1" s="330"/>
      <c r="K1" s="331"/>
      <c r="L1" s="335" t="s">
        <v>95</v>
      </c>
      <c r="M1" s="330"/>
      <c r="N1" s="330"/>
      <c r="O1" s="330"/>
      <c r="P1" s="330"/>
      <c r="Q1" s="331"/>
      <c r="R1" s="185" t="s">
        <v>96</v>
      </c>
      <c r="S1" s="187" t="s">
        <v>97</v>
      </c>
      <c r="T1" s="75" t="s">
        <v>2</v>
      </c>
    </row>
    <row r="2" spans="1:20" customFormat="1" ht="43.8" thickBot="1" x14ac:dyDescent="0.35">
      <c r="A2" s="329"/>
      <c r="B2" s="51" t="s">
        <v>1</v>
      </c>
      <c r="C2" s="35" t="s">
        <v>95</v>
      </c>
      <c r="D2" s="35" t="s">
        <v>96</v>
      </c>
      <c r="E2" s="35" t="s">
        <v>97</v>
      </c>
      <c r="F2" s="35" t="s">
        <v>94</v>
      </c>
      <c r="G2" s="159" t="s">
        <v>2</v>
      </c>
      <c r="H2" s="16" t="s">
        <v>90</v>
      </c>
      <c r="I2" s="17" t="s">
        <v>91</v>
      </c>
      <c r="J2" s="17" t="s">
        <v>92</v>
      </c>
      <c r="K2" s="20" t="s">
        <v>93</v>
      </c>
      <c r="L2" s="19" t="s">
        <v>3</v>
      </c>
      <c r="M2" s="17" t="s">
        <v>4</v>
      </c>
      <c r="N2" s="17" t="s">
        <v>5</v>
      </c>
      <c r="O2" s="17" t="s">
        <v>6</v>
      </c>
      <c r="P2" s="17" t="s">
        <v>7</v>
      </c>
      <c r="Q2" s="18" t="s">
        <v>8</v>
      </c>
      <c r="R2" s="55" t="s">
        <v>9</v>
      </c>
      <c r="S2" s="186" t="s">
        <v>10</v>
      </c>
      <c r="T2" s="55" t="s">
        <v>11</v>
      </c>
    </row>
    <row r="3" spans="1:20" s="1" customFormat="1" x14ac:dyDescent="0.3">
      <c r="A3" s="160" t="s">
        <v>12</v>
      </c>
      <c r="B3" s="161">
        <f>5.48*(H3+I3)*1000+93.53*(J3+K3)*1000</f>
        <v>1687840.0000000002</v>
      </c>
      <c r="C3" s="162">
        <f>7983*L3+17432*M3+67697*(N3+O3)+775973*(P3+Q3)</f>
        <v>2984169</v>
      </c>
      <c r="D3" s="162">
        <f t="shared" ref="D3:D17" si="0">13523*R3</f>
        <v>338075</v>
      </c>
      <c r="E3" s="162">
        <f>24.06*S3</f>
        <v>102543.72</v>
      </c>
      <c r="F3" s="162">
        <f>VLOOKUP(A3,Renseanlæg!$I$2:$J$41,2,FALSE)</f>
        <v>8444020.8026141096</v>
      </c>
      <c r="G3" s="163">
        <f>124.3*T3</f>
        <v>912486.29999999993</v>
      </c>
      <c r="H3" s="42">
        <v>47</v>
      </c>
      <c r="I3" s="56">
        <v>261</v>
      </c>
      <c r="J3" s="56">
        <v>0</v>
      </c>
      <c r="K3" s="57">
        <v>0</v>
      </c>
      <c r="L3" s="42">
        <v>139</v>
      </c>
      <c r="M3" s="56">
        <v>92</v>
      </c>
      <c r="N3" s="56">
        <v>4</v>
      </c>
      <c r="O3" s="56">
        <v>0</v>
      </c>
      <c r="P3" s="56">
        <v>0</v>
      </c>
      <c r="Q3" s="58">
        <v>0</v>
      </c>
      <c r="R3" s="59">
        <v>25</v>
      </c>
      <c r="S3" s="60">
        <v>4262</v>
      </c>
      <c r="T3" s="59">
        <v>7341</v>
      </c>
    </row>
    <row r="4" spans="1:20" s="1" customFormat="1" x14ac:dyDescent="0.3">
      <c r="A4" s="53" t="s">
        <v>63</v>
      </c>
      <c r="B4" s="34">
        <f t="shared" ref="B4:B50" si="1">5.48*(H4+I4)*1000+93.53*(J4+K4)*1000</f>
        <v>8077520</v>
      </c>
      <c r="C4" s="33">
        <f t="shared" ref="C4:C50" si="2">7983*L4+17432*M4+67697*(N4+O4)+775973*(P4+Q4)</f>
        <v>24844799</v>
      </c>
      <c r="D4" s="33">
        <f t="shared" si="0"/>
        <v>1433438</v>
      </c>
      <c r="E4" s="33">
        <f t="shared" ref="E4:E50" si="3">24.06*S4</f>
        <v>77376.959999999992</v>
      </c>
      <c r="F4" s="33">
        <f>VLOOKUP(A4,Renseanlæg!$I$2:$J$41,2,FALSE)</f>
        <v>23912894.791507509</v>
      </c>
      <c r="G4" s="164">
        <f t="shared" ref="G4:G50" si="4">124.3*T4</f>
        <v>3083261.5</v>
      </c>
      <c r="H4" s="36">
        <v>536</v>
      </c>
      <c r="I4" s="61">
        <v>938</v>
      </c>
      <c r="J4" s="61">
        <v>0</v>
      </c>
      <c r="K4" s="62">
        <v>0</v>
      </c>
      <c r="L4" s="36">
        <v>0</v>
      </c>
      <c r="M4" s="61">
        <v>0</v>
      </c>
      <c r="N4" s="61">
        <v>367</v>
      </c>
      <c r="O4" s="61">
        <v>0</v>
      </c>
      <c r="P4" s="61">
        <v>0</v>
      </c>
      <c r="Q4" s="63">
        <v>0</v>
      </c>
      <c r="R4" s="64">
        <v>106</v>
      </c>
      <c r="S4" s="65">
        <v>3216</v>
      </c>
      <c r="T4" s="64">
        <v>24805</v>
      </c>
    </row>
    <row r="5" spans="1:20" s="1" customFormat="1" ht="15" x14ac:dyDescent="0.25">
      <c r="A5" s="53" t="s">
        <v>13</v>
      </c>
      <c r="B5" s="34">
        <f t="shared" si="1"/>
        <v>2016640</v>
      </c>
      <c r="C5" s="33">
        <f t="shared" si="2"/>
        <v>2013988</v>
      </c>
      <c r="D5" s="33">
        <f t="shared" si="0"/>
        <v>202845</v>
      </c>
      <c r="E5" s="33">
        <f t="shared" si="3"/>
        <v>211246.8</v>
      </c>
      <c r="F5" s="33">
        <f>VLOOKUP(A5,Renseanlæg!$I$2:$J$41,2,FALSE)</f>
        <v>18529107.932903618</v>
      </c>
      <c r="G5" s="164">
        <f t="shared" si="4"/>
        <v>1316337</v>
      </c>
      <c r="H5" s="36">
        <v>0</v>
      </c>
      <c r="I5" s="61">
        <v>368</v>
      </c>
      <c r="J5" s="61">
        <v>0</v>
      </c>
      <c r="K5" s="62">
        <v>0</v>
      </c>
      <c r="L5" s="36">
        <v>0</v>
      </c>
      <c r="M5" s="61">
        <v>100</v>
      </c>
      <c r="N5" s="61">
        <v>4</v>
      </c>
      <c r="O5" s="61">
        <v>0</v>
      </c>
      <c r="P5" s="61">
        <v>0</v>
      </c>
      <c r="Q5" s="63">
        <v>0</v>
      </c>
      <c r="R5" s="64">
        <v>15</v>
      </c>
      <c r="S5" s="65">
        <v>8780</v>
      </c>
      <c r="T5" s="64">
        <v>10590</v>
      </c>
    </row>
    <row r="6" spans="1:20" s="1" customFormat="1" ht="15" x14ac:dyDescent="0.25">
      <c r="A6" s="53" t="s">
        <v>14</v>
      </c>
      <c r="B6" s="34">
        <f t="shared" si="1"/>
        <v>4482640</v>
      </c>
      <c r="C6" s="33">
        <f t="shared" si="2"/>
        <v>4007430</v>
      </c>
      <c r="D6" s="33">
        <f t="shared" si="0"/>
        <v>108184</v>
      </c>
      <c r="E6" s="33">
        <f t="shared" si="3"/>
        <v>91668.599999999991</v>
      </c>
      <c r="F6" s="33">
        <f>VLOOKUP(A6,Renseanlæg!$I$2:$J$41,2,FALSE)</f>
        <v>19561195.882175773</v>
      </c>
      <c r="G6" s="164">
        <f t="shared" si="4"/>
        <v>2138830.1</v>
      </c>
      <c r="H6" s="36">
        <v>232</v>
      </c>
      <c r="I6" s="61">
        <v>586</v>
      </c>
      <c r="J6" s="61">
        <v>0</v>
      </c>
      <c r="K6" s="62">
        <v>0</v>
      </c>
      <c r="L6" s="36">
        <v>116</v>
      </c>
      <c r="M6" s="61">
        <v>169</v>
      </c>
      <c r="N6" s="61">
        <v>2</v>
      </c>
      <c r="O6" s="61">
        <v>0</v>
      </c>
      <c r="P6" s="61">
        <v>0</v>
      </c>
      <c r="Q6" s="63">
        <v>0</v>
      </c>
      <c r="R6" s="64">
        <v>8</v>
      </c>
      <c r="S6" s="65">
        <v>3810</v>
      </c>
      <c r="T6" s="64">
        <v>17207</v>
      </c>
    </row>
    <row r="7" spans="1:20" s="1" customFormat="1" ht="15" x14ac:dyDescent="0.25">
      <c r="A7" s="53" t="s">
        <v>15</v>
      </c>
      <c r="B7" s="34">
        <f t="shared" si="1"/>
        <v>19258331</v>
      </c>
      <c r="C7" s="33">
        <f t="shared" si="2"/>
        <v>8172128</v>
      </c>
      <c r="D7" s="33">
        <f t="shared" si="0"/>
        <v>1866174</v>
      </c>
      <c r="E7" s="33">
        <f t="shared" si="3"/>
        <v>926021.27999999991</v>
      </c>
      <c r="F7" s="33">
        <f>VLOOKUP(A7,Renseanlæg!$I$2:$J$41,2,FALSE)</f>
        <v>37338224.684050478</v>
      </c>
      <c r="G7" s="164">
        <f t="shared" si="4"/>
        <v>3476671</v>
      </c>
      <c r="H7" s="36">
        <v>742</v>
      </c>
      <c r="I7" s="61">
        <v>1156</v>
      </c>
      <c r="J7" s="61">
        <v>94.7</v>
      </c>
      <c r="K7" s="62">
        <v>0</v>
      </c>
      <c r="L7" s="36">
        <v>50</v>
      </c>
      <c r="M7" s="61">
        <v>376</v>
      </c>
      <c r="N7" s="61">
        <v>18</v>
      </c>
      <c r="O7" s="61">
        <v>0</v>
      </c>
      <c r="P7" s="61">
        <v>0</v>
      </c>
      <c r="Q7" s="63">
        <v>0</v>
      </c>
      <c r="R7" s="64">
        <v>138</v>
      </c>
      <c r="S7" s="65">
        <v>38488</v>
      </c>
      <c r="T7" s="64">
        <v>27970</v>
      </c>
    </row>
    <row r="8" spans="1:20" s="1" customFormat="1" ht="15" x14ac:dyDescent="0.25">
      <c r="A8" s="53" t="s">
        <v>16</v>
      </c>
      <c r="B8" s="34">
        <f t="shared" si="1"/>
        <v>16220480</v>
      </c>
      <c r="C8" s="33">
        <f t="shared" si="2"/>
        <v>4018716</v>
      </c>
      <c r="D8" s="33">
        <f t="shared" si="0"/>
        <v>851949</v>
      </c>
      <c r="E8" s="33">
        <f t="shared" si="3"/>
        <v>192480</v>
      </c>
      <c r="F8" s="33">
        <f>VLOOKUP(A8,Renseanlæg!$I$2:$J$41,2,FALSE)</f>
        <v>61555592.507381685</v>
      </c>
      <c r="G8" s="164">
        <f t="shared" si="4"/>
        <v>5275540.5999999996</v>
      </c>
      <c r="H8" s="36">
        <v>272</v>
      </c>
      <c r="I8" s="61">
        <v>1186</v>
      </c>
      <c r="J8" s="61">
        <v>88</v>
      </c>
      <c r="K8" s="62">
        <v>0</v>
      </c>
      <c r="L8" s="36">
        <v>126</v>
      </c>
      <c r="M8" s="61">
        <v>134</v>
      </c>
      <c r="N8" s="61">
        <v>10</v>
      </c>
      <c r="O8" s="61">
        <v>0</v>
      </c>
      <c r="P8" s="61">
        <v>0</v>
      </c>
      <c r="Q8" s="63">
        <v>0</v>
      </c>
      <c r="R8" s="64">
        <v>63</v>
      </c>
      <c r="S8" s="65">
        <v>8000</v>
      </c>
      <c r="T8" s="64">
        <v>42442</v>
      </c>
    </row>
    <row r="9" spans="1:20" s="1" customFormat="1" x14ac:dyDescent="0.3">
      <c r="A9" s="53" t="s">
        <v>17</v>
      </c>
      <c r="B9" s="34">
        <f t="shared" si="1"/>
        <v>460320.00000000006</v>
      </c>
      <c r="C9" s="33">
        <f t="shared" si="2"/>
        <v>458864</v>
      </c>
      <c r="D9" s="33">
        <f t="shared" si="0"/>
        <v>0</v>
      </c>
      <c r="E9" s="33">
        <f t="shared" si="3"/>
        <v>0</v>
      </c>
      <c r="F9" s="33">
        <v>0</v>
      </c>
      <c r="G9" s="164">
        <f t="shared" si="4"/>
        <v>297698.5</v>
      </c>
      <c r="H9" s="36">
        <v>30</v>
      </c>
      <c r="I9" s="61">
        <v>54</v>
      </c>
      <c r="J9" s="61">
        <v>0</v>
      </c>
      <c r="K9" s="62">
        <v>0</v>
      </c>
      <c r="L9" s="36">
        <v>49</v>
      </c>
      <c r="M9" s="61">
        <v>0</v>
      </c>
      <c r="N9" s="61">
        <v>1</v>
      </c>
      <c r="O9" s="61">
        <v>0</v>
      </c>
      <c r="P9" s="61">
        <v>0</v>
      </c>
      <c r="Q9" s="63">
        <v>0</v>
      </c>
      <c r="R9" s="64">
        <v>0</v>
      </c>
      <c r="S9" s="65">
        <v>0</v>
      </c>
      <c r="T9" s="64">
        <v>2395</v>
      </c>
    </row>
    <row r="10" spans="1:20" s="1" customFormat="1" ht="15" x14ac:dyDescent="0.25">
      <c r="A10" s="53" t="s">
        <v>18</v>
      </c>
      <c r="B10" s="34">
        <f t="shared" si="1"/>
        <v>6570520</v>
      </c>
      <c r="C10" s="33">
        <f t="shared" si="2"/>
        <v>9993389</v>
      </c>
      <c r="D10" s="33">
        <f t="shared" si="0"/>
        <v>987179</v>
      </c>
      <c r="E10" s="33">
        <f t="shared" si="3"/>
        <v>251619.47999999998</v>
      </c>
      <c r="F10" s="33">
        <f>VLOOKUP(A10,Renseanlæg!$I$2:$J$41,2,FALSE)</f>
        <v>22303458.692011308</v>
      </c>
      <c r="G10" s="164">
        <f t="shared" si="4"/>
        <v>2476926.1</v>
      </c>
      <c r="H10" s="36">
        <v>496</v>
      </c>
      <c r="I10" s="61">
        <v>703</v>
      </c>
      <c r="J10" s="61">
        <v>0</v>
      </c>
      <c r="K10" s="62">
        <v>0</v>
      </c>
      <c r="L10" s="36">
        <v>519</v>
      </c>
      <c r="M10" s="61">
        <v>289</v>
      </c>
      <c r="N10" s="61">
        <v>8</v>
      </c>
      <c r="O10" s="61">
        <v>4</v>
      </c>
      <c r="P10" s="61">
        <v>0</v>
      </c>
      <c r="Q10" s="63">
        <v>0</v>
      </c>
      <c r="R10" s="64">
        <v>73</v>
      </c>
      <c r="S10" s="65">
        <v>10458</v>
      </c>
      <c r="T10" s="64">
        <v>19927</v>
      </c>
    </row>
    <row r="11" spans="1:20" s="1" customFormat="1" ht="15" x14ac:dyDescent="0.25">
      <c r="A11" s="53" t="s">
        <v>19</v>
      </c>
      <c r="B11" s="34">
        <f t="shared" si="1"/>
        <v>2329000</v>
      </c>
      <c r="C11" s="33">
        <f t="shared" si="2"/>
        <v>2717073</v>
      </c>
      <c r="D11" s="33">
        <f t="shared" si="0"/>
        <v>243414</v>
      </c>
      <c r="E11" s="33">
        <f t="shared" si="3"/>
        <v>243006</v>
      </c>
      <c r="F11" s="33">
        <f>VLOOKUP(A11,Renseanlæg!$I$2:$J$41,2,FALSE)</f>
        <v>7187522.7141684927</v>
      </c>
      <c r="G11" s="164">
        <f t="shared" si="4"/>
        <v>1267860</v>
      </c>
      <c r="H11" s="36">
        <v>103</v>
      </c>
      <c r="I11" s="61">
        <v>322</v>
      </c>
      <c r="J11" s="61">
        <v>0</v>
      </c>
      <c r="K11" s="62">
        <v>0</v>
      </c>
      <c r="L11" s="36">
        <v>132</v>
      </c>
      <c r="M11" s="61">
        <v>76</v>
      </c>
      <c r="N11" s="61">
        <v>2</v>
      </c>
      <c r="O11" s="61">
        <v>3</v>
      </c>
      <c r="P11" s="61">
        <v>0</v>
      </c>
      <c r="Q11" s="63">
        <v>0</v>
      </c>
      <c r="R11" s="64">
        <v>18</v>
      </c>
      <c r="S11" s="65">
        <v>10100</v>
      </c>
      <c r="T11" s="64">
        <v>10200</v>
      </c>
    </row>
    <row r="12" spans="1:20" s="1" customFormat="1" ht="15" x14ac:dyDescent="0.25">
      <c r="A12" s="53" t="s">
        <v>20</v>
      </c>
      <c r="B12" s="34">
        <f t="shared" si="1"/>
        <v>11341730</v>
      </c>
      <c r="C12" s="33">
        <f t="shared" si="2"/>
        <v>10114415</v>
      </c>
      <c r="D12" s="33">
        <f t="shared" si="0"/>
        <v>662627</v>
      </c>
      <c r="E12" s="33">
        <f t="shared" si="3"/>
        <v>363378.18</v>
      </c>
      <c r="F12" s="33">
        <f>VLOOKUP(A12,Renseanlæg!$I$2:$J$41,2,FALSE)</f>
        <v>51297479.345328085</v>
      </c>
      <c r="G12" s="164">
        <f t="shared" si="4"/>
        <v>1964188.5999999999</v>
      </c>
      <c r="H12" s="36">
        <v>188</v>
      </c>
      <c r="I12" s="61">
        <v>704</v>
      </c>
      <c r="J12" s="61">
        <v>69</v>
      </c>
      <c r="K12" s="62">
        <v>0</v>
      </c>
      <c r="L12" s="36">
        <v>225</v>
      </c>
      <c r="M12" s="61">
        <v>90</v>
      </c>
      <c r="N12" s="61">
        <v>3</v>
      </c>
      <c r="O12" s="61">
        <v>5</v>
      </c>
      <c r="P12" s="61">
        <v>8</v>
      </c>
      <c r="Q12" s="63">
        <v>0</v>
      </c>
      <c r="R12" s="64">
        <v>49</v>
      </c>
      <c r="S12" s="65">
        <v>15103</v>
      </c>
      <c r="T12" s="64">
        <v>15802</v>
      </c>
    </row>
    <row r="13" spans="1:20" s="1" customFormat="1" ht="15" x14ac:dyDescent="0.25">
      <c r="A13" s="53" t="s">
        <v>24</v>
      </c>
      <c r="B13" s="34">
        <f t="shared" si="1"/>
        <v>8412310</v>
      </c>
      <c r="C13" s="33">
        <f t="shared" si="2"/>
        <v>11181270</v>
      </c>
      <c r="D13" s="33">
        <f t="shared" si="0"/>
        <v>378644</v>
      </c>
      <c r="E13" s="33">
        <f t="shared" si="3"/>
        <v>383636.69999999995</v>
      </c>
      <c r="F13" s="33">
        <f>VLOOKUP(A13,Renseanlæg!$I$2:$J$41,2,FALSE)</f>
        <v>58490612.902900964</v>
      </c>
      <c r="G13" s="164">
        <f t="shared" si="4"/>
        <v>2927762.1999999997</v>
      </c>
      <c r="H13" s="36">
        <v>277</v>
      </c>
      <c r="I13" s="61">
        <v>729</v>
      </c>
      <c r="J13" s="61">
        <v>31</v>
      </c>
      <c r="K13" s="62">
        <v>0</v>
      </c>
      <c r="L13" s="36">
        <v>75</v>
      </c>
      <c r="M13" s="61">
        <v>173</v>
      </c>
      <c r="N13" s="61">
        <v>39</v>
      </c>
      <c r="O13" s="61">
        <v>4</v>
      </c>
      <c r="P13" s="61">
        <v>6</v>
      </c>
      <c r="Q13" s="63">
        <v>0</v>
      </c>
      <c r="R13" s="64">
        <v>28</v>
      </c>
      <c r="S13" s="65">
        <v>15945</v>
      </c>
      <c r="T13" s="64">
        <v>23554</v>
      </c>
    </row>
    <row r="14" spans="1:20" s="1" customFormat="1" ht="15" x14ac:dyDescent="0.25">
      <c r="A14" s="53" t="s">
        <v>21</v>
      </c>
      <c r="B14" s="34">
        <f t="shared" si="1"/>
        <v>8257230</v>
      </c>
      <c r="C14" s="33">
        <f t="shared" si="2"/>
        <v>2723327</v>
      </c>
      <c r="D14" s="33">
        <f t="shared" si="0"/>
        <v>54092</v>
      </c>
      <c r="E14" s="33">
        <f t="shared" si="3"/>
        <v>71217.599999999991</v>
      </c>
      <c r="F14" s="33">
        <v>0</v>
      </c>
      <c r="G14" s="164">
        <f t="shared" si="4"/>
        <v>1918321.9</v>
      </c>
      <c r="H14" s="36">
        <v>9</v>
      </c>
      <c r="I14" s="61">
        <v>286</v>
      </c>
      <c r="J14" s="61">
        <v>71</v>
      </c>
      <c r="K14" s="62">
        <v>0</v>
      </c>
      <c r="L14" s="36">
        <v>2</v>
      </c>
      <c r="M14" s="61">
        <v>14</v>
      </c>
      <c r="N14" s="61">
        <v>0</v>
      </c>
      <c r="O14" s="61">
        <v>2</v>
      </c>
      <c r="P14" s="61">
        <v>3</v>
      </c>
      <c r="Q14" s="63">
        <v>0</v>
      </c>
      <c r="R14" s="64">
        <v>4</v>
      </c>
      <c r="S14" s="65">
        <v>2960</v>
      </c>
      <c r="T14" s="64">
        <v>15433</v>
      </c>
    </row>
    <row r="15" spans="1:20" s="1" customFormat="1" ht="15" x14ac:dyDescent="0.25">
      <c r="A15" s="53" t="s">
        <v>22</v>
      </c>
      <c r="B15" s="34">
        <f t="shared" si="1"/>
        <v>5496880</v>
      </c>
      <c r="C15" s="33">
        <f t="shared" si="2"/>
        <v>7520254</v>
      </c>
      <c r="D15" s="33">
        <f t="shared" si="0"/>
        <v>365121</v>
      </c>
      <c r="E15" s="33">
        <f t="shared" si="3"/>
        <v>478144.37999999995</v>
      </c>
      <c r="F15" s="33">
        <f>VLOOKUP(A15,Renseanlæg!$I$2:$J$41,2,FALSE)</f>
        <v>19007384.325476211</v>
      </c>
      <c r="G15" s="164">
        <f t="shared" si="4"/>
        <v>2079041.8</v>
      </c>
      <c r="H15" s="36">
        <v>411</v>
      </c>
      <c r="I15" s="61">
        <v>319</v>
      </c>
      <c r="J15" s="61">
        <v>16</v>
      </c>
      <c r="K15" s="62">
        <v>0</v>
      </c>
      <c r="L15" s="36">
        <v>466</v>
      </c>
      <c r="M15" s="61">
        <v>218</v>
      </c>
      <c r="N15" s="61">
        <v>0</v>
      </c>
      <c r="O15" s="61">
        <v>0</v>
      </c>
      <c r="P15" s="61">
        <v>0</v>
      </c>
      <c r="Q15" s="63">
        <v>0</v>
      </c>
      <c r="R15" s="64">
        <v>27</v>
      </c>
      <c r="S15" s="65">
        <v>19873</v>
      </c>
      <c r="T15" s="64">
        <v>16726</v>
      </c>
    </row>
    <row r="16" spans="1:20" s="1" customFormat="1" ht="15" x14ac:dyDescent="0.25">
      <c r="A16" s="53" t="s">
        <v>23</v>
      </c>
      <c r="B16" s="34">
        <f t="shared" si="1"/>
        <v>10038760</v>
      </c>
      <c r="C16" s="33">
        <f t="shared" si="2"/>
        <v>15062706</v>
      </c>
      <c r="D16" s="33">
        <f t="shared" si="0"/>
        <v>649104</v>
      </c>
      <c r="E16" s="33">
        <f t="shared" si="3"/>
        <v>26899.079999999998</v>
      </c>
      <c r="F16" s="33">
        <f>VLOOKUP(A16,Renseanlæg!$I$2:$J$41,2,FALSE)</f>
        <v>25751599.685652155</v>
      </c>
      <c r="G16" s="164">
        <f t="shared" si="4"/>
        <v>4169767.8</v>
      </c>
      <c r="H16" s="36">
        <v>795</v>
      </c>
      <c r="I16" s="61">
        <v>559</v>
      </c>
      <c r="J16" s="61">
        <v>28</v>
      </c>
      <c r="K16" s="62">
        <v>0</v>
      </c>
      <c r="L16" s="36">
        <v>300</v>
      </c>
      <c r="M16" s="61">
        <v>560</v>
      </c>
      <c r="N16" s="61">
        <v>20</v>
      </c>
      <c r="O16" s="61">
        <v>0</v>
      </c>
      <c r="P16" s="61">
        <v>0</v>
      </c>
      <c r="Q16" s="63">
        <v>2</v>
      </c>
      <c r="R16" s="64">
        <v>48</v>
      </c>
      <c r="S16" s="65">
        <v>1118</v>
      </c>
      <c r="T16" s="64">
        <v>33546</v>
      </c>
    </row>
    <row r="17" spans="1:20" s="1" customFormat="1" ht="15" x14ac:dyDescent="0.25">
      <c r="A17" s="53" t="s">
        <v>25</v>
      </c>
      <c r="B17" s="34">
        <f t="shared" si="1"/>
        <v>3837545.0000000005</v>
      </c>
      <c r="C17" s="33">
        <f t="shared" si="2"/>
        <v>8300568</v>
      </c>
      <c r="D17" s="33">
        <f t="shared" si="0"/>
        <v>297506</v>
      </c>
      <c r="E17" s="33">
        <f t="shared" si="3"/>
        <v>222314.4</v>
      </c>
      <c r="F17" s="33">
        <f>VLOOKUP(A17,Renseanlæg!$I$2:$J$41,2,FALSE)</f>
        <v>10676506.166258305</v>
      </c>
      <c r="G17" s="164">
        <f t="shared" si="4"/>
        <v>1260402</v>
      </c>
      <c r="H17" s="36">
        <v>223</v>
      </c>
      <c r="I17" s="61">
        <v>304.89999999999998</v>
      </c>
      <c r="J17" s="61">
        <v>10.1</v>
      </c>
      <c r="K17" s="62">
        <v>0</v>
      </c>
      <c r="L17" s="36">
        <v>399</v>
      </c>
      <c r="M17" s="61">
        <v>185</v>
      </c>
      <c r="N17" s="61">
        <v>3</v>
      </c>
      <c r="O17" s="61">
        <v>2</v>
      </c>
      <c r="P17" s="61">
        <v>2</v>
      </c>
      <c r="Q17" s="63">
        <v>0</v>
      </c>
      <c r="R17" s="64">
        <v>22</v>
      </c>
      <c r="S17" s="65">
        <v>9240</v>
      </c>
      <c r="T17" s="64">
        <v>10140</v>
      </c>
    </row>
    <row r="18" spans="1:20" s="1" customFormat="1" x14ac:dyDescent="0.3">
      <c r="A18" s="53" t="s">
        <v>26</v>
      </c>
      <c r="B18" s="34">
        <f t="shared" si="1"/>
        <v>2405720.0000000005</v>
      </c>
      <c r="C18" s="33">
        <f t="shared" si="2"/>
        <v>8981113</v>
      </c>
      <c r="D18" s="33">
        <f t="shared" ref="D18:D34" si="5">13523*R18</f>
        <v>946610</v>
      </c>
      <c r="E18" s="33">
        <f t="shared" si="3"/>
        <v>680898</v>
      </c>
      <c r="F18" s="33">
        <f>VLOOKUP(A18,Renseanlæg!$I$2:$J$41,2,FALSE)</f>
        <v>14613290.318270085</v>
      </c>
      <c r="G18" s="164">
        <f t="shared" si="4"/>
        <v>1748528.0999999999</v>
      </c>
      <c r="H18" s="36">
        <v>55</v>
      </c>
      <c r="I18" s="61">
        <v>384</v>
      </c>
      <c r="J18" s="61">
        <v>0</v>
      </c>
      <c r="K18" s="62">
        <v>0</v>
      </c>
      <c r="L18" s="36">
        <v>104</v>
      </c>
      <c r="M18" s="61">
        <v>202</v>
      </c>
      <c r="N18" s="61">
        <v>32</v>
      </c>
      <c r="O18" s="61">
        <v>2</v>
      </c>
      <c r="P18" s="61">
        <v>0</v>
      </c>
      <c r="Q18" s="63">
        <v>3</v>
      </c>
      <c r="R18" s="64">
        <v>70</v>
      </c>
      <c r="S18" s="65">
        <v>28300</v>
      </c>
      <c r="T18" s="64">
        <v>14067</v>
      </c>
    </row>
    <row r="19" spans="1:20" s="1" customFormat="1" x14ac:dyDescent="0.3">
      <c r="A19" s="53" t="s">
        <v>64</v>
      </c>
      <c r="B19" s="34">
        <f t="shared" si="1"/>
        <v>920640.00000000012</v>
      </c>
      <c r="C19" s="33">
        <f t="shared" si="2"/>
        <v>2082674</v>
      </c>
      <c r="D19" s="33">
        <f t="shared" si="5"/>
        <v>108184</v>
      </c>
      <c r="E19" s="33">
        <f t="shared" si="3"/>
        <v>22857</v>
      </c>
      <c r="F19" s="33">
        <f>VLOOKUP(A19,Renseanlæg!$I$2:$J$41,2,FALSE)</f>
        <v>4408997.8768262528</v>
      </c>
      <c r="G19" s="164">
        <f t="shared" si="4"/>
        <v>567180.9</v>
      </c>
      <c r="H19" s="36">
        <v>27</v>
      </c>
      <c r="I19" s="61">
        <v>141</v>
      </c>
      <c r="J19" s="61">
        <v>0</v>
      </c>
      <c r="K19" s="62">
        <v>0</v>
      </c>
      <c r="L19" s="36">
        <v>5</v>
      </c>
      <c r="M19" s="61">
        <v>90</v>
      </c>
      <c r="N19" s="61">
        <v>7</v>
      </c>
      <c r="O19" s="61">
        <v>0</v>
      </c>
      <c r="P19" s="61">
        <v>0</v>
      </c>
      <c r="Q19" s="63">
        <v>0</v>
      </c>
      <c r="R19" s="64">
        <v>8</v>
      </c>
      <c r="S19" s="65">
        <v>950</v>
      </c>
      <c r="T19" s="64">
        <v>4563</v>
      </c>
    </row>
    <row r="20" spans="1:20" s="1" customFormat="1" x14ac:dyDescent="0.3">
      <c r="A20" s="53" t="s">
        <v>65</v>
      </c>
      <c r="B20" s="34">
        <f t="shared" si="1"/>
        <v>4046230</v>
      </c>
      <c r="C20" s="33">
        <f t="shared" si="2"/>
        <v>816426</v>
      </c>
      <c r="D20" s="33">
        <f t="shared" si="5"/>
        <v>162276</v>
      </c>
      <c r="E20" s="33">
        <f t="shared" si="3"/>
        <v>339727.19999999995</v>
      </c>
      <c r="F20" s="33">
        <v>0</v>
      </c>
      <c r="G20" s="164">
        <f t="shared" si="4"/>
        <v>657049.79999999993</v>
      </c>
      <c r="H20" s="36">
        <v>2</v>
      </c>
      <c r="I20" s="61">
        <v>139</v>
      </c>
      <c r="J20" s="61">
        <v>35</v>
      </c>
      <c r="K20" s="62">
        <v>0</v>
      </c>
      <c r="L20" s="36">
        <v>0</v>
      </c>
      <c r="M20" s="61">
        <v>8</v>
      </c>
      <c r="N20" s="61">
        <v>10</v>
      </c>
      <c r="O20" s="61">
        <v>0</v>
      </c>
      <c r="P20" s="61">
        <v>0</v>
      </c>
      <c r="Q20" s="63">
        <v>0</v>
      </c>
      <c r="R20" s="64">
        <v>12</v>
      </c>
      <c r="S20" s="65">
        <v>14120</v>
      </c>
      <c r="T20" s="64">
        <v>5286</v>
      </c>
    </row>
    <row r="21" spans="1:20" s="1" customFormat="1" x14ac:dyDescent="0.3">
      <c r="A21" s="53" t="s">
        <v>67</v>
      </c>
      <c r="B21" s="34">
        <f t="shared" si="1"/>
        <v>9087300</v>
      </c>
      <c r="C21" s="33">
        <f t="shared" si="2"/>
        <v>2467416</v>
      </c>
      <c r="D21" s="33">
        <f t="shared" si="5"/>
        <v>216368</v>
      </c>
      <c r="E21" s="33">
        <f t="shared" si="3"/>
        <v>653493.65999999992</v>
      </c>
      <c r="F21" s="33">
        <v>0</v>
      </c>
      <c r="G21" s="164">
        <f t="shared" si="4"/>
        <v>1220253.0999999999</v>
      </c>
      <c r="H21" s="36">
        <v>8</v>
      </c>
      <c r="I21" s="61">
        <v>319</v>
      </c>
      <c r="J21" s="61">
        <v>78</v>
      </c>
      <c r="K21" s="62">
        <v>0</v>
      </c>
      <c r="L21" s="36">
        <v>1</v>
      </c>
      <c r="M21" s="61">
        <v>44</v>
      </c>
      <c r="N21" s="61">
        <v>10</v>
      </c>
      <c r="O21" s="61">
        <v>15</v>
      </c>
      <c r="P21" s="61">
        <v>0</v>
      </c>
      <c r="Q21" s="63">
        <v>0</v>
      </c>
      <c r="R21" s="64">
        <v>16</v>
      </c>
      <c r="S21" s="65">
        <v>27161</v>
      </c>
      <c r="T21" s="64">
        <v>9817</v>
      </c>
    </row>
    <row r="22" spans="1:20" s="1" customFormat="1" x14ac:dyDescent="0.3">
      <c r="A22" s="53" t="s">
        <v>68</v>
      </c>
      <c r="B22" s="34">
        <f t="shared" si="1"/>
        <v>69357719.500000015</v>
      </c>
      <c r="C22" s="33">
        <f t="shared" si="2"/>
        <v>19239292</v>
      </c>
      <c r="D22" s="33">
        <f t="shared" si="5"/>
        <v>0</v>
      </c>
      <c r="E22" s="33">
        <f t="shared" si="3"/>
        <v>3187204.1399999997</v>
      </c>
      <c r="F22" s="33">
        <v>0</v>
      </c>
      <c r="G22" s="164">
        <f t="shared" si="4"/>
        <v>4338567.2</v>
      </c>
      <c r="H22" s="36">
        <v>13.9</v>
      </c>
      <c r="I22" s="61">
        <v>594.14499999999998</v>
      </c>
      <c r="J22" s="61">
        <v>440.87200000000001</v>
      </c>
      <c r="K22" s="62">
        <v>265.05799999999999</v>
      </c>
      <c r="L22" s="36">
        <v>13</v>
      </c>
      <c r="M22" s="61">
        <v>102</v>
      </c>
      <c r="N22" s="61">
        <v>62</v>
      </c>
      <c r="O22" s="61">
        <v>11</v>
      </c>
      <c r="P22" s="61">
        <v>0</v>
      </c>
      <c r="Q22" s="63">
        <v>16</v>
      </c>
      <c r="R22" s="64">
        <v>0</v>
      </c>
      <c r="S22" s="65">
        <v>132469</v>
      </c>
      <c r="T22" s="64">
        <v>34904</v>
      </c>
    </row>
    <row r="23" spans="1:20" s="1" customFormat="1" ht="15" x14ac:dyDescent="0.25">
      <c r="A23" s="53" t="s">
        <v>27</v>
      </c>
      <c r="B23" s="34">
        <f t="shared" si="1"/>
        <v>8709850</v>
      </c>
      <c r="C23" s="33">
        <f t="shared" si="2"/>
        <v>1733695</v>
      </c>
      <c r="D23" s="33">
        <f t="shared" si="5"/>
        <v>743765</v>
      </c>
      <c r="E23" s="33">
        <f t="shared" si="3"/>
        <v>0</v>
      </c>
      <c r="F23" s="33">
        <f>VLOOKUP(A23,Renseanlæg!$I$2:$J$41,2,FALSE)</f>
        <v>1656350.0183565433</v>
      </c>
      <c r="G23" s="164">
        <f t="shared" si="4"/>
        <v>1349773.7</v>
      </c>
      <c r="H23" s="36">
        <v>88</v>
      </c>
      <c r="I23" s="61">
        <v>392</v>
      </c>
      <c r="J23" s="61">
        <v>65</v>
      </c>
      <c r="K23" s="62">
        <v>0</v>
      </c>
      <c r="L23" s="36">
        <v>76</v>
      </c>
      <c r="M23" s="61">
        <v>53</v>
      </c>
      <c r="N23" s="61">
        <v>3</v>
      </c>
      <c r="O23" s="61">
        <v>0</v>
      </c>
      <c r="P23" s="61">
        <v>0</v>
      </c>
      <c r="Q23" s="63">
        <v>0</v>
      </c>
      <c r="R23" s="64">
        <v>55</v>
      </c>
      <c r="S23" s="65">
        <v>0</v>
      </c>
      <c r="T23" s="64">
        <v>10859</v>
      </c>
    </row>
    <row r="24" spans="1:20" s="1" customFormat="1" x14ac:dyDescent="0.3">
      <c r="A24" s="53" t="s">
        <v>66</v>
      </c>
      <c r="B24" s="34">
        <f t="shared" si="1"/>
        <v>0</v>
      </c>
      <c r="C24" s="33">
        <f t="shared" si="2"/>
        <v>0</v>
      </c>
      <c r="D24" s="33">
        <f t="shared" si="5"/>
        <v>0</v>
      </c>
      <c r="E24" s="33">
        <f t="shared" si="3"/>
        <v>0</v>
      </c>
      <c r="F24" s="33">
        <f>VLOOKUP(A24,Renseanlæg!$I$2:$J$41,2,FALSE)</f>
        <v>5950942.1106186984</v>
      </c>
      <c r="G24" s="164">
        <f t="shared" si="4"/>
        <v>248.6</v>
      </c>
      <c r="H24" s="36">
        <v>0</v>
      </c>
      <c r="I24" s="61">
        <v>0</v>
      </c>
      <c r="J24" s="61">
        <v>0</v>
      </c>
      <c r="K24" s="62">
        <v>0</v>
      </c>
      <c r="L24" s="36">
        <v>0</v>
      </c>
      <c r="M24" s="61">
        <v>0</v>
      </c>
      <c r="N24" s="61">
        <v>0</v>
      </c>
      <c r="O24" s="61">
        <v>0</v>
      </c>
      <c r="P24" s="61">
        <v>0</v>
      </c>
      <c r="Q24" s="63">
        <v>0</v>
      </c>
      <c r="R24" s="64">
        <v>0</v>
      </c>
      <c r="S24" s="65">
        <v>0</v>
      </c>
      <c r="T24" s="64">
        <v>2</v>
      </c>
    </row>
    <row r="25" spans="1:20" s="1" customFormat="1" ht="15" x14ac:dyDescent="0.25">
      <c r="A25" s="53" t="s">
        <v>28</v>
      </c>
      <c r="B25" s="34">
        <f t="shared" si="1"/>
        <v>5128610</v>
      </c>
      <c r="C25" s="33">
        <f t="shared" si="2"/>
        <v>3028240</v>
      </c>
      <c r="D25" s="33">
        <f t="shared" si="5"/>
        <v>567966</v>
      </c>
      <c r="E25" s="33">
        <f t="shared" si="3"/>
        <v>303204.12</v>
      </c>
      <c r="F25" s="33">
        <f>VLOOKUP(A25,Renseanlæg!$I$2:$J$41,2,FALSE)</f>
        <v>15236741.80738925</v>
      </c>
      <c r="G25" s="164">
        <f t="shared" si="4"/>
        <v>1864500</v>
      </c>
      <c r="H25" s="36">
        <v>175</v>
      </c>
      <c r="I25" s="61">
        <v>539</v>
      </c>
      <c r="J25" s="61">
        <v>13</v>
      </c>
      <c r="K25" s="62">
        <v>0</v>
      </c>
      <c r="L25" s="36">
        <v>23</v>
      </c>
      <c r="M25" s="61">
        <v>136</v>
      </c>
      <c r="N25" s="61">
        <v>7</v>
      </c>
      <c r="O25" s="61">
        <v>0</v>
      </c>
      <c r="P25" s="61">
        <v>0</v>
      </c>
      <c r="Q25" s="63">
        <v>0</v>
      </c>
      <c r="R25" s="64">
        <v>42</v>
      </c>
      <c r="S25" s="65">
        <v>12602</v>
      </c>
      <c r="T25" s="64">
        <v>15000</v>
      </c>
    </row>
    <row r="26" spans="1:20" s="1" customFormat="1" x14ac:dyDescent="0.3">
      <c r="A26" s="53" t="s">
        <v>36</v>
      </c>
      <c r="B26" s="34">
        <f t="shared" si="1"/>
        <v>3165730</v>
      </c>
      <c r="C26" s="33">
        <f t="shared" si="2"/>
        <v>1733290</v>
      </c>
      <c r="D26" s="33">
        <f t="shared" si="5"/>
        <v>175799</v>
      </c>
      <c r="E26" s="33">
        <f t="shared" si="3"/>
        <v>0</v>
      </c>
      <c r="F26" s="33">
        <v>0</v>
      </c>
      <c r="G26" s="164">
        <f t="shared" si="4"/>
        <v>465379.2</v>
      </c>
      <c r="H26" s="36">
        <v>55</v>
      </c>
      <c r="I26" s="61">
        <v>96</v>
      </c>
      <c r="J26" s="61">
        <v>25</v>
      </c>
      <c r="K26" s="62">
        <v>0</v>
      </c>
      <c r="L26" s="36">
        <v>50</v>
      </c>
      <c r="M26" s="61">
        <v>61</v>
      </c>
      <c r="N26" s="61">
        <v>0</v>
      </c>
      <c r="O26" s="61">
        <v>4</v>
      </c>
      <c r="P26" s="61">
        <v>0</v>
      </c>
      <c r="Q26" s="63">
        <v>0</v>
      </c>
      <c r="R26" s="64">
        <v>13</v>
      </c>
      <c r="S26" s="65">
        <v>0</v>
      </c>
      <c r="T26" s="64">
        <v>3744</v>
      </c>
    </row>
    <row r="27" spans="1:20" s="1" customFormat="1" ht="15" x14ac:dyDescent="0.25">
      <c r="A27" s="53" t="s">
        <v>29</v>
      </c>
      <c r="B27" s="34">
        <f t="shared" si="1"/>
        <v>4362080</v>
      </c>
      <c r="C27" s="33">
        <f t="shared" si="2"/>
        <v>5444981</v>
      </c>
      <c r="D27" s="33">
        <f t="shared" si="5"/>
        <v>297506</v>
      </c>
      <c r="E27" s="33">
        <f t="shared" si="3"/>
        <v>201069.41999999998</v>
      </c>
      <c r="F27" s="33">
        <f>VLOOKUP(A27,Renseanlæg!$I$2:$J$41,2,FALSE)</f>
        <v>14502052.966832727</v>
      </c>
      <c r="G27" s="164">
        <f t="shared" si="4"/>
        <v>2355485</v>
      </c>
      <c r="H27" s="36">
        <v>417</v>
      </c>
      <c r="I27" s="61">
        <v>379</v>
      </c>
      <c r="J27" s="61">
        <v>0</v>
      </c>
      <c r="K27" s="62">
        <v>0</v>
      </c>
      <c r="L27" s="36">
        <v>51</v>
      </c>
      <c r="M27" s="61">
        <v>289</v>
      </c>
      <c r="N27" s="61">
        <v>0</v>
      </c>
      <c r="O27" s="61">
        <v>0</v>
      </c>
      <c r="P27" s="61">
        <v>0</v>
      </c>
      <c r="Q27" s="63">
        <v>0</v>
      </c>
      <c r="R27" s="64">
        <v>22</v>
      </c>
      <c r="S27" s="65">
        <v>8357</v>
      </c>
      <c r="T27" s="64">
        <v>18950</v>
      </c>
    </row>
    <row r="28" spans="1:20" s="1" customFormat="1" x14ac:dyDescent="0.3">
      <c r="A28" s="53" t="s">
        <v>30</v>
      </c>
      <c r="B28" s="34">
        <f t="shared" si="1"/>
        <v>4077120.0000000005</v>
      </c>
      <c r="C28" s="33">
        <f t="shared" si="2"/>
        <v>8329300</v>
      </c>
      <c r="D28" s="33">
        <f t="shared" si="5"/>
        <v>1379346</v>
      </c>
      <c r="E28" s="33">
        <f t="shared" si="3"/>
        <v>7290.1799999999994</v>
      </c>
      <c r="F28" s="33">
        <v>0</v>
      </c>
      <c r="G28" s="164">
        <f t="shared" si="4"/>
        <v>1902660.0999999999</v>
      </c>
      <c r="H28" s="36">
        <v>288</v>
      </c>
      <c r="I28" s="61">
        <v>456</v>
      </c>
      <c r="J28" s="61">
        <v>0</v>
      </c>
      <c r="K28" s="62">
        <v>0</v>
      </c>
      <c r="L28" s="36">
        <v>60</v>
      </c>
      <c r="M28" s="61">
        <v>295</v>
      </c>
      <c r="N28" s="61">
        <v>40</v>
      </c>
      <c r="O28" s="61">
        <v>0</v>
      </c>
      <c r="P28" s="61">
        <v>0</v>
      </c>
      <c r="Q28" s="63">
        <v>0</v>
      </c>
      <c r="R28" s="64">
        <v>102</v>
      </c>
      <c r="S28" s="65">
        <v>303</v>
      </c>
      <c r="T28" s="64">
        <v>15307</v>
      </c>
    </row>
    <row r="29" spans="1:20" s="1" customFormat="1" ht="15" x14ac:dyDescent="0.25">
      <c r="A29" s="53" t="s">
        <v>31</v>
      </c>
      <c r="B29" s="34">
        <f t="shared" si="1"/>
        <v>2570120.0000000005</v>
      </c>
      <c r="C29" s="33">
        <f t="shared" si="2"/>
        <v>6780426</v>
      </c>
      <c r="D29" s="33">
        <f t="shared" si="5"/>
        <v>419213</v>
      </c>
      <c r="E29" s="33">
        <f t="shared" si="3"/>
        <v>103073.04</v>
      </c>
      <c r="F29" s="33">
        <f>VLOOKUP(A29,Renseanlæg!$I$2:$J$41,2,FALSE)</f>
        <v>4794156.5094560459</v>
      </c>
      <c r="G29" s="164">
        <f t="shared" si="4"/>
        <v>1271091.8</v>
      </c>
      <c r="H29" s="36">
        <v>146</v>
      </c>
      <c r="I29" s="61">
        <v>323</v>
      </c>
      <c r="J29" s="61">
        <v>0</v>
      </c>
      <c r="K29" s="62">
        <v>0</v>
      </c>
      <c r="L29" s="36">
        <v>150</v>
      </c>
      <c r="M29" s="61">
        <v>196</v>
      </c>
      <c r="N29" s="61">
        <v>32</v>
      </c>
      <c r="O29" s="61">
        <v>0</v>
      </c>
      <c r="P29" s="61">
        <v>0</v>
      </c>
      <c r="Q29" s="63">
        <v>0</v>
      </c>
      <c r="R29" s="64">
        <v>31</v>
      </c>
      <c r="S29" s="65">
        <v>4284</v>
      </c>
      <c r="T29" s="64">
        <v>10226</v>
      </c>
    </row>
    <row r="30" spans="1:20" s="1" customFormat="1" ht="15" x14ac:dyDescent="0.25">
      <c r="A30" s="53" t="s">
        <v>32</v>
      </c>
      <c r="B30" s="34">
        <f t="shared" si="1"/>
        <v>14440080</v>
      </c>
      <c r="C30" s="33">
        <f t="shared" si="2"/>
        <v>12152999</v>
      </c>
      <c r="D30" s="33">
        <f t="shared" si="5"/>
        <v>1703898</v>
      </c>
      <c r="E30" s="33">
        <f t="shared" si="3"/>
        <v>743333.7</v>
      </c>
      <c r="F30" s="33">
        <f>VLOOKUP(A30,Renseanlæg!$I$2:$J$41,2,FALSE)</f>
        <v>55370104.230515294</v>
      </c>
      <c r="G30" s="164">
        <f t="shared" si="4"/>
        <v>3745780.5</v>
      </c>
      <c r="H30" s="36">
        <v>528</v>
      </c>
      <c r="I30" s="61">
        <v>1083</v>
      </c>
      <c r="J30" s="61">
        <v>60</v>
      </c>
      <c r="K30" s="62">
        <v>0</v>
      </c>
      <c r="L30" s="36">
        <v>492</v>
      </c>
      <c r="M30" s="61">
        <v>367</v>
      </c>
      <c r="N30" s="61">
        <v>18</v>
      </c>
      <c r="O30" s="61">
        <v>9</v>
      </c>
      <c r="P30" s="61">
        <v>0</v>
      </c>
      <c r="Q30" s="63">
        <v>0</v>
      </c>
      <c r="R30" s="64">
        <v>126</v>
      </c>
      <c r="S30" s="65">
        <v>30895</v>
      </c>
      <c r="T30" s="64">
        <v>30135</v>
      </c>
    </row>
    <row r="31" spans="1:20" s="1" customFormat="1" x14ac:dyDescent="0.3">
      <c r="A31" s="53" t="s">
        <v>33</v>
      </c>
      <c r="B31" s="34">
        <f t="shared" si="1"/>
        <v>6143080.0000000009</v>
      </c>
      <c r="C31" s="33">
        <f t="shared" si="2"/>
        <v>3765312</v>
      </c>
      <c r="D31" s="33">
        <f t="shared" si="5"/>
        <v>811380</v>
      </c>
      <c r="E31" s="33">
        <f t="shared" si="3"/>
        <v>39289.979999999996</v>
      </c>
      <c r="F31" s="33">
        <f>VLOOKUP(A31,Renseanlæg!$I$2:$J$41,2,FALSE)</f>
        <v>16820076.769661911</v>
      </c>
      <c r="G31" s="164">
        <f t="shared" si="4"/>
        <v>2125902.9</v>
      </c>
      <c r="H31" s="36">
        <v>239</v>
      </c>
      <c r="I31" s="61">
        <v>882</v>
      </c>
      <c r="J31" s="61">
        <v>0</v>
      </c>
      <c r="K31" s="62">
        <v>0</v>
      </c>
      <c r="L31" s="36">
        <v>0</v>
      </c>
      <c r="M31" s="61">
        <v>216</v>
      </c>
      <c r="N31" s="61">
        <v>0</v>
      </c>
      <c r="O31" s="61">
        <v>0</v>
      </c>
      <c r="P31" s="61">
        <v>0</v>
      </c>
      <c r="Q31" s="63">
        <v>0</v>
      </c>
      <c r="R31" s="64">
        <v>60</v>
      </c>
      <c r="S31" s="65">
        <v>1633</v>
      </c>
      <c r="T31" s="64">
        <v>17103</v>
      </c>
    </row>
    <row r="32" spans="1:20" s="1" customFormat="1" ht="15" x14ac:dyDescent="0.25">
      <c r="A32" s="53" t="s">
        <v>62</v>
      </c>
      <c r="B32" s="34">
        <f t="shared" si="1"/>
        <v>5792360.0000000009</v>
      </c>
      <c r="C32" s="33">
        <f t="shared" si="2"/>
        <v>8441982</v>
      </c>
      <c r="D32" s="33">
        <f t="shared" si="5"/>
        <v>135230</v>
      </c>
      <c r="E32" s="33">
        <f t="shared" si="3"/>
        <v>42153.119999999995</v>
      </c>
      <c r="F32" s="33">
        <f>VLOOKUP(A32,Renseanlæg!$I$2:$J$41,2,FALSE)</f>
        <v>19134620.61485</v>
      </c>
      <c r="G32" s="164">
        <f t="shared" si="4"/>
        <v>2502159</v>
      </c>
      <c r="H32" s="36">
        <v>554</v>
      </c>
      <c r="I32" s="61">
        <v>503</v>
      </c>
      <c r="J32" s="61">
        <v>0</v>
      </c>
      <c r="K32" s="62">
        <v>0</v>
      </c>
      <c r="L32" s="36">
        <v>408</v>
      </c>
      <c r="M32" s="61">
        <v>212</v>
      </c>
      <c r="N32" s="61">
        <v>22</v>
      </c>
      <c r="O32" s="61">
        <v>0</v>
      </c>
      <c r="P32" s="61">
        <v>0</v>
      </c>
      <c r="Q32" s="63">
        <v>0</v>
      </c>
      <c r="R32" s="64">
        <v>10</v>
      </c>
      <c r="S32" s="65">
        <v>1752</v>
      </c>
      <c r="T32" s="64">
        <v>20130</v>
      </c>
    </row>
    <row r="33" spans="1:20" s="1" customFormat="1" x14ac:dyDescent="0.3">
      <c r="A33" s="53" t="s">
        <v>34</v>
      </c>
      <c r="B33" s="34">
        <f t="shared" si="1"/>
        <v>13036261</v>
      </c>
      <c r="C33" s="33">
        <f t="shared" si="2"/>
        <v>958321.67599999998</v>
      </c>
      <c r="D33" s="33">
        <f t="shared" si="5"/>
        <v>81138</v>
      </c>
      <c r="E33" s="33">
        <f t="shared" si="3"/>
        <v>203355.12</v>
      </c>
      <c r="F33" s="33">
        <v>0</v>
      </c>
      <c r="G33" s="164">
        <f t="shared" si="4"/>
        <v>1405708.7</v>
      </c>
      <c r="H33" s="36">
        <v>38.4</v>
      </c>
      <c r="I33" s="61">
        <v>287.94</v>
      </c>
      <c r="J33" s="61">
        <v>120.26</v>
      </c>
      <c r="K33" s="62">
        <v>0</v>
      </c>
      <c r="L33" s="36">
        <v>26</v>
      </c>
      <c r="M33" s="61">
        <v>27</v>
      </c>
      <c r="N33" s="61">
        <v>3</v>
      </c>
      <c r="O33" s="61">
        <v>1</v>
      </c>
      <c r="P33" s="61">
        <v>0</v>
      </c>
      <c r="Q33" s="63">
        <v>1.2E-2</v>
      </c>
      <c r="R33" s="64">
        <v>6</v>
      </c>
      <c r="S33" s="65">
        <v>8452</v>
      </c>
      <c r="T33" s="64">
        <v>11309</v>
      </c>
    </row>
    <row r="34" spans="1:20" s="1" customFormat="1" x14ac:dyDescent="0.3">
      <c r="A34" s="53" t="s">
        <v>35</v>
      </c>
      <c r="B34" s="34">
        <f t="shared" si="1"/>
        <v>2783840</v>
      </c>
      <c r="C34" s="33">
        <f t="shared" si="2"/>
        <v>4100118</v>
      </c>
      <c r="D34" s="33">
        <f t="shared" si="5"/>
        <v>54092</v>
      </c>
      <c r="E34" s="33">
        <f t="shared" si="3"/>
        <v>0</v>
      </c>
      <c r="F34" s="33">
        <f>VLOOKUP(A34,Renseanlæg!$I$2:$J$41,2,FALSE)</f>
        <v>15787550.92139283</v>
      </c>
      <c r="G34" s="164">
        <f t="shared" si="4"/>
        <v>998004.7</v>
      </c>
      <c r="H34" s="36">
        <v>333</v>
      </c>
      <c r="I34" s="61">
        <v>175</v>
      </c>
      <c r="J34" s="61">
        <v>0</v>
      </c>
      <c r="K34" s="62">
        <v>0</v>
      </c>
      <c r="L34" s="36">
        <v>114</v>
      </c>
      <c r="M34" s="61">
        <v>183</v>
      </c>
      <c r="N34" s="61">
        <v>0</v>
      </c>
      <c r="O34" s="61">
        <v>0</v>
      </c>
      <c r="P34" s="61">
        <v>0</v>
      </c>
      <c r="Q34" s="63">
        <v>0</v>
      </c>
      <c r="R34" s="64">
        <v>4</v>
      </c>
      <c r="S34" s="65">
        <v>0</v>
      </c>
      <c r="T34" s="64">
        <v>8029</v>
      </c>
    </row>
    <row r="35" spans="1:20" s="1" customFormat="1" x14ac:dyDescent="0.3">
      <c r="A35" s="53" t="s">
        <v>37</v>
      </c>
      <c r="B35" s="34">
        <f t="shared" si="1"/>
        <v>2696160.0000000005</v>
      </c>
      <c r="C35" s="33">
        <f t="shared" si="2"/>
        <v>9681357</v>
      </c>
      <c r="D35" s="33">
        <f t="shared" ref="D35:D46" si="6">13523*R35</f>
        <v>473305</v>
      </c>
      <c r="E35" s="33">
        <f t="shared" si="3"/>
        <v>60631.199999999997</v>
      </c>
      <c r="F35" s="33">
        <f>VLOOKUP(A35,Renseanlæg!$I$2:$J$41,2,FALSE)</f>
        <v>16155122.53508758</v>
      </c>
      <c r="G35" s="164">
        <f t="shared" si="4"/>
        <v>1547907.9</v>
      </c>
      <c r="H35" s="36">
        <v>155</v>
      </c>
      <c r="I35" s="61">
        <v>337</v>
      </c>
      <c r="J35" s="61">
        <v>0</v>
      </c>
      <c r="K35" s="62">
        <v>0</v>
      </c>
      <c r="L35" s="36">
        <v>545</v>
      </c>
      <c r="M35" s="61">
        <v>114</v>
      </c>
      <c r="N35" s="61">
        <v>9</v>
      </c>
      <c r="O35" s="61">
        <v>6</v>
      </c>
      <c r="P35" s="61">
        <v>3</v>
      </c>
      <c r="Q35" s="63">
        <v>0</v>
      </c>
      <c r="R35" s="64">
        <v>35</v>
      </c>
      <c r="S35" s="65">
        <v>2520</v>
      </c>
      <c r="T35" s="64">
        <v>12453</v>
      </c>
    </row>
    <row r="36" spans="1:20" s="1" customFormat="1" x14ac:dyDescent="0.3">
      <c r="A36" s="53" t="s">
        <v>44</v>
      </c>
      <c r="B36" s="34">
        <f t="shared" si="1"/>
        <v>12839250</v>
      </c>
      <c r="C36" s="33">
        <f t="shared" si="2"/>
        <v>5584350</v>
      </c>
      <c r="D36" s="33">
        <f t="shared" si="6"/>
        <v>824903</v>
      </c>
      <c r="E36" s="33">
        <f t="shared" si="3"/>
        <v>417681.6</v>
      </c>
      <c r="F36" s="33">
        <f>VLOOKUP(A36,Renseanlæg!$I$2:$J$41,2,FALSE)</f>
        <v>22975062.585576028</v>
      </c>
      <c r="G36" s="164">
        <f t="shared" si="4"/>
        <v>3031925.6</v>
      </c>
      <c r="H36" s="36">
        <v>301</v>
      </c>
      <c r="I36" s="61">
        <v>796</v>
      </c>
      <c r="J36" s="61">
        <v>73</v>
      </c>
      <c r="K36" s="62">
        <v>0</v>
      </c>
      <c r="L36" s="36">
        <v>279</v>
      </c>
      <c r="M36" s="61">
        <v>117</v>
      </c>
      <c r="N36" s="61">
        <v>7</v>
      </c>
      <c r="O36" s="61">
        <v>1</v>
      </c>
      <c r="P36" s="61">
        <v>0</v>
      </c>
      <c r="Q36" s="63">
        <v>1</v>
      </c>
      <c r="R36" s="64">
        <v>61</v>
      </c>
      <c r="S36" s="65">
        <v>17360</v>
      </c>
      <c r="T36" s="64">
        <v>24392</v>
      </c>
    </row>
    <row r="37" spans="1:20" s="1" customFormat="1" x14ac:dyDescent="0.3">
      <c r="A37" s="53" t="s">
        <v>38</v>
      </c>
      <c r="B37" s="34">
        <f t="shared" si="1"/>
        <v>3121820</v>
      </c>
      <c r="C37" s="33">
        <f t="shared" si="2"/>
        <v>1513825</v>
      </c>
      <c r="D37" s="33">
        <f t="shared" si="6"/>
        <v>446259</v>
      </c>
      <c r="E37" s="33">
        <f t="shared" si="3"/>
        <v>0</v>
      </c>
      <c r="F37" s="33">
        <f>VLOOKUP(A37,Renseanlæg!$I$2:$J$41,2,FALSE)</f>
        <v>6790338.8164812662</v>
      </c>
      <c r="G37" s="164">
        <f t="shared" si="4"/>
        <v>990671</v>
      </c>
      <c r="H37" s="36">
        <v>212</v>
      </c>
      <c r="I37" s="61">
        <v>187</v>
      </c>
      <c r="J37" s="61">
        <v>10</v>
      </c>
      <c r="K37" s="62">
        <v>0</v>
      </c>
      <c r="L37" s="36">
        <v>87</v>
      </c>
      <c r="M37" s="61">
        <v>47</v>
      </c>
      <c r="N37" s="61">
        <v>0</v>
      </c>
      <c r="O37" s="61">
        <v>0</v>
      </c>
      <c r="P37" s="61">
        <v>0</v>
      </c>
      <c r="Q37" s="63">
        <v>0</v>
      </c>
      <c r="R37" s="64">
        <v>33</v>
      </c>
      <c r="S37" s="65">
        <v>0</v>
      </c>
      <c r="T37" s="64">
        <v>7970</v>
      </c>
    </row>
    <row r="38" spans="1:20" x14ac:dyDescent="0.3">
      <c r="A38" s="53" t="s">
        <v>46</v>
      </c>
      <c r="B38" s="34">
        <f t="shared" si="1"/>
        <v>6258160.0000000009</v>
      </c>
      <c r="C38" s="33">
        <f t="shared" si="2"/>
        <v>3699770</v>
      </c>
      <c r="D38" s="33">
        <f t="shared" si="6"/>
        <v>148753</v>
      </c>
      <c r="E38" s="33">
        <f t="shared" si="3"/>
        <v>456971.57999999996</v>
      </c>
      <c r="F38" s="33">
        <f>VLOOKUP(A38,Renseanlæg!$I$2:$J$41,2,FALSE)</f>
        <v>9196767.9407362547</v>
      </c>
      <c r="G38" s="164">
        <f t="shared" si="4"/>
        <v>1841131.5999999999</v>
      </c>
      <c r="H38" s="36">
        <v>95</v>
      </c>
      <c r="I38" s="61">
        <v>1047</v>
      </c>
      <c r="J38" s="61">
        <v>0</v>
      </c>
      <c r="K38" s="62">
        <v>0</v>
      </c>
      <c r="L38" s="36">
        <v>34</v>
      </c>
      <c r="M38" s="61">
        <v>119</v>
      </c>
      <c r="N38" s="61">
        <v>19</v>
      </c>
      <c r="O38" s="61">
        <v>1</v>
      </c>
      <c r="P38" s="61">
        <v>0</v>
      </c>
      <c r="Q38" s="63">
        <v>0</v>
      </c>
      <c r="R38" s="64">
        <v>11</v>
      </c>
      <c r="S38" s="65">
        <v>18993</v>
      </c>
      <c r="T38" s="64">
        <v>14812</v>
      </c>
    </row>
    <row r="39" spans="1:20" x14ac:dyDescent="0.3">
      <c r="A39" s="53" t="s">
        <v>39</v>
      </c>
      <c r="B39" s="34">
        <f t="shared" si="1"/>
        <v>904200</v>
      </c>
      <c r="C39" s="33">
        <f t="shared" si="2"/>
        <v>1708998</v>
      </c>
      <c r="D39" s="33">
        <f t="shared" si="6"/>
        <v>40569</v>
      </c>
      <c r="E39" s="33">
        <f t="shared" si="3"/>
        <v>0</v>
      </c>
      <c r="F39" s="33">
        <f>VLOOKUP(A39,Renseanlæg!$I$2:$J$41,2,FALSE)</f>
        <v>2584846.8462576643</v>
      </c>
      <c r="G39" s="164">
        <f t="shared" si="4"/>
        <v>283528.3</v>
      </c>
      <c r="H39" s="36">
        <v>141</v>
      </c>
      <c r="I39" s="61">
        <v>24</v>
      </c>
      <c r="J39" s="61">
        <v>0</v>
      </c>
      <c r="K39" s="62">
        <v>0</v>
      </c>
      <c r="L39" s="36">
        <v>47</v>
      </c>
      <c r="M39" s="61">
        <v>32</v>
      </c>
      <c r="N39" s="61">
        <v>0</v>
      </c>
      <c r="O39" s="61">
        <v>0</v>
      </c>
      <c r="P39" s="61">
        <v>1</v>
      </c>
      <c r="Q39" s="63">
        <v>0</v>
      </c>
      <c r="R39" s="64">
        <v>3</v>
      </c>
      <c r="S39" s="65">
        <v>0</v>
      </c>
      <c r="T39" s="64">
        <v>2281</v>
      </c>
    </row>
    <row r="40" spans="1:20" x14ac:dyDescent="0.3">
      <c r="A40" s="53" t="s">
        <v>47</v>
      </c>
      <c r="B40" s="34">
        <f t="shared" si="1"/>
        <v>13048830</v>
      </c>
      <c r="C40" s="33">
        <f t="shared" si="2"/>
        <v>4819404</v>
      </c>
      <c r="D40" s="33">
        <f t="shared" si="6"/>
        <v>1676852</v>
      </c>
      <c r="E40" s="33">
        <f t="shared" si="3"/>
        <v>175541.75999999998</v>
      </c>
      <c r="F40" s="33">
        <f>VLOOKUP(A40,Renseanlæg!$I$2:$J$41,2,FALSE)</f>
        <v>30317604.435407966</v>
      </c>
      <c r="G40" s="164">
        <f t="shared" si="4"/>
        <v>3211290.5</v>
      </c>
      <c r="H40" s="36">
        <v>519</v>
      </c>
      <c r="I40" s="61">
        <v>1060</v>
      </c>
      <c r="J40" s="61">
        <v>47</v>
      </c>
      <c r="K40" s="62">
        <v>0</v>
      </c>
      <c r="L40" s="36">
        <v>126</v>
      </c>
      <c r="M40" s="61">
        <v>211</v>
      </c>
      <c r="N40" s="61">
        <v>2</v>
      </c>
      <c r="O40" s="61">
        <v>0</v>
      </c>
      <c r="P40" s="61">
        <v>0</v>
      </c>
      <c r="Q40" s="63">
        <v>0</v>
      </c>
      <c r="R40" s="64">
        <v>124</v>
      </c>
      <c r="S40" s="65">
        <v>7296</v>
      </c>
      <c r="T40" s="64">
        <v>25835</v>
      </c>
    </row>
    <row r="41" spans="1:20" x14ac:dyDescent="0.3">
      <c r="A41" s="53" t="s">
        <v>48</v>
      </c>
      <c r="B41" s="34">
        <f t="shared" si="1"/>
        <v>5725560.0000000009</v>
      </c>
      <c r="C41" s="33">
        <f t="shared" si="2"/>
        <v>3802239</v>
      </c>
      <c r="D41" s="33">
        <f t="shared" si="6"/>
        <v>1419915</v>
      </c>
      <c r="E41" s="33">
        <f t="shared" si="3"/>
        <v>172822.97999999998</v>
      </c>
      <c r="F41" s="33">
        <f>VLOOKUP(A41,Renseanlæg!$I$2:$J$41,2,FALSE)</f>
        <v>21498059.171138816</v>
      </c>
      <c r="G41" s="164">
        <f t="shared" si="4"/>
        <v>2225094.2999999998</v>
      </c>
      <c r="H41" s="36">
        <v>280</v>
      </c>
      <c r="I41" s="61">
        <v>560</v>
      </c>
      <c r="J41" s="61">
        <v>12</v>
      </c>
      <c r="K41" s="62">
        <v>0</v>
      </c>
      <c r="L41" s="36">
        <v>84</v>
      </c>
      <c r="M41" s="61">
        <v>168</v>
      </c>
      <c r="N41" s="61">
        <v>3</v>
      </c>
      <c r="O41" s="61">
        <v>0</v>
      </c>
      <c r="P41" s="61">
        <v>0</v>
      </c>
      <c r="Q41" s="63">
        <v>0</v>
      </c>
      <c r="R41" s="64">
        <v>105</v>
      </c>
      <c r="S41" s="65">
        <v>7183</v>
      </c>
      <c r="T41" s="64">
        <v>17901</v>
      </c>
    </row>
    <row r="42" spans="1:20" x14ac:dyDescent="0.3">
      <c r="A42" s="53" t="s">
        <v>49</v>
      </c>
      <c r="B42" s="34">
        <f t="shared" si="1"/>
        <v>7099260</v>
      </c>
      <c r="C42" s="33">
        <f t="shared" si="2"/>
        <v>5621580</v>
      </c>
      <c r="D42" s="33">
        <f t="shared" si="6"/>
        <v>892518</v>
      </c>
      <c r="E42" s="33">
        <f t="shared" si="3"/>
        <v>538318.43999999994</v>
      </c>
      <c r="F42" s="33">
        <f>VLOOKUP(A42,Renseanlæg!$I$2:$J$41,2,FALSE)</f>
        <v>21940099.989483118</v>
      </c>
      <c r="G42" s="164">
        <f t="shared" si="4"/>
        <v>1872082.3</v>
      </c>
      <c r="H42" s="36">
        <v>302</v>
      </c>
      <c r="I42" s="61">
        <v>618</v>
      </c>
      <c r="J42" s="61">
        <v>22</v>
      </c>
      <c r="K42" s="62">
        <v>0</v>
      </c>
      <c r="L42" s="36">
        <v>36</v>
      </c>
      <c r="M42" s="61">
        <v>306</v>
      </c>
      <c r="N42" s="61">
        <v>0</v>
      </c>
      <c r="O42" s="61">
        <v>0</v>
      </c>
      <c r="P42" s="61">
        <v>0</v>
      </c>
      <c r="Q42" s="63">
        <v>0</v>
      </c>
      <c r="R42" s="64">
        <v>66</v>
      </c>
      <c r="S42" s="65">
        <v>22374</v>
      </c>
      <c r="T42" s="64">
        <v>15061</v>
      </c>
    </row>
    <row r="43" spans="1:20" x14ac:dyDescent="0.3">
      <c r="A43" s="53" t="s">
        <v>50</v>
      </c>
      <c r="B43" s="34">
        <f t="shared" si="1"/>
        <v>3465650</v>
      </c>
      <c r="C43" s="33">
        <f t="shared" si="2"/>
        <v>1486966</v>
      </c>
      <c r="D43" s="33">
        <f t="shared" si="6"/>
        <v>108184</v>
      </c>
      <c r="E43" s="33">
        <f t="shared" si="3"/>
        <v>5630.04</v>
      </c>
      <c r="F43" s="33">
        <f>VLOOKUP(A43,Renseanlæg!$I$2:$J$41,2,FALSE)</f>
        <v>5071705.4064911082</v>
      </c>
      <c r="G43" s="164">
        <f t="shared" si="4"/>
        <v>826843.6</v>
      </c>
      <c r="H43" s="36">
        <v>47</v>
      </c>
      <c r="I43" s="61">
        <v>227</v>
      </c>
      <c r="J43" s="61">
        <v>21</v>
      </c>
      <c r="K43" s="62">
        <v>0</v>
      </c>
      <c r="L43" s="36">
        <v>0</v>
      </c>
      <c r="M43" s="61">
        <v>62</v>
      </c>
      <c r="N43" s="61">
        <v>4</v>
      </c>
      <c r="O43" s="61">
        <v>2</v>
      </c>
      <c r="P43" s="61">
        <v>0</v>
      </c>
      <c r="Q43" s="63">
        <v>0</v>
      </c>
      <c r="R43" s="64">
        <v>8</v>
      </c>
      <c r="S43" s="65">
        <v>234</v>
      </c>
      <c r="T43" s="64">
        <v>6652</v>
      </c>
    </row>
    <row r="44" spans="1:20" x14ac:dyDescent="0.3">
      <c r="A44" s="53" t="s">
        <v>51</v>
      </c>
      <c r="B44" s="34">
        <f t="shared" si="1"/>
        <v>295920</v>
      </c>
      <c r="C44" s="33">
        <f t="shared" si="2"/>
        <v>676970</v>
      </c>
      <c r="D44" s="33">
        <f t="shared" si="6"/>
        <v>67615</v>
      </c>
      <c r="E44" s="33">
        <f t="shared" si="3"/>
        <v>72180</v>
      </c>
      <c r="F44" s="33">
        <f>VLOOKUP(A44,Renseanlæg!$I$2:$J$41,2,FALSE)</f>
        <v>45958572.518038787</v>
      </c>
      <c r="G44" s="164">
        <f t="shared" si="4"/>
        <v>1243</v>
      </c>
      <c r="H44" s="36">
        <v>54</v>
      </c>
      <c r="I44" s="61">
        <v>0</v>
      </c>
      <c r="J44" s="61">
        <v>0</v>
      </c>
      <c r="K44" s="62">
        <v>0</v>
      </c>
      <c r="L44" s="36">
        <v>0</v>
      </c>
      <c r="M44" s="61">
        <v>0</v>
      </c>
      <c r="N44" s="61">
        <v>1</v>
      </c>
      <c r="O44" s="61">
        <v>9</v>
      </c>
      <c r="P44" s="61">
        <v>0</v>
      </c>
      <c r="Q44" s="63">
        <v>0</v>
      </c>
      <c r="R44" s="64">
        <v>5</v>
      </c>
      <c r="S44" s="65">
        <v>3000</v>
      </c>
      <c r="T44" s="64">
        <v>10</v>
      </c>
    </row>
    <row r="45" spans="1:20" x14ac:dyDescent="0.3">
      <c r="A45" s="53" t="s">
        <v>40</v>
      </c>
      <c r="B45" s="34">
        <f t="shared" si="1"/>
        <v>4044240.0000000005</v>
      </c>
      <c r="C45" s="33">
        <f t="shared" si="2"/>
        <v>5121748</v>
      </c>
      <c r="D45" s="33">
        <f t="shared" si="6"/>
        <v>743765</v>
      </c>
      <c r="E45" s="33">
        <f t="shared" si="3"/>
        <v>150158.46</v>
      </c>
      <c r="F45" s="33">
        <f>VLOOKUP(A45,Renseanlæg!$I$2:$J$41,2,FALSE)</f>
        <v>13037796.348940277</v>
      </c>
      <c r="G45" s="164">
        <f t="shared" si="4"/>
        <v>2532861.1</v>
      </c>
      <c r="H45" s="36">
        <v>427</v>
      </c>
      <c r="I45" s="61">
        <v>311</v>
      </c>
      <c r="J45" s="61">
        <v>0</v>
      </c>
      <c r="K45" s="62">
        <v>0</v>
      </c>
      <c r="L45" s="36">
        <v>253</v>
      </c>
      <c r="M45" s="61">
        <v>143</v>
      </c>
      <c r="N45" s="61">
        <v>9</v>
      </c>
      <c r="O45" s="61">
        <v>0</v>
      </c>
      <c r="P45" s="61">
        <v>0</v>
      </c>
      <c r="Q45" s="63">
        <v>0</v>
      </c>
      <c r="R45" s="64">
        <v>55</v>
      </c>
      <c r="S45" s="65">
        <v>6241</v>
      </c>
      <c r="T45" s="64">
        <v>20377</v>
      </c>
    </row>
    <row r="46" spans="1:20" x14ac:dyDescent="0.3">
      <c r="A46" s="53" t="s">
        <v>41</v>
      </c>
      <c r="B46" s="34">
        <f t="shared" si="1"/>
        <v>32214640</v>
      </c>
      <c r="C46" s="33">
        <f t="shared" si="2"/>
        <v>15983825</v>
      </c>
      <c r="D46" s="33">
        <f t="shared" si="6"/>
        <v>2055496</v>
      </c>
      <c r="E46" s="33">
        <f t="shared" si="3"/>
        <v>391263.72</v>
      </c>
      <c r="F46" s="33">
        <f>VLOOKUP(A46,Renseanlæg!$I$2:$J$41,2,FALSE)</f>
        <v>78943951.521482691</v>
      </c>
      <c r="G46" s="164">
        <f t="shared" si="4"/>
        <v>9156683.7999999989</v>
      </c>
      <c r="H46" s="36">
        <v>488</v>
      </c>
      <c r="I46" s="61">
        <v>1704</v>
      </c>
      <c r="J46" s="61">
        <v>194</v>
      </c>
      <c r="K46" s="62">
        <v>22</v>
      </c>
      <c r="L46" s="36">
        <v>1120</v>
      </c>
      <c r="M46" s="61">
        <v>338</v>
      </c>
      <c r="N46" s="61">
        <v>14</v>
      </c>
      <c r="O46" s="61">
        <v>3</v>
      </c>
      <c r="P46" s="61">
        <v>0</v>
      </c>
      <c r="Q46" s="63">
        <v>0</v>
      </c>
      <c r="R46" s="64">
        <v>152</v>
      </c>
      <c r="S46" s="65">
        <v>16262</v>
      </c>
      <c r="T46" s="64">
        <v>73666</v>
      </c>
    </row>
    <row r="47" spans="1:20" x14ac:dyDescent="0.3">
      <c r="A47" s="53" t="s">
        <v>42</v>
      </c>
      <c r="B47" s="34">
        <f t="shared" si="1"/>
        <v>5317820</v>
      </c>
      <c r="C47" s="33">
        <f t="shared" si="2"/>
        <v>2334872</v>
      </c>
      <c r="D47" s="33">
        <f t="shared" ref="D47:D50" si="7">13523*R47</f>
        <v>500351</v>
      </c>
      <c r="E47" s="33">
        <f t="shared" si="3"/>
        <v>363666.89999999997</v>
      </c>
      <c r="F47" s="33">
        <f>VLOOKUP(A47,Renseanlæg!$I$2:$J$41,2,FALSE)</f>
        <v>22059378.993455194</v>
      </c>
      <c r="G47" s="164">
        <f t="shared" si="4"/>
        <v>2112229.9</v>
      </c>
      <c r="H47" s="36">
        <v>381</v>
      </c>
      <c r="I47" s="61">
        <v>487</v>
      </c>
      <c r="J47" s="61">
        <v>6</v>
      </c>
      <c r="K47" s="62">
        <v>0</v>
      </c>
      <c r="L47" s="36">
        <v>219</v>
      </c>
      <c r="M47" s="61">
        <v>22</v>
      </c>
      <c r="N47" s="61">
        <v>3</v>
      </c>
      <c r="O47" s="61">
        <v>0</v>
      </c>
      <c r="P47" s="61">
        <v>0</v>
      </c>
      <c r="Q47" s="63">
        <v>0</v>
      </c>
      <c r="R47" s="64">
        <v>37</v>
      </c>
      <c r="S47" s="65">
        <v>15115</v>
      </c>
      <c r="T47" s="64">
        <v>16993</v>
      </c>
    </row>
    <row r="48" spans="1:20" x14ac:dyDescent="0.3">
      <c r="A48" s="53" t="s">
        <v>52</v>
      </c>
      <c r="B48" s="34">
        <f t="shared" si="1"/>
        <v>4203160.0000000009</v>
      </c>
      <c r="C48" s="33">
        <f t="shared" si="2"/>
        <v>1298868</v>
      </c>
      <c r="D48" s="33">
        <f t="shared" si="7"/>
        <v>1041271</v>
      </c>
      <c r="E48" s="33">
        <f t="shared" si="3"/>
        <v>515052.42</v>
      </c>
      <c r="F48" s="33">
        <f>VLOOKUP(A48,Renseanlæg!$I$2:$J$41,2,FALSE)</f>
        <v>15089110.578769254</v>
      </c>
      <c r="G48" s="164">
        <f t="shared" si="4"/>
        <v>548660.19999999995</v>
      </c>
      <c r="H48" s="36">
        <v>155</v>
      </c>
      <c r="I48" s="61">
        <v>612</v>
      </c>
      <c r="J48" s="61">
        <v>0</v>
      </c>
      <c r="K48" s="62">
        <v>0</v>
      </c>
      <c r="L48" s="36">
        <v>39</v>
      </c>
      <c r="M48" s="61">
        <v>45</v>
      </c>
      <c r="N48" s="61">
        <v>2</v>
      </c>
      <c r="O48" s="61">
        <v>1</v>
      </c>
      <c r="P48" s="61">
        <v>0</v>
      </c>
      <c r="Q48" s="63">
        <v>0</v>
      </c>
      <c r="R48" s="64">
        <v>77</v>
      </c>
      <c r="S48" s="65">
        <v>21407</v>
      </c>
      <c r="T48" s="64">
        <v>4414</v>
      </c>
    </row>
    <row r="49" spans="1:20" x14ac:dyDescent="0.3">
      <c r="A49" s="53" t="s">
        <v>43</v>
      </c>
      <c r="B49" s="34">
        <f t="shared" si="1"/>
        <v>17909060</v>
      </c>
      <c r="C49" s="33">
        <f t="shared" si="2"/>
        <v>9062618</v>
      </c>
      <c r="D49" s="33">
        <f t="shared" si="7"/>
        <v>2555847</v>
      </c>
      <c r="E49" s="33">
        <f t="shared" si="3"/>
        <v>609223.26</v>
      </c>
      <c r="F49" s="33">
        <f>VLOOKUP(A49,Renseanlæg!$I$2:$J$41,2,FALSE)</f>
        <v>43109286.711240843</v>
      </c>
      <c r="G49" s="164">
        <f t="shared" si="4"/>
        <v>3517565.6999999997</v>
      </c>
      <c r="H49" s="46">
        <v>478</v>
      </c>
      <c r="I49" s="66">
        <v>1254</v>
      </c>
      <c r="J49" s="66">
        <v>90</v>
      </c>
      <c r="K49" s="67">
        <v>0</v>
      </c>
      <c r="L49" s="46">
        <v>610</v>
      </c>
      <c r="M49" s="66">
        <v>225</v>
      </c>
      <c r="N49" s="66">
        <v>3</v>
      </c>
      <c r="O49" s="66">
        <v>1</v>
      </c>
      <c r="P49" s="66">
        <v>0</v>
      </c>
      <c r="Q49" s="68">
        <v>0</v>
      </c>
      <c r="R49" s="69">
        <v>189</v>
      </c>
      <c r="S49" s="70">
        <v>25321</v>
      </c>
      <c r="T49" s="69">
        <v>28299</v>
      </c>
    </row>
    <row r="50" spans="1:20" ht="15" thickBot="1" x14ac:dyDescent="0.35">
      <c r="A50" s="54" t="s">
        <v>45</v>
      </c>
      <c r="B50" s="165">
        <f t="shared" si="1"/>
        <v>44935460</v>
      </c>
      <c r="C50" s="166">
        <f t="shared" si="2"/>
        <v>7948157</v>
      </c>
      <c r="D50" s="166">
        <f t="shared" si="7"/>
        <v>4205653</v>
      </c>
      <c r="E50" s="166">
        <f t="shared" si="3"/>
        <v>950779.0199999999</v>
      </c>
      <c r="F50" s="166">
        <f>VLOOKUP(A50,Renseanlæg!$I$2:$J$41,2,FALSE)</f>
        <v>86658417.972450018</v>
      </c>
      <c r="G50" s="167">
        <f t="shared" si="4"/>
        <v>9738034.9000000004</v>
      </c>
      <c r="H50" s="49">
        <v>273</v>
      </c>
      <c r="I50" s="44">
        <v>1885</v>
      </c>
      <c r="J50" s="44">
        <v>189</v>
      </c>
      <c r="K50" s="71">
        <v>165</v>
      </c>
      <c r="L50" s="49">
        <v>545</v>
      </c>
      <c r="M50" s="44">
        <v>152</v>
      </c>
      <c r="N50" s="44">
        <v>12</v>
      </c>
      <c r="O50" s="44">
        <v>2</v>
      </c>
      <c r="P50" s="44">
        <v>0</v>
      </c>
      <c r="Q50" s="72">
        <v>0</v>
      </c>
      <c r="R50" s="73">
        <v>311</v>
      </c>
      <c r="S50" s="74">
        <v>39517</v>
      </c>
      <c r="T50" s="73">
        <v>78343</v>
      </c>
    </row>
    <row r="60" spans="1:20" ht="14.25" customHeight="1" x14ac:dyDescent="0.3"/>
  </sheetData>
  <sortState ref="A3:AP111">
    <sortCondition ref="A3"/>
  </sortState>
  <customSheetViews>
    <customSheetView guid="{88D7A6C6-1D77-4300-8600-F7BD640C7FF4}">
      <pane xSplit="1" ySplit="2" topLeftCell="C3" activePane="bottomRight" state="frozen"/>
      <selection pane="bottomRight" activeCell="L7" sqref="L7"/>
      <pageMargins left="0.7" right="0.7" top="0.75" bottom="0.75" header="0.3" footer="0.3"/>
      <pageSetup paperSize="9" orientation="portrait" r:id="rId1"/>
    </customSheetView>
    <customSheetView guid="{78B6FDE5-7C04-44E0-987D-B0794FC3C0C0}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2"/>
    </customSheetView>
    <customSheetView guid="{898A57C7-EA84-4A1C-AA42-8284F31DD32C}">
      <pane xSplit="1" ySplit="2" topLeftCell="S18" activePane="bottomRight" state="frozen"/>
      <selection pane="bottomRight" activeCell="A27" sqref="A27"/>
      <pageMargins left="0.7" right="0.7" top="0.75" bottom="0.75" header="0.3" footer="0.3"/>
      <pageSetup paperSize="9" orientation="portrait" r:id="rId3"/>
    </customSheetView>
    <customSheetView guid="{1AAC2EB3-B963-4CB8-8604-06326666FF8C}">
      <pane xSplit="1" ySplit="2" topLeftCell="B28" activePane="bottomRight" state="frozen"/>
      <selection pane="bottomRight" activeCell="G30" sqref="G30"/>
      <pageMargins left="0.7" right="0.7" top="0.75" bottom="0.75" header="0.3" footer="0.3"/>
      <pageSetup paperSize="9" orientation="portrait" r:id="rId4"/>
    </customSheetView>
    <customSheetView guid="{A178F800-3B7E-4511-BF10-5AA233FDE985}">
      <pane xSplit="1" ySplit="2" topLeftCell="D86" activePane="bottomRight" state="frozen"/>
      <selection pane="bottomRight" activeCell="M88" sqref="M88"/>
      <pageMargins left="0.7" right="0.7" top="0.75" bottom="0.75" header="0.3" footer="0.3"/>
      <pageSetup paperSize="9" orientation="portrait" r:id="rId5"/>
    </customSheetView>
    <customSheetView guid="{80E426B4-B9D0-45E3-ACA1-6AA797532F97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6"/>
    </customSheetView>
    <customSheetView guid="{630A50AD-37E0-4B13-8A0F-82608C065D57}">
      <pane xSplit="1" ySplit="2" topLeftCell="B48" activePane="bottomRight" state="frozen"/>
      <selection pane="bottomRight" activeCell="G57" sqref="G57"/>
      <pageMargins left="0.7" right="0.7" top="0.75" bottom="0.75" header="0.3" footer="0.3"/>
      <pageSetup paperSize="9" orientation="portrait" r:id="rId7"/>
    </customSheetView>
    <customSheetView guid="{CA125778-F8FD-4378-B746-C94ABF8D8556}">
      <pane xSplit="1" ySplit="2" topLeftCell="B43" activePane="bottomRight" state="frozen"/>
      <selection pane="bottomRight" activeCell="A49" sqref="A49:XFD49"/>
      <pageMargins left="0.7" right="0.7" top="0.75" bottom="0.75" header="0.3" footer="0.3"/>
      <pageSetup paperSize="9" orientation="portrait" r:id="rId8"/>
    </customSheetView>
  </customSheetViews>
  <mergeCells count="4">
    <mergeCell ref="A1:A2"/>
    <mergeCell ref="H1:K1"/>
    <mergeCell ref="B1:G1"/>
    <mergeCell ref="L1:Q1"/>
  </mergeCell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8"/>
  <sheetViews>
    <sheetView workbookViewId="0">
      <selection activeCell="H7" sqref="H7"/>
    </sheetView>
  </sheetViews>
  <sheetFormatPr defaultRowHeight="14.4" x14ac:dyDescent="0.3"/>
  <cols>
    <col min="1" max="1" width="36.88671875" style="6" bestFit="1" customWidth="1"/>
    <col min="2" max="2" width="14.33203125" style="77" customWidth="1"/>
    <col min="3" max="3" width="22.44140625" style="6" customWidth="1"/>
    <col min="4" max="4" width="20.33203125" style="77" customWidth="1"/>
    <col min="5" max="5" width="21.6640625" style="6" customWidth="1"/>
    <col min="6" max="6" width="18.109375" style="6" customWidth="1"/>
    <col min="7" max="7" width="12.109375" style="6" customWidth="1"/>
    <col min="9" max="9" width="36.88671875" bestFit="1" customWidth="1"/>
    <col min="10" max="10" width="24.88671875" bestFit="1" customWidth="1"/>
  </cols>
  <sheetData>
    <row r="1" spans="1:10" ht="40.799999999999997" thickBot="1" x14ac:dyDescent="0.35">
      <c r="A1" s="237" t="s">
        <v>98</v>
      </c>
      <c r="B1" s="238" t="s">
        <v>53</v>
      </c>
      <c r="C1" s="239" t="s">
        <v>99</v>
      </c>
      <c r="D1" s="238" t="s">
        <v>54</v>
      </c>
      <c r="E1" s="239" t="s">
        <v>163</v>
      </c>
      <c r="F1" s="239" t="s">
        <v>100</v>
      </c>
      <c r="G1" s="240" t="s">
        <v>101</v>
      </c>
      <c r="I1" s="24" t="s">
        <v>98</v>
      </c>
      <c r="J1" s="24" t="s">
        <v>101</v>
      </c>
    </row>
    <row r="2" spans="1:10" x14ac:dyDescent="0.3">
      <c r="A2" s="84" t="s">
        <v>12</v>
      </c>
      <c r="B2" s="95">
        <v>16500</v>
      </c>
      <c r="C2" s="96"/>
      <c r="D2" s="97">
        <v>17890</v>
      </c>
      <c r="E2" s="96"/>
      <c r="F2" s="97">
        <f t="shared" ref="F2:F65" si="0">(1239*((B2+D2)/2)^0.83)+2195</f>
        <v>4061532.0806099046</v>
      </c>
      <c r="G2" s="98"/>
      <c r="I2" s="230" t="s">
        <v>12</v>
      </c>
      <c r="J2" s="235">
        <v>8444020.8026141096</v>
      </c>
    </row>
    <row r="3" spans="1:10" x14ac:dyDescent="0.3">
      <c r="A3" s="85" t="s">
        <v>12</v>
      </c>
      <c r="B3" s="99">
        <v>12000</v>
      </c>
      <c r="C3" s="100"/>
      <c r="D3" s="101">
        <v>5819</v>
      </c>
      <c r="E3" s="100"/>
      <c r="F3" s="101">
        <f t="shared" si="0"/>
        <v>2354261.3683258169</v>
      </c>
      <c r="G3" s="102"/>
      <c r="I3" s="231" t="s">
        <v>63</v>
      </c>
      <c r="J3" s="234">
        <v>23912894.791507509</v>
      </c>
    </row>
    <row r="4" spans="1:10" ht="15" thickBot="1" x14ac:dyDescent="0.35">
      <c r="A4" s="86" t="s">
        <v>12</v>
      </c>
      <c r="B4" s="103">
        <v>6000</v>
      </c>
      <c r="C4" s="104"/>
      <c r="D4" s="105">
        <v>8887</v>
      </c>
      <c r="E4" s="104"/>
      <c r="F4" s="105">
        <f t="shared" si="0"/>
        <v>2028227.3536783878</v>
      </c>
      <c r="G4" s="150">
        <f>SUM(F2:F4)</f>
        <v>8444020.8026141096</v>
      </c>
      <c r="I4" s="231" t="s">
        <v>13</v>
      </c>
      <c r="J4" s="234">
        <v>18529107.932903618</v>
      </c>
    </row>
    <row r="5" spans="1:10" x14ac:dyDescent="0.3">
      <c r="A5" s="84" t="s">
        <v>63</v>
      </c>
      <c r="B5" s="106">
        <v>83000</v>
      </c>
      <c r="C5" s="107"/>
      <c r="D5" s="108">
        <v>47121</v>
      </c>
      <c r="E5" s="107"/>
      <c r="F5" s="97">
        <f t="shared" si="0"/>
        <v>12251875.051323969</v>
      </c>
      <c r="G5" s="109"/>
      <c r="I5" s="231" t="s">
        <v>14</v>
      </c>
      <c r="J5" s="234">
        <v>19561195.882175773</v>
      </c>
    </row>
    <row r="6" spans="1:10" x14ac:dyDescent="0.3">
      <c r="A6" s="85" t="s">
        <v>63</v>
      </c>
      <c r="B6" s="99">
        <v>4500</v>
      </c>
      <c r="C6" s="100"/>
      <c r="D6" s="101">
        <v>2150</v>
      </c>
      <c r="E6" s="100"/>
      <c r="F6" s="101">
        <f t="shared" si="0"/>
        <v>1040101.8436657487</v>
      </c>
      <c r="G6" s="110"/>
      <c r="I6" s="232" t="s">
        <v>64</v>
      </c>
      <c r="J6" s="234">
        <v>4408997.8768262528</v>
      </c>
    </row>
    <row r="7" spans="1:10" x14ac:dyDescent="0.3">
      <c r="A7" s="85" t="s">
        <v>63</v>
      </c>
      <c r="B7" s="99">
        <v>1500</v>
      </c>
      <c r="C7" s="100"/>
      <c r="D7" s="101">
        <v>292</v>
      </c>
      <c r="E7" s="100"/>
      <c r="F7" s="101">
        <f t="shared" si="0"/>
        <v>351727.00998371997</v>
      </c>
      <c r="G7" s="110"/>
      <c r="I7" s="231" t="s">
        <v>15</v>
      </c>
      <c r="J7" s="234">
        <v>37338224.684050478</v>
      </c>
    </row>
    <row r="8" spans="1:10" x14ac:dyDescent="0.3">
      <c r="A8" s="85" t="s">
        <v>63</v>
      </c>
      <c r="B8" s="99">
        <v>850</v>
      </c>
      <c r="C8" s="100"/>
      <c r="D8" s="101">
        <v>414</v>
      </c>
      <c r="E8" s="100"/>
      <c r="F8" s="101">
        <f t="shared" si="0"/>
        <v>263812.31331474427</v>
      </c>
      <c r="G8" s="110"/>
      <c r="I8" s="231" t="s">
        <v>16</v>
      </c>
      <c r="J8" s="234">
        <v>61555592.507381685</v>
      </c>
    </row>
    <row r="9" spans="1:10" x14ac:dyDescent="0.3">
      <c r="A9" s="85" t="s">
        <v>63</v>
      </c>
      <c r="B9" s="99">
        <v>15000</v>
      </c>
      <c r="C9" s="100"/>
      <c r="D9" s="101">
        <v>13488</v>
      </c>
      <c r="E9" s="100"/>
      <c r="F9" s="101">
        <f t="shared" si="0"/>
        <v>3474243.9337296607</v>
      </c>
      <c r="G9" s="110"/>
      <c r="I9" s="231" t="s">
        <v>18</v>
      </c>
      <c r="J9" s="234">
        <v>22303458.692011308</v>
      </c>
    </row>
    <row r="10" spans="1:10" x14ac:dyDescent="0.3">
      <c r="A10" s="85" t="s">
        <v>63</v>
      </c>
      <c r="B10" s="99">
        <v>4500</v>
      </c>
      <c r="C10" s="100"/>
      <c r="D10" s="101">
        <v>3323</v>
      </c>
      <c r="E10" s="100"/>
      <c r="F10" s="101">
        <f t="shared" si="0"/>
        <v>1189921.0288502795</v>
      </c>
      <c r="G10" s="110"/>
      <c r="I10" s="231" t="s">
        <v>19</v>
      </c>
      <c r="J10" s="234">
        <v>7187522.7141684927</v>
      </c>
    </row>
    <row r="11" spans="1:10" x14ac:dyDescent="0.3">
      <c r="A11" s="85" t="s">
        <v>63</v>
      </c>
      <c r="B11" s="99">
        <v>19000</v>
      </c>
      <c r="C11" s="100"/>
      <c r="D11" s="101">
        <v>8447</v>
      </c>
      <c r="E11" s="100"/>
      <c r="F11" s="101">
        <f t="shared" si="0"/>
        <v>3368606.1942999791</v>
      </c>
      <c r="G11" s="110"/>
      <c r="I11" s="231" t="s">
        <v>20</v>
      </c>
      <c r="J11" s="234">
        <v>51297479.345328085</v>
      </c>
    </row>
    <row r="12" spans="1:10" ht="15" thickBot="1" x14ac:dyDescent="0.35">
      <c r="A12" s="86" t="s">
        <v>63</v>
      </c>
      <c r="B12" s="103">
        <v>10500</v>
      </c>
      <c r="C12" s="104"/>
      <c r="D12" s="105">
        <v>3896</v>
      </c>
      <c r="E12" s="104"/>
      <c r="F12" s="105">
        <f t="shared" si="0"/>
        <v>1972607.4163394088</v>
      </c>
      <c r="G12" s="143">
        <f>SUM(F5:F12)</f>
        <v>23912894.791507509</v>
      </c>
      <c r="I12" s="231" t="s">
        <v>24</v>
      </c>
      <c r="J12" s="234">
        <v>58490612.902900964</v>
      </c>
    </row>
    <row r="13" spans="1:10" ht="15" x14ac:dyDescent="0.25">
      <c r="A13" s="84" t="s">
        <v>13</v>
      </c>
      <c r="B13" s="95">
        <v>15000</v>
      </c>
      <c r="C13" s="96"/>
      <c r="D13" s="97">
        <v>23795</v>
      </c>
      <c r="E13" s="96"/>
      <c r="F13" s="97">
        <f t="shared" si="0"/>
        <v>4488618.7151027117</v>
      </c>
      <c r="G13" s="98"/>
      <c r="I13" s="231" t="s">
        <v>22</v>
      </c>
      <c r="J13" s="234">
        <v>19007384.325476211</v>
      </c>
    </row>
    <row r="14" spans="1:10" ht="15" x14ac:dyDescent="0.25">
      <c r="A14" s="85" t="s">
        <v>13</v>
      </c>
      <c r="B14" s="99">
        <v>100000</v>
      </c>
      <c r="C14" s="100"/>
      <c r="D14" s="101">
        <v>16049</v>
      </c>
      <c r="E14" s="100"/>
      <c r="F14" s="101">
        <f t="shared" si="0"/>
        <v>11141773.903634686</v>
      </c>
      <c r="G14" s="102"/>
      <c r="I14" s="231" t="s">
        <v>23</v>
      </c>
      <c r="J14" s="234">
        <v>25751599.685652155</v>
      </c>
    </row>
    <row r="15" spans="1:10" ht="15" x14ac:dyDescent="0.25">
      <c r="A15" s="85" t="s">
        <v>13</v>
      </c>
      <c r="B15" s="99">
        <v>5000</v>
      </c>
      <c r="C15" s="100"/>
      <c r="D15" s="101">
        <v>1901</v>
      </c>
      <c r="E15" s="100"/>
      <c r="F15" s="101">
        <f t="shared" si="0"/>
        <v>1072514.3887853615</v>
      </c>
      <c r="G15" s="102"/>
      <c r="I15" s="231" t="s">
        <v>25</v>
      </c>
      <c r="J15" s="234">
        <v>10676506.166258305</v>
      </c>
    </row>
    <row r="16" spans="1:10" x14ac:dyDescent="0.3">
      <c r="A16" s="85" t="s">
        <v>13</v>
      </c>
      <c r="B16" s="99">
        <v>4000</v>
      </c>
      <c r="C16" s="100"/>
      <c r="D16" s="101">
        <v>1205</v>
      </c>
      <c r="E16" s="100"/>
      <c r="F16" s="101">
        <f t="shared" si="0"/>
        <v>849121.29930025723</v>
      </c>
      <c r="G16" s="102"/>
      <c r="I16" s="231" t="s">
        <v>26</v>
      </c>
      <c r="J16" s="234">
        <v>14613290.318270085</v>
      </c>
    </row>
    <row r="17" spans="1:10" ht="15" x14ac:dyDescent="0.25">
      <c r="A17" s="85" t="s">
        <v>13</v>
      </c>
      <c r="B17" s="99">
        <v>330</v>
      </c>
      <c r="C17" s="100"/>
      <c r="D17" s="101">
        <v>61</v>
      </c>
      <c r="E17" s="100"/>
      <c r="F17" s="101">
        <f t="shared" si="0"/>
        <v>100987.30504592173</v>
      </c>
      <c r="G17" s="102"/>
      <c r="I17" s="231" t="s">
        <v>27</v>
      </c>
      <c r="J17" s="234">
        <v>1656350.0183565433</v>
      </c>
    </row>
    <row r="18" spans="1:10" x14ac:dyDescent="0.3">
      <c r="A18" s="85" t="s">
        <v>13</v>
      </c>
      <c r="B18" s="99">
        <v>2000</v>
      </c>
      <c r="C18" s="100"/>
      <c r="D18" s="101">
        <v>3389</v>
      </c>
      <c r="E18" s="100"/>
      <c r="F18" s="101">
        <f t="shared" si="0"/>
        <v>873897.32103467826</v>
      </c>
      <c r="G18" s="102"/>
      <c r="I18" s="231" t="s">
        <v>66</v>
      </c>
      <c r="J18" s="234">
        <v>5950942.1106186984</v>
      </c>
    </row>
    <row r="19" spans="1:10" ht="15.75" thickBot="1" x14ac:dyDescent="0.3">
      <c r="A19" s="87" t="s">
        <v>13</v>
      </c>
      <c r="B19" s="111"/>
      <c r="C19" s="112" t="s">
        <v>102</v>
      </c>
      <c r="D19" s="113"/>
      <c r="E19" s="112" t="s">
        <v>102</v>
      </c>
      <c r="F19" s="113">
        <f t="shared" si="0"/>
        <v>2195</v>
      </c>
      <c r="G19" s="144">
        <f>SUM(F13:F19)</f>
        <v>18529107.932903618</v>
      </c>
      <c r="I19" s="231" t="s">
        <v>28</v>
      </c>
      <c r="J19" s="234">
        <v>15236741.80738925</v>
      </c>
    </row>
    <row r="20" spans="1:10" ht="15" x14ac:dyDescent="0.25">
      <c r="A20" s="84" t="s">
        <v>14</v>
      </c>
      <c r="B20" s="95">
        <v>70000</v>
      </c>
      <c r="C20" s="96"/>
      <c r="D20" s="97">
        <v>37767</v>
      </c>
      <c r="E20" s="96"/>
      <c r="F20" s="97">
        <f t="shared" si="0"/>
        <v>10477812.158572603</v>
      </c>
      <c r="G20" s="98"/>
      <c r="I20" s="231" t="s">
        <v>29</v>
      </c>
      <c r="J20" s="234">
        <v>14502052.966832727</v>
      </c>
    </row>
    <row r="21" spans="1:10" ht="15" x14ac:dyDescent="0.25">
      <c r="A21" s="85" t="s">
        <v>14</v>
      </c>
      <c r="B21" s="99">
        <v>20000</v>
      </c>
      <c r="C21" s="100"/>
      <c r="D21" s="101">
        <v>3741</v>
      </c>
      <c r="E21" s="100"/>
      <c r="F21" s="101">
        <f t="shared" si="0"/>
        <v>2986756.872616305</v>
      </c>
      <c r="G21" s="102"/>
      <c r="I21" s="231" t="s">
        <v>32</v>
      </c>
      <c r="J21" s="234">
        <v>55370104.230515294</v>
      </c>
    </row>
    <row r="22" spans="1:10" x14ac:dyDescent="0.3">
      <c r="A22" s="85" t="s">
        <v>14</v>
      </c>
      <c r="B22" s="99">
        <v>3000</v>
      </c>
      <c r="C22" s="100"/>
      <c r="D22" s="101">
        <v>972</v>
      </c>
      <c r="E22" s="100"/>
      <c r="F22" s="101">
        <f t="shared" si="0"/>
        <v>678891.73183859931</v>
      </c>
      <c r="G22" s="102"/>
      <c r="I22" s="231" t="s">
        <v>33</v>
      </c>
      <c r="J22" s="234">
        <v>16820076.769661911</v>
      </c>
    </row>
    <row r="23" spans="1:10" ht="15" x14ac:dyDescent="0.25">
      <c r="A23" s="85" t="s">
        <v>14</v>
      </c>
      <c r="B23" s="99">
        <v>5500</v>
      </c>
      <c r="C23" s="100"/>
      <c r="D23" s="101">
        <v>2655</v>
      </c>
      <c r="E23" s="100"/>
      <c r="F23" s="101">
        <f t="shared" si="0"/>
        <v>1231609.4157892906</v>
      </c>
      <c r="G23" s="102"/>
      <c r="I23" s="231" t="s">
        <v>62</v>
      </c>
      <c r="J23" s="234">
        <v>19134620.61485</v>
      </c>
    </row>
    <row r="24" spans="1:10" x14ac:dyDescent="0.3">
      <c r="A24" s="85" t="s">
        <v>14</v>
      </c>
      <c r="B24" s="99">
        <v>10000</v>
      </c>
      <c r="C24" s="100"/>
      <c r="D24" s="101">
        <v>4322</v>
      </c>
      <c r="E24" s="100"/>
      <c r="F24" s="101">
        <f t="shared" si="0"/>
        <v>1964197.044360837</v>
      </c>
      <c r="G24" s="102"/>
      <c r="I24" s="231" t="s">
        <v>35</v>
      </c>
      <c r="J24" s="234">
        <v>15787550.92139283</v>
      </c>
    </row>
    <row r="25" spans="1:10" ht="15" x14ac:dyDescent="0.25">
      <c r="A25" s="85" t="s">
        <v>14</v>
      </c>
      <c r="B25" s="99">
        <v>5500</v>
      </c>
      <c r="C25" s="100"/>
      <c r="D25" s="101">
        <v>2294</v>
      </c>
      <c r="E25" s="100"/>
      <c r="F25" s="101">
        <f t="shared" si="0"/>
        <v>1186265.4508467871</v>
      </c>
      <c r="G25" s="102"/>
      <c r="I25" s="231" t="s">
        <v>37</v>
      </c>
      <c r="J25" s="234">
        <v>16155122.53508758</v>
      </c>
    </row>
    <row r="26" spans="1:10" ht="15" x14ac:dyDescent="0.25">
      <c r="A26" s="85" t="s">
        <v>14</v>
      </c>
      <c r="B26" s="99">
        <v>400</v>
      </c>
      <c r="C26" s="100"/>
      <c r="D26" s="101">
        <v>194</v>
      </c>
      <c r="E26" s="100"/>
      <c r="F26" s="101">
        <f t="shared" si="0"/>
        <v>141979.54569215194</v>
      </c>
      <c r="G26" s="102"/>
      <c r="I26" s="231" t="s">
        <v>44</v>
      </c>
      <c r="J26" s="234">
        <v>22975062.585576028</v>
      </c>
    </row>
    <row r="27" spans="1:10" ht="15" x14ac:dyDescent="0.25">
      <c r="A27" s="85" t="s">
        <v>14</v>
      </c>
      <c r="B27" s="99">
        <v>500</v>
      </c>
      <c r="C27" s="100"/>
      <c r="D27" s="101">
        <v>0</v>
      </c>
      <c r="E27" s="100"/>
      <c r="F27" s="101">
        <f t="shared" si="0"/>
        <v>123355.62740610419</v>
      </c>
      <c r="G27" s="102"/>
      <c r="I27" s="231" t="s">
        <v>38</v>
      </c>
      <c r="J27" s="234">
        <v>6790338.8164812662</v>
      </c>
    </row>
    <row r="28" spans="1:10" ht="15" x14ac:dyDescent="0.25">
      <c r="A28" s="85" t="s">
        <v>14</v>
      </c>
      <c r="B28" s="99">
        <v>2200</v>
      </c>
      <c r="C28" s="100"/>
      <c r="D28" s="101">
        <v>1318</v>
      </c>
      <c r="E28" s="100"/>
      <c r="F28" s="101">
        <f t="shared" si="0"/>
        <v>614040.75765942584</v>
      </c>
      <c r="G28" s="102"/>
      <c r="I28" s="231" t="s">
        <v>46</v>
      </c>
      <c r="J28" s="234">
        <v>9196767.9407362547</v>
      </c>
    </row>
    <row r="29" spans="1:10" ht="15" thickBot="1" x14ac:dyDescent="0.35">
      <c r="A29" s="86" t="s">
        <v>14</v>
      </c>
      <c r="B29" s="103">
        <v>550</v>
      </c>
      <c r="C29" s="104"/>
      <c r="D29" s="105">
        <v>118</v>
      </c>
      <c r="E29" s="104"/>
      <c r="F29" s="105">
        <f t="shared" si="0"/>
        <v>156287.27739366784</v>
      </c>
      <c r="G29" s="142">
        <f>SUM(F20:F29)</f>
        <v>19561195.882175773</v>
      </c>
      <c r="I29" s="231" t="s">
        <v>39</v>
      </c>
      <c r="J29" s="234">
        <v>2584846.8462576643</v>
      </c>
    </row>
    <row r="30" spans="1:10" ht="15" thickBot="1" x14ac:dyDescent="0.35">
      <c r="A30" s="88" t="s">
        <v>64</v>
      </c>
      <c r="B30" s="114">
        <v>22000</v>
      </c>
      <c r="C30" s="115"/>
      <c r="D30" s="116">
        <v>15967</v>
      </c>
      <c r="E30" s="117" t="s">
        <v>103</v>
      </c>
      <c r="F30" s="116">
        <f t="shared" si="0"/>
        <v>4408997.8768262528</v>
      </c>
      <c r="G30" s="145">
        <f>SUM(F30)</f>
        <v>4408997.8768262528</v>
      </c>
      <c r="I30" s="231" t="s">
        <v>47</v>
      </c>
      <c r="J30" s="234">
        <v>30317604.435407966</v>
      </c>
    </row>
    <row r="31" spans="1:10" x14ac:dyDescent="0.3">
      <c r="A31" s="84" t="s">
        <v>15</v>
      </c>
      <c r="B31" s="95">
        <v>80000</v>
      </c>
      <c r="C31" s="118"/>
      <c r="D31" s="97">
        <v>71179</v>
      </c>
      <c r="E31" s="118" t="s">
        <v>104</v>
      </c>
      <c r="F31" s="97">
        <f t="shared" si="0"/>
        <v>13875959.83099151</v>
      </c>
      <c r="G31" s="98"/>
      <c r="I31" s="231" t="s">
        <v>48</v>
      </c>
      <c r="J31" s="234">
        <v>21498059.171138816</v>
      </c>
    </row>
    <row r="32" spans="1:10" x14ac:dyDescent="0.3">
      <c r="A32" s="85" t="s">
        <v>15</v>
      </c>
      <c r="B32" s="99">
        <v>4400</v>
      </c>
      <c r="C32" s="119"/>
      <c r="D32" s="101">
        <v>3149</v>
      </c>
      <c r="E32" s="119" t="s">
        <v>104</v>
      </c>
      <c r="F32" s="101">
        <f t="shared" si="0"/>
        <v>1155288.7894328872</v>
      </c>
      <c r="G32" s="110"/>
      <c r="I32" s="231" t="s">
        <v>49</v>
      </c>
      <c r="J32" s="234">
        <v>21940099.989483118</v>
      </c>
    </row>
    <row r="33" spans="1:10" x14ac:dyDescent="0.3">
      <c r="A33" s="85" t="s">
        <v>15</v>
      </c>
      <c r="B33" s="99">
        <v>70</v>
      </c>
      <c r="C33" s="119"/>
      <c r="D33" s="101">
        <v>15</v>
      </c>
      <c r="E33" s="119" t="s">
        <v>104</v>
      </c>
      <c r="F33" s="101">
        <f t="shared" si="0"/>
        <v>30032.749232639642</v>
      </c>
      <c r="G33" s="110"/>
      <c r="I33" s="231" t="s">
        <v>50</v>
      </c>
      <c r="J33" s="234">
        <v>5071705.4064911082</v>
      </c>
    </row>
    <row r="34" spans="1:10" x14ac:dyDescent="0.3">
      <c r="A34" s="85" t="s">
        <v>15</v>
      </c>
      <c r="B34" s="99">
        <v>200</v>
      </c>
      <c r="C34" s="119"/>
      <c r="D34" s="101">
        <v>123</v>
      </c>
      <c r="E34" s="119" t="s">
        <v>104</v>
      </c>
      <c r="F34" s="101">
        <f t="shared" si="0"/>
        <v>86500.22727201099</v>
      </c>
      <c r="G34" s="110"/>
      <c r="I34" s="231" t="s">
        <v>51</v>
      </c>
      <c r="J34" s="234">
        <v>45958572.518038787</v>
      </c>
    </row>
    <row r="35" spans="1:10" x14ac:dyDescent="0.3">
      <c r="A35" s="85" t="s">
        <v>15</v>
      </c>
      <c r="B35" s="99">
        <v>80000</v>
      </c>
      <c r="C35" s="119"/>
      <c r="D35" s="101">
        <v>24310</v>
      </c>
      <c r="E35" s="119" t="s">
        <v>104</v>
      </c>
      <c r="F35" s="101">
        <f t="shared" si="0"/>
        <v>10198127.335820045</v>
      </c>
      <c r="G35" s="110"/>
      <c r="I35" s="231" t="s">
        <v>40</v>
      </c>
      <c r="J35" s="234">
        <v>13037796.348940277</v>
      </c>
    </row>
    <row r="36" spans="1:10" x14ac:dyDescent="0.3">
      <c r="A36" s="85" t="s">
        <v>15</v>
      </c>
      <c r="B36" s="99">
        <v>800</v>
      </c>
      <c r="C36" s="119"/>
      <c r="D36" s="101">
        <v>251</v>
      </c>
      <c r="E36" s="119" t="s">
        <v>104</v>
      </c>
      <c r="F36" s="101">
        <f t="shared" si="0"/>
        <v>226658.98263405226</v>
      </c>
      <c r="G36" s="110"/>
      <c r="I36" s="231" t="s">
        <v>41</v>
      </c>
      <c r="J36" s="234">
        <v>78943951.521482691</v>
      </c>
    </row>
    <row r="37" spans="1:10" x14ac:dyDescent="0.3">
      <c r="A37" s="85" t="s">
        <v>15</v>
      </c>
      <c r="B37" s="99">
        <v>4500</v>
      </c>
      <c r="C37" s="119"/>
      <c r="D37" s="101">
        <v>2211</v>
      </c>
      <c r="E37" s="119" t="s">
        <v>104</v>
      </c>
      <c r="F37" s="101">
        <f t="shared" si="0"/>
        <v>1047997.8431780314</v>
      </c>
      <c r="G37" s="110"/>
      <c r="I37" s="231" t="s">
        <v>42</v>
      </c>
      <c r="J37" s="234">
        <v>22059378.993455194</v>
      </c>
    </row>
    <row r="38" spans="1:10" x14ac:dyDescent="0.3">
      <c r="A38" s="85" t="s">
        <v>15</v>
      </c>
      <c r="B38" s="99">
        <v>3500</v>
      </c>
      <c r="C38" s="119"/>
      <c r="D38" s="101">
        <v>3763</v>
      </c>
      <c r="E38" s="119" t="s">
        <v>104</v>
      </c>
      <c r="F38" s="101">
        <f t="shared" si="0"/>
        <v>1118910.9691292339</v>
      </c>
      <c r="G38" s="110"/>
      <c r="I38" s="231" t="s">
        <v>52</v>
      </c>
      <c r="J38" s="234">
        <v>15089110.578769254</v>
      </c>
    </row>
    <row r="39" spans="1:10" x14ac:dyDescent="0.3">
      <c r="A39" s="85" t="s">
        <v>15</v>
      </c>
      <c r="B39" s="99">
        <v>1400</v>
      </c>
      <c r="C39" s="119"/>
      <c r="D39" s="101">
        <v>826</v>
      </c>
      <c r="E39" s="119" t="s">
        <v>104</v>
      </c>
      <c r="F39" s="101">
        <f t="shared" si="0"/>
        <v>420663.03798015689</v>
      </c>
      <c r="G39" s="110"/>
      <c r="I39" s="231" t="s">
        <v>43</v>
      </c>
      <c r="J39" s="234">
        <v>43109286.711240843</v>
      </c>
    </row>
    <row r="40" spans="1:10" x14ac:dyDescent="0.3">
      <c r="A40" s="85" t="s">
        <v>15</v>
      </c>
      <c r="B40" s="99">
        <v>700</v>
      </c>
      <c r="C40" s="119"/>
      <c r="D40" s="101">
        <v>875</v>
      </c>
      <c r="E40" s="119" t="s">
        <v>104</v>
      </c>
      <c r="F40" s="101">
        <f t="shared" si="0"/>
        <v>316216.4200583169</v>
      </c>
      <c r="G40" s="110"/>
      <c r="I40" s="231" t="s">
        <v>45</v>
      </c>
      <c r="J40" s="234">
        <v>86658417.972450018</v>
      </c>
    </row>
    <row r="41" spans="1:10" ht="15" thickBot="1" x14ac:dyDescent="0.35">
      <c r="A41" s="85" t="s">
        <v>15</v>
      </c>
      <c r="B41" s="99">
        <v>150</v>
      </c>
      <c r="C41" s="120" t="s">
        <v>105</v>
      </c>
      <c r="D41" s="101">
        <v>140</v>
      </c>
      <c r="E41" s="119" t="s">
        <v>106</v>
      </c>
      <c r="F41" s="101">
        <f t="shared" si="0"/>
        <v>79286.544774570109</v>
      </c>
      <c r="G41" s="110"/>
      <c r="I41" s="233" t="s">
        <v>31</v>
      </c>
      <c r="J41" s="236">
        <v>4794156.5094560459</v>
      </c>
    </row>
    <row r="42" spans="1:10" x14ac:dyDescent="0.3">
      <c r="A42" s="85" t="s">
        <v>15</v>
      </c>
      <c r="B42" s="99">
        <v>4000</v>
      </c>
      <c r="C42" s="119"/>
      <c r="D42" s="101">
        <v>3266</v>
      </c>
      <c r="E42" s="119" t="s">
        <v>104</v>
      </c>
      <c r="F42" s="101">
        <f t="shared" si="0"/>
        <v>1119293.8033785373</v>
      </c>
      <c r="G42" s="110"/>
    </row>
    <row r="43" spans="1:10" x14ac:dyDescent="0.3">
      <c r="A43" s="85" t="s">
        <v>15</v>
      </c>
      <c r="B43" s="99">
        <v>2500</v>
      </c>
      <c r="C43" s="119"/>
      <c r="D43" s="101">
        <v>2863</v>
      </c>
      <c r="E43" s="119" t="s">
        <v>104</v>
      </c>
      <c r="F43" s="101">
        <f t="shared" si="0"/>
        <v>870405.19539548131</v>
      </c>
      <c r="G43" s="110"/>
    </row>
    <row r="44" spans="1:10" x14ac:dyDescent="0.3">
      <c r="A44" s="85" t="s">
        <v>15</v>
      </c>
      <c r="B44" s="99">
        <v>850</v>
      </c>
      <c r="C44" s="119"/>
      <c r="D44" s="101">
        <v>793</v>
      </c>
      <c r="E44" s="119" t="s">
        <v>104</v>
      </c>
      <c r="F44" s="101">
        <f t="shared" si="0"/>
        <v>327428.73574718856</v>
      </c>
      <c r="G44" s="110"/>
    </row>
    <row r="45" spans="1:10" x14ac:dyDescent="0.3">
      <c r="A45" s="85" t="s">
        <v>15</v>
      </c>
      <c r="B45" s="99">
        <v>850</v>
      </c>
      <c r="C45" s="119"/>
      <c r="D45" s="101">
        <v>1556</v>
      </c>
      <c r="E45" s="119" t="s">
        <v>104</v>
      </c>
      <c r="F45" s="101">
        <f t="shared" si="0"/>
        <v>448561.68901739671</v>
      </c>
      <c r="G45" s="110"/>
    </row>
    <row r="46" spans="1:10" x14ac:dyDescent="0.3">
      <c r="A46" s="85" t="s">
        <v>15</v>
      </c>
      <c r="B46" s="99">
        <v>850</v>
      </c>
      <c r="C46" s="119"/>
      <c r="D46" s="101">
        <v>998</v>
      </c>
      <c r="E46" s="119" t="s">
        <v>104</v>
      </c>
      <c r="F46" s="101">
        <f t="shared" si="0"/>
        <v>360769.20358046755</v>
      </c>
      <c r="G46" s="110"/>
    </row>
    <row r="47" spans="1:10" x14ac:dyDescent="0.3">
      <c r="A47" s="85" t="s">
        <v>15</v>
      </c>
      <c r="B47" s="99">
        <v>6000</v>
      </c>
      <c r="C47" s="119"/>
      <c r="D47" s="101">
        <v>3797</v>
      </c>
      <c r="E47" s="119" t="s">
        <v>104</v>
      </c>
      <c r="F47" s="101">
        <f t="shared" si="0"/>
        <v>1433801.5925710199</v>
      </c>
      <c r="G47" s="110"/>
    </row>
    <row r="48" spans="1:10" x14ac:dyDescent="0.3">
      <c r="A48" s="85" t="s">
        <v>15</v>
      </c>
      <c r="B48" s="99">
        <v>3000</v>
      </c>
      <c r="C48" s="120" t="s">
        <v>107</v>
      </c>
      <c r="D48" s="101">
        <v>2201</v>
      </c>
      <c r="E48" s="119" t="s">
        <v>104</v>
      </c>
      <c r="F48" s="101">
        <f t="shared" si="0"/>
        <v>848581.05356725189</v>
      </c>
      <c r="G48" s="110"/>
    </row>
    <row r="49" spans="1:7" x14ac:dyDescent="0.3">
      <c r="A49" s="85" t="s">
        <v>15</v>
      </c>
      <c r="B49" s="99">
        <v>200</v>
      </c>
      <c r="C49" s="119"/>
      <c r="D49" s="101">
        <v>111</v>
      </c>
      <c r="E49" s="119" t="s">
        <v>104</v>
      </c>
      <c r="F49" s="101">
        <f t="shared" si="0"/>
        <v>83892.267836331943</v>
      </c>
      <c r="G49" s="110"/>
    </row>
    <row r="50" spans="1:7" x14ac:dyDescent="0.3">
      <c r="A50" s="85" t="s">
        <v>15</v>
      </c>
      <c r="B50" s="99">
        <v>150</v>
      </c>
      <c r="C50" s="119"/>
      <c r="D50" s="101">
        <v>67</v>
      </c>
      <c r="E50" s="119" t="s">
        <v>104</v>
      </c>
      <c r="F50" s="101">
        <f t="shared" si="0"/>
        <v>62795.748605244939</v>
      </c>
      <c r="G50" s="110"/>
    </row>
    <row r="51" spans="1:7" x14ac:dyDescent="0.3">
      <c r="A51" s="85" t="s">
        <v>15</v>
      </c>
      <c r="B51" s="99">
        <v>250</v>
      </c>
      <c r="C51" s="119"/>
      <c r="D51" s="101">
        <v>106</v>
      </c>
      <c r="E51" s="119" t="s">
        <v>104</v>
      </c>
      <c r="F51" s="101">
        <f t="shared" si="0"/>
        <v>93589.46781037176</v>
      </c>
      <c r="G51" s="110"/>
    </row>
    <row r="52" spans="1:7" ht="15" thickBot="1" x14ac:dyDescent="0.35">
      <c r="A52" s="87" t="s">
        <v>15</v>
      </c>
      <c r="B52" s="111">
        <v>15000</v>
      </c>
      <c r="C52" s="121"/>
      <c r="D52" s="113">
        <v>10154</v>
      </c>
      <c r="E52" s="121" t="s">
        <v>104</v>
      </c>
      <c r="F52" s="113">
        <f t="shared" si="0"/>
        <v>3133463.1960377297</v>
      </c>
      <c r="G52" s="146">
        <f>SUM(F31:F52)</f>
        <v>37338224.684050478</v>
      </c>
    </row>
    <row r="53" spans="1:7" x14ac:dyDescent="0.3">
      <c r="A53" s="84" t="s">
        <v>16</v>
      </c>
      <c r="B53" s="95">
        <v>25000</v>
      </c>
      <c r="C53" s="107"/>
      <c r="D53" s="97">
        <v>17412</v>
      </c>
      <c r="E53" s="107"/>
      <c r="F53" s="97">
        <f t="shared" si="0"/>
        <v>4833139.7958299275</v>
      </c>
      <c r="G53" s="98"/>
    </row>
    <row r="54" spans="1:7" x14ac:dyDescent="0.3">
      <c r="A54" s="85" t="s">
        <v>16</v>
      </c>
      <c r="B54" s="99">
        <v>8000</v>
      </c>
      <c r="C54" s="119"/>
      <c r="D54" s="101">
        <v>3642</v>
      </c>
      <c r="E54" s="119"/>
      <c r="F54" s="101">
        <f t="shared" si="0"/>
        <v>1654230.2652926801</v>
      </c>
      <c r="G54" s="102"/>
    </row>
    <row r="55" spans="1:7" x14ac:dyDescent="0.3">
      <c r="A55" s="85" t="s">
        <v>16</v>
      </c>
      <c r="B55" s="99">
        <v>7000</v>
      </c>
      <c r="C55" s="119"/>
      <c r="D55" s="101">
        <v>2319</v>
      </c>
      <c r="E55" s="119"/>
      <c r="F55" s="101">
        <f t="shared" si="0"/>
        <v>1375582.0206042263</v>
      </c>
      <c r="G55" s="102"/>
    </row>
    <row r="56" spans="1:7" x14ac:dyDescent="0.3">
      <c r="A56" s="85" t="s">
        <v>16</v>
      </c>
      <c r="B56" s="99">
        <v>2500</v>
      </c>
      <c r="C56" s="119"/>
      <c r="D56" s="101">
        <v>1751</v>
      </c>
      <c r="E56" s="119"/>
      <c r="F56" s="101">
        <f t="shared" si="0"/>
        <v>718114.22855755768</v>
      </c>
      <c r="G56" s="102"/>
    </row>
    <row r="57" spans="1:7" x14ac:dyDescent="0.3">
      <c r="A57" s="85" t="s">
        <v>16</v>
      </c>
      <c r="B57" s="99">
        <v>290000</v>
      </c>
      <c r="C57" s="119"/>
      <c r="D57" s="101">
        <v>152274</v>
      </c>
      <c r="E57" s="119"/>
      <c r="F57" s="101">
        <f t="shared" si="0"/>
        <v>33819600.073460005</v>
      </c>
      <c r="G57" s="102"/>
    </row>
    <row r="58" spans="1:7" ht="12.75" customHeight="1" x14ac:dyDescent="0.3">
      <c r="A58" s="85" t="s">
        <v>16</v>
      </c>
      <c r="B58" s="99">
        <v>125000</v>
      </c>
      <c r="C58" s="119"/>
      <c r="D58" s="101">
        <v>68767</v>
      </c>
      <c r="E58" s="119"/>
      <c r="F58" s="101">
        <f t="shared" si="0"/>
        <v>17049614.829002395</v>
      </c>
      <c r="G58" s="102"/>
    </row>
    <row r="59" spans="1:7" x14ac:dyDescent="0.3">
      <c r="A59" s="85" t="s">
        <v>16</v>
      </c>
      <c r="B59" s="99">
        <v>2000</v>
      </c>
      <c r="C59" s="119"/>
      <c r="D59" s="101">
        <v>1498</v>
      </c>
      <c r="E59" s="119"/>
      <c r="F59" s="101">
        <f t="shared" si="0"/>
        <v>611152.31011066679</v>
      </c>
      <c r="G59" s="102"/>
    </row>
    <row r="60" spans="1:7" x14ac:dyDescent="0.3">
      <c r="A60" s="85" t="s">
        <v>16</v>
      </c>
      <c r="B60" s="99">
        <v>1600</v>
      </c>
      <c r="C60" s="119"/>
      <c r="D60" s="101">
        <v>342</v>
      </c>
      <c r="E60" s="119"/>
      <c r="F60" s="101">
        <f t="shared" si="0"/>
        <v>375843.52070483216</v>
      </c>
      <c r="G60" s="102"/>
    </row>
    <row r="61" spans="1:7" x14ac:dyDescent="0.3">
      <c r="A61" s="85" t="s">
        <v>16</v>
      </c>
      <c r="B61" s="99">
        <v>1500</v>
      </c>
      <c r="C61" s="119"/>
      <c r="D61" s="101">
        <v>470</v>
      </c>
      <c r="E61" s="119"/>
      <c r="F61" s="101">
        <f t="shared" si="0"/>
        <v>380309.53970782075</v>
      </c>
      <c r="G61" s="102"/>
    </row>
    <row r="62" spans="1:7" x14ac:dyDescent="0.3">
      <c r="A62" s="85" t="s">
        <v>16</v>
      </c>
      <c r="B62" s="99">
        <v>590</v>
      </c>
      <c r="C62" s="119"/>
      <c r="D62" s="101">
        <v>234</v>
      </c>
      <c r="E62" s="119"/>
      <c r="F62" s="101">
        <f t="shared" si="0"/>
        <v>185610.48379230592</v>
      </c>
      <c r="G62" s="102"/>
    </row>
    <row r="63" spans="1:7" x14ac:dyDescent="0.3">
      <c r="A63" s="85" t="s">
        <v>16</v>
      </c>
      <c r="B63" s="99">
        <v>935</v>
      </c>
      <c r="C63" s="119"/>
      <c r="D63" s="101">
        <v>68</v>
      </c>
      <c r="E63" s="119"/>
      <c r="F63" s="101">
        <f t="shared" si="0"/>
        <v>218116.64706151164</v>
      </c>
      <c r="G63" s="102"/>
    </row>
    <row r="64" spans="1:7" x14ac:dyDescent="0.3">
      <c r="A64" s="85" t="s">
        <v>16</v>
      </c>
      <c r="B64" s="99">
        <v>1000</v>
      </c>
      <c r="C64" s="119"/>
      <c r="D64" s="101">
        <v>127</v>
      </c>
      <c r="E64" s="119"/>
      <c r="F64" s="101">
        <f t="shared" si="0"/>
        <v>240050.5340149549</v>
      </c>
      <c r="G64" s="102"/>
    </row>
    <row r="65" spans="1:7" ht="15" thickBot="1" x14ac:dyDescent="0.35">
      <c r="A65" s="86" t="s">
        <v>16</v>
      </c>
      <c r="B65" s="103">
        <v>320</v>
      </c>
      <c r="C65" s="122"/>
      <c r="D65" s="105">
        <v>39</v>
      </c>
      <c r="E65" s="104"/>
      <c r="F65" s="105">
        <f t="shared" si="0"/>
        <v>94228.259242804605</v>
      </c>
      <c r="G65" s="142">
        <f>SUM(F53:F65)</f>
        <v>61555592.507381685</v>
      </c>
    </row>
    <row r="66" spans="1:7" x14ac:dyDescent="0.3">
      <c r="A66" s="89" t="s">
        <v>18</v>
      </c>
      <c r="B66" s="123">
        <v>450</v>
      </c>
      <c r="C66" s="124" t="s">
        <v>108</v>
      </c>
      <c r="D66" s="125">
        <v>72</v>
      </c>
      <c r="E66" s="126"/>
      <c r="F66" s="125">
        <f t="shared" ref="F66:F129" si="1">(1239*((B66+D66)/2)^0.83)+2195</f>
        <v>127764.1421995987</v>
      </c>
      <c r="G66" s="127"/>
    </row>
    <row r="67" spans="1:7" x14ac:dyDescent="0.3">
      <c r="A67" s="85" t="s">
        <v>18</v>
      </c>
      <c r="B67" s="99">
        <v>2000</v>
      </c>
      <c r="C67" s="120" t="s">
        <v>109</v>
      </c>
      <c r="D67" s="101">
        <v>4953</v>
      </c>
      <c r="E67" s="100"/>
      <c r="F67" s="101">
        <f t="shared" si="1"/>
        <v>1079204.0691407511</v>
      </c>
      <c r="G67" s="102"/>
    </row>
    <row r="68" spans="1:7" x14ac:dyDescent="0.3">
      <c r="A68" s="85" t="s">
        <v>18</v>
      </c>
      <c r="B68" s="99">
        <v>4000</v>
      </c>
      <c r="C68" s="120" t="s">
        <v>110</v>
      </c>
      <c r="D68" s="101">
        <v>2181</v>
      </c>
      <c r="E68" s="100"/>
      <c r="F68" s="101">
        <f t="shared" si="1"/>
        <v>978971.42053084681</v>
      </c>
      <c r="G68" s="102"/>
    </row>
    <row r="69" spans="1:7" x14ac:dyDescent="0.3">
      <c r="A69" s="85" t="s">
        <v>18</v>
      </c>
      <c r="B69" s="99">
        <v>3000</v>
      </c>
      <c r="C69" s="120" t="s">
        <v>111</v>
      </c>
      <c r="D69" s="101">
        <v>543</v>
      </c>
      <c r="E69" s="100"/>
      <c r="F69" s="101">
        <f t="shared" si="1"/>
        <v>617647.39549871767</v>
      </c>
      <c r="G69" s="102"/>
    </row>
    <row r="70" spans="1:7" x14ac:dyDescent="0.3">
      <c r="A70" s="85" t="s">
        <v>18</v>
      </c>
      <c r="B70" s="99">
        <v>3500</v>
      </c>
      <c r="C70" s="120" t="s">
        <v>112</v>
      </c>
      <c r="D70" s="101">
        <v>3153</v>
      </c>
      <c r="E70" s="100"/>
      <c r="F70" s="101">
        <f t="shared" si="1"/>
        <v>1040490.4585465851</v>
      </c>
      <c r="G70" s="102"/>
    </row>
    <row r="71" spans="1:7" x14ac:dyDescent="0.3">
      <c r="A71" s="85" t="s">
        <v>18</v>
      </c>
      <c r="B71" s="99">
        <v>4500</v>
      </c>
      <c r="C71" s="120" t="s">
        <v>113</v>
      </c>
      <c r="D71" s="101">
        <v>1565</v>
      </c>
      <c r="E71" s="100"/>
      <c r="F71" s="101">
        <f t="shared" si="1"/>
        <v>963731.95067162928</v>
      </c>
      <c r="G71" s="102"/>
    </row>
    <row r="72" spans="1:7" x14ac:dyDescent="0.3">
      <c r="A72" s="85" t="s">
        <v>18</v>
      </c>
      <c r="B72" s="99">
        <v>70000</v>
      </c>
      <c r="C72" s="120" t="s">
        <v>114</v>
      </c>
      <c r="D72" s="101">
        <v>29378</v>
      </c>
      <c r="E72" s="100"/>
      <c r="F72" s="101">
        <f t="shared" si="1"/>
        <v>9796357.815531794</v>
      </c>
      <c r="G72" s="102"/>
    </row>
    <row r="73" spans="1:7" x14ac:dyDescent="0.3">
      <c r="A73" s="85" t="s">
        <v>18</v>
      </c>
      <c r="B73" s="99">
        <v>10000</v>
      </c>
      <c r="C73" s="120" t="s">
        <v>115</v>
      </c>
      <c r="D73" s="101">
        <v>2434</v>
      </c>
      <c r="E73" s="100"/>
      <c r="F73" s="101">
        <f t="shared" si="1"/>
        <v>1746986.0558346347</v>
      </c>
      <c r="G73" s="102"/>
    </row>
    <row r="74" spans="1:7" x14ac:dyDescent="0.3">
      <c r="A74" s="85" t="s">
        <v>18</v>
      </c>
      <c r="B74" s="99">
        <v>12000</v>
      </c>
      <c r="C74" s="120" t="s">
        <v>116</v>
      </c>
      <c r="D74" s="101">
        <v>8158</v>
      </c>
      <c r="E74" s="100"/>
      <c r="F74" s="101">
        <f t="shared" si="1"/>
        <v>2607795.2420069142</v>
      </c>
      <c r="G74" s="102"/>
    </row>
    <row r="75" spans="1:7" x14ac:dyDescent="0.3">
      <c r="A75" s="85" t="s">
        <v>18</v>
      </c>
      <c r="B75" s="99">
        <v>8200</v>
      </c>
      <c r="C75" s="128" t="s">
        <v>117</v>
      </c>
      <c r="D75" s="101">
        <v>3244</v>
      </c>
      <c r="E75" s="100"/>
      <c r="F75" s="101">
        <f t="shared" si="1"/>
        <v>1630875.9804192954</v>
      </c>
      <c r="G75" s="102"/>
    </row>
    <row r="76" spans="1:7" x14ac:dyDescent="0.3">
      <c r="A76" s="85" t="s">
        <v>18</v>
      </c>
      <c r="B76" s="99">
        <v>10000</v>
      </c>
      <c r="C76" s="128" t="s">
        <v>118</v>
      </c>
      <c r="D76" s="101">
        <v>1204</v>
      </c>
      <c r="E76" s="100"/>
      <c r="F76" s="101">
        <f t="shared" si="1"/>
        <v>1602475.3889648891</v>
      </c>
      <c r="G76" s="102"/>
    </row>
    <row r="77" spans="1:7" ht="15" thickBot="1" x14ac:dyDescent="0.35">
      <c r="A77" s="87" t="s">
        <v>18</v>
      </c>
      <c r="B77" s="111">
        <v>220</v>
      </c>
      <c r="C77" s="129" t="s">
        <v>119</v>
      </c>
      <c r="D77" s="113">
        <v>220</v>
      </c>
      <c r="E77" s="130"/>
      <c r="F77" s="113">
        <f t="shared" si="1"/>
        <v>111158.77266565348</v>
      </c>
      <c r="G77" s="144">
        <f>SUM(F66:F77)</f>
        <v>22303458.692011308</v>
      </c>
    </row>
    <row r="78" spans="1:7" x14ac:dyDescent="0.3">
      <c r="A78" s="84" t="s">
        <v>19</v>
      </c>
      <c r="B78" s="95">
        <v>9600</v>
      </c>
      <c r="C78" s="96"/>
      <c r="D78" s="97">
        <v>9115</v>
      </c>
      <c r="E78" s="96"/>
      <c r="F78" s="97">
        <f t="shared" si="1"/>
        <v>2452013.8393030451</v>
      </c>
      <c r="G78" s="98"/>
    </row>
    <row r="79" spans="1:7" x14ac:dyDescent="0.3">
      <c r="A79" s="85" t="s">
        <v>19</v>
      </c>
      <c r="B79" s="99">
        <v>22500</v>
      </c>
      <c r="C79" s="100"/>
      <c r="D79" s="101">
        <v>15102</v>
      </c>
      <c r="E79" s="100"/>
      <c r="F79" s="101">
        <f t="shared" si="1"/>
        <v>4373805.8421300715</v>
      </c>
      <c r="G79" s="102"/>
    </row>
    <row r="80" spans="1:7" ht="15" thickBot="1" x14ac:dyDescent="0.35">
      <c r="A80" s="86" t="s">
        <v>19</v>
      </c>
      <c r="B80" s="103">
        <v>1000</v>
      </c>
      <c r="C80" s="104"/>
      <c r="D80" s="105">
        <v>853.8</v>
      </c>
      <c r="E80" s="104"/>
      <c r="F80" s="105">
        <f t="shared" si="1"/>
        <v>361703.03273537563</v>
      </c>
      <c r="G80" s="142">
        <f>SUM(F78:F80)</f>
        <v>7187522.7141684927</v>
      </c>
    </row>
    <row r="81" spans="1:7" ht="15" thickBot="1" x14ac:dyDescent="0.35">
      <c r="A81" s="88" t="s">
        <v>20</v>
      </c>
      <c r="B81" s="114">
        <v>420000</v>
      </c>
      <c r="C81" s="115"/>
      <c r="D81" s="116">
        <v>310614</v>
      </c>
      <c r="E81" s="131" t="s">
        <v>120</v>
      </c>
      <c r="F81" s="116">
        <f t="shared" si="1"/>
        <v>51297479.345328085</v>
      </c>
      <c r="G81" s="145">
        <f>SUM(F81)</f>
        <v>51297479.345328085</v>
      </c>
    </row>
    <row r="82" spans="1:7" x14ac:dyDescent="0.3">
      <c r="A82" s="84" t="s">
        <v>24</v>
      </c>
      <c r="B82" s="95">
        <v>7500</v>
      </c>
      <c r="C82" s="96"/>
      <c r="D82" s="97">
        <v>1300</v>
      </c>
      <c r="E82" s="96"/>
      <c r="F82" s="97">
        <f t="shared" si="1"/>
        <v>1311790.0590356586</v>
      </c>
      <c r="G82" s="98"/>
    </row>
    <row r="83" spans="1:7" x14ac:dyDescent="0.3">
      <c r="A83" s="85" t="s">
        <v>24</v>
      </c>
      <c r="B83" s="99">
        <v>277000</v>
      </c>
      <c r="C83" s="100"/>
      <c r="D83" s="101">
        <v>55000</v>
      </c>
      <c r="E83" s="100"/>
      <c r="F83" s="101">
        <f t="shared" si="1"/>
        <v>26656110.677497353</v>
      </c>
      <c r="G83" s="102"/>
    </row>
    <row r="84" spans="1:7" x14ac:dyDescent="0.3">
      <c r="A84" s="85" t="s">
        <v>24</v>
      </c>
      <c r="B84" s="99">
        <v>130000</v>
      </c>
      <c r="C84" s="100"/>
      <c r="D84" s="101">
        <v>35816</v>
      </c>
      <c r="E84" s="100"/>
      <c r="F84" s="101">
        <f t="shared" si="1"/>
        <v>14982006.572941186</v>
      </c>
      <c r="G84" s="102"/>
    </row>
    <row r="85" spans="1:7" x14ac:dyDescent="0.3">
      <c r="A85" s="85" t="s">
        <v>24</v>
      </c>
      <c r="B85" s="99">
        <v>92000</v>
      </c>
      <c r="C85" s="100"/>
      <c r="D85" s="101">
        <v>74840</v>
      </c>
      <c r="E85" s="100"/>
      <c r="F85" s="101">
        <f t="shared" si="1"/>
        <v>15058748.108205352</v>
      </c>
      <c r="G85" s="102"/>
    </row>
    <row r="86" spans="1:7" x14ac:dyDescent="0.3">
      <c r="A86" s="85" t="s">
        <v>24</v>
      </c>
      <c r="B86" s="99">
        <v>500</v>
      </c>
      <c r="C86" s="100"/>
      <c r="D86" s="101">
        <v>566</v>
      </c>
      <c r="E86" s="100"/>
      <c r="F86" s="101">
        <f t="shared" si="1"/>
        <v>229314.74393141546</v>
      </c>
      <c r="G86" s="102"/>
    </row>
    <row r="87" spans="1:7" x14ac:dyDescent="0.3">
      <c r="A87" s="85" t="s">
        <v>24</v>
      </c>
      <c r="B87" s="99">
        <v>45</v>
      </c>
      <c r="C87" s="100"/>
      <c r="D87" s="101">
        <v>33</v>
      </c>
      <c r="E87" s="100"/>
      <c r="F87" s="101">
        <f t="shared" si="1"/>
        <v>28116.189689219584</v>
      </c>
      <c r="G87" s="102"/>
    </row>
    <row r="88" spans="1:7" x14ac:dyDescent="0.3">
      <c r="A88" s="85" t="s">
        <v>24</v>
      </c>
      <c r="B88" s="99">
        <v>60</v>
      </c>
      <c r="C88" s="100"/>
      <c r="D88" s="101">
        <v>7</v>
      </c>
      <c r="E88" s="100"/>
      <c r="F88" s="101">
        <f t="shared" si="1"/>
        <v>25043.542205914375</v>
      </c>
      <c r="G88" s="102"/>
    </row>
    <row r="89" spans="1:7" x14ac:dyDescent="0.3">
      <c r="A89" s="85" t="s">
        <v>24</v>
      </c>
      <c r="B89" s="99">
        <v>690</v>
      </c>
      <c r="C89" s="100"/>
      <c r="D89" s="101">
        <v>59</v>
      </c>
      <c r="E89" s="100"/>
      <c r="F89" s="101">
        <f t="shared" si="1"/>
        <v>171642.94984506769</v>
      </c>
      <c r="G89" s="102"/>
    </row>
    <row r="90" spans="1:7" ht="15" thickBot="1" x14ac:dyDescent="0.35">
      <c r="A90" s="87" t="s">
        <v>24</v>
      </c>
      <c r="B90" s="111">
        <v>40</v>
      </c>
      <c r="C90" s="130"/>
      <c r="D90" s="113">
        <v>37</v>
      </c>
      <c r="E90" s="130"/>
      <c r="F90" s="113">
        <f t="shared" si="1"/>
        <v>27840.05954979988</v>
      </c>
      <c r="G90" s="144">
        <f>SUM(F82:F90)</f>
        <v>58490612.902900964</v>
      </c>
    </row>
    <row r="91" spans="1:7" x14ac:dyDescent="0.3">
      <c r="A91" s="84" t="s">
        <v>22</v>
      </c>
      <c r="B91" s="95">
        <v>9900</v>
      </c>
      <c r="C91" s="96"/>
      <c r="D91" s="97">
        <v>2068</v>
      </c>
      <c r="E91" s="96"/>
      <c r="F91" s="97">
        <f t="shared" si="1"/>
        <v>1692535.9852076641</v>
      </c>
      <c r="G91" s="98"/>
    </row>
    <row r="92" spans="1:7" x14ac:dyDescent="0.3">
      <c r="A92" s="85" t="s">
        <v>22</v>
      </c>
      <c r="B92" s="99">
        <v>16000</v>
      </c>
      <c r="C92" s="100"/>
      <c r="D92" s="101">
        <v>7186</v>
      </c>
      <c r="E92" s="100"/>
      <c r="F92" s="101">
        <f t="shared" si="1"/>
        <v>2928730.8605327634</v>
      </c>
      <c r="G92" s="102"/>
    </row>
    <row r="93" spans="1:7" x14ac:dyDescent="0.3">
      <c r="A93" s="85" t="s">
        <v>22</v>
      </c>
      <c r="B93" s="99">
        <v>7000</v>
      </c>
      <c r="C93" s="100"/>
      <c r="D93" s="101">
        <v>3969</v>
      </c>
      <c r="E93" s="100"/>
      <c r="F93" s="101">
        <f t="shared" si="1"/>
        <v>1574566.0902859648</v>
      </c>
      <c r="G93" s="102"/>
    </row>
    <row r="94" spans="1:7" x14ac:dyDescent="0.3">
      <c r="A94" s="85" t="s">
        <v>22</v>
      </c>
      <c r="B94" s="99">
        <v>27000</v>
      </c>
      <c r="C94" s="100"/>
      <c r="D94" s="101">
        <v>15968</v>
      </c>
      <c r="E94" s="100"/>
      <c r="F94" s="101">
        <f t="shared" si="1"/>
        <v>4885646.4636743953</v>
      </c>
      <c r="G94" s="102"/>
    </row>
    <row r="95" spans="1:7" x14ac:dyDescent="0.3">
      <c r="A95" s="85" t="s">
        <v>22</v>
      </c>
      <c r="B95" s="99">
        <v>1700</v>
      </c>
      <c r="C95" s="100"/>
      <c r="D95" s="101">
        <v>442</v>
      </c>
      <c r="E95" s="100"/>
      <c r="F95" s="101">
        <f t="shared" si="1"/>
        <v>407513.63104962464</v>
      </c>
      <c r="G95" s="102"/>
    </row>
    <row r="96" spans="1:7" x14ac:dyDescent="0.3">
      <c r="A96" s="85" t="s">
        <v>22</v>
      </c>
      <c r="B96" s="99">
        <v>13500</v>
      </c>
      <c r="C96" s="100"/>
      <c r="D96" s="101">
        <v>1310</v>
      </c>
      <c r="E96" s="100"/>
      <c r="F96" s="101">
        <f t="shared" si="1"/>
        <v>2019525.750279746</v>
      </c>
      <c r="G96" s="102"/>
    </row>
    <row r="97" spans="1:7" x14ac:dyDescent="0.3">
      <c r="A97" s="85" t="s">
        <v>22</v>
      </c>
      <c r="B97" s="99">
        <v>4200</v>
      </c>
      <c r="C97" s="100"/>
      <c r="D97" s="101">
        <v>541</v>
      </c>
      <c r="E97" s="100"/>
      <c r="F97" s="101">
        <f t="shared" si="1"/>
        <v>785964.70532460453</v>
      </c>
      <c r="G97" s="102"/>
    </row>
    <row r="98" spans="1:7" x14ac:dyDescent="0.3">
      <c r="A98" s="85" t="s">
        <v>22</v>
      </c>
      <c r="B98" s="99">
        <v>7500</v>
      </c>
      <c r="C98" s="100"/>
      <c r="D98" s="101">
        <v>2742</v>
      </c>
      <c r="E98" s="100"/>
      <c r="F98" s="101">
        <f t="shared" si="1"/>
        <v>1487568.8377698711</v>
      </c>
      <c r="G98" s="102"/>
    </row>
    <row r="99" spans="1:7" x14ac:dyDescent="0.3">
      <c r="A99" s="85" t="s">
        <v>22</v>
      </c>
      <c r="B99" s="99">
        <v>13000</v>
      </c>
      <c r="C99" s="100"/>
      <c r="D99" s="101">
        <v>7285</v>
      </c>
      <c r="E99" s="100"/>
      <c r="F99" s="101">
        <f t="shared" si="1"/>
        <v>2621413.1405032934</v>
      </c>
      <c r="G99" s="102"/>
    </row>
    <row r="100" spans="1:7" ht="15" thickBot="1" x14ac:dyDescent="0.35">
      <c r="A100" s="87" t="s">
        <v>22</v>
      </c>
      <c r="B100" s="111">
        <v>2200</v>
      </c>
      <c r="C100" s="130"/>
      <c r="D100" s="113">
        <v>1248</v>
      </c>
      <c r="E100" s="130"/>
      <c r="F100" s="113">
        <f t="shared" si="1"/>
        <v>603918.8608482799</v>
      </c>
      <c r="G100" s="144">
        <f>SUM(F91:F100)</f>
        <v>19007384.325476211</v>
      </c>
    </row>
    <row r="101" spans="1:7" x14ac:dyDescent="0.3">
      <c r="A101" s="84" t="s">
        <v>23</v>
      </c>
      <c r="B101" s="95">
        <v>57000</v>
      </c>
      <c r="C101" s="96"/>
      <c r="D101" s="97">
        <v>26000</v>
      </c>
      <c r="E101" s="96"/>
      <c r="F101" s="97">
        <f t="shared" si="1"/>
        <v>8436537.3809800241</v>
      </c>
      <c r="G101" s="98"/>
    </row>
    <row r="102" spans="1:7" x14ac:dyDescent="0.3">
      <c r="A102" s="85" t="s">
        <v>23</v>
      </c>
      <c r="B102" s="99">
        <v>4500</v>
      </c>
      <c r="C102" s="100"/>
      <c r="D102" s="101">
        <v>2100</v>
      </c>
      <c r="E102" s="100"/>
      <c r="F102" s="101">
        <f t="shared" si="1"/>
        <v>1033620.5289278857</v>
      </c>
      <c r="G102" s="102"/>
    </row>
    <row r="103" spans="1:7" x14ac:dyDescent="0.3">
      <c r="A103" s="85" t="s">
        <v>23</v>
      </c>
      <c r="B103" s="99">
        <v>4000</v>
      </c>
      <c r="C103" s="100"/>
      <c r="D103" s="101">
        <v>4000</v>
      </c>
      <c r="E103" s="100"/>
      <c r="F103" s="101">
        <f t="shared" si="1"/>
        <v>1212183.1001210057</v>
      </c>
      <c r="G103" s="102"/>
    </row>
    <row r="104" spans="1:7" x14ac:dyDescent="0.3">
      <c r="A104" s="85" t="s">
        <v>23</v>
      </c>
      <c r="B104" s="99">
        <v>20000</v>
      </c>
      <c r="C104" s="100"/>
      <c r="D104" s="101">
        <v>19500</v>
      </c>
      <c r="E104" s="100"/>
      <c r="F104" s="101">
        <f t="shared" si="1"/>
        <v>4556184.231608903</v>
      </c>
      <c r="G104" s="102"/>
    </row>
    <row r="105" spans="1:7" x14ac:dyDescent="0.3">
      <c r="A105" s="85" t="s">
        <v>23</v>
      </c>
      <c r="B105" s="99">
        <v>100</v>
      </c>
      <c r="C105" s="100"/>
      <c r="D105" s="101">
        <v>50</v>
      </c>
      <c r="E105" s="100"/>
      <c r="F105" s="101">
        <f t="shared" si="1"/>
        <v>46798.830316850479</v>
      </c>
      <c r="G105" s="102"/>
    </row>
    <row r="106" spans="1:7" x14ac:dyDescent="0.3">
      <c r="A106" s="85" t="s">
        <v>23</v>
      </c>
      <c r="B106" s="99">
        <v>300</v>
      </c>
      <c r="C106" s="100"/>
      <c r="D106" s="101">
        <v>300</v>
      </c>
      <c r="E106" s="100"/>
      <c r="F106" s="101">
        <f t="shared" si="1"/>
        <v>143150.47447062409</v>
      </c>
      <c r="G106" s="102"/>
    </row>
    <row r="107" spans="1:7" x14ac:dyDescent="0.3">
      <c r="A107" s="85" t="s">
        <v>23</v>
      </c>
      <c r="B107" s="99">
        <v>11000</v>
      </c>
      <c r="C107" s="100"/>
      <c r="D107" s="101">
        <v>4200</v>
      </c>
      <c r="E107" s="100"/>
      <c r="F107" s="101">
        <f t="shared" si="1"/>
        <v>2063520.5577010654</v>
      </c>
      <c r="G107" s="102"/>
    </row>
    <row r="108" spans="1:7" x14ac:dyDescent="0.3">
      <c r="A108" s="85" t="s">
        <v>23</v>
      </c>
      <c r="B108" s="99">
        <v>7000</v>
      </c>
      <c r="C108" s="100"/>
      <c r="D108" s="101">
        <v>5000</v>
      </c>
      <c r="E108" s="100"/>
      <c r="F108" s="101">
        <f t="shared" si="1"/>
        <v>1696286.4250204039</v>
      </c>
      <c r="G108" s="102"/>
    </row>
    <row r="109" spans="1:7" x14ac:dyDescent="0.3">
      <c r="A109" s="85" t="s">
        <v>23</v>
      </c>
      <c r="B109" s="99">
        <v>62</v>
      </c>
      <c r="C109" s="100"/>
      <c r="D109" s="101">
        <v>62</v>
      </c>
      <c r="E109" s="100"/>
      <c r="F109" s="101">
        <f t="shared" si="1"/>
        <v>40280.214739438059</v>
      </c>
      <c r="G109" s="102"/>
    </row>
    <row r="110" spans="1:7" x14ac:dyDescent="0.3">
      <c r="A110" s="85" t="s">
        <v>23</v>
      </c>
      <c r="B110" s="99">
        <v>8198</v>
      </c>
      <c r="C110" s="100"/>
      <c r="D110" s="101">
        <v>5000</v>
      </c>
      <c r="E110" s="100"/>
      <c r="F110" s="101">
        <f t="shared" si="1"/>
        <v>1835514.4793307991</v>
      </c>
      <c r="G110" s="102"/>
    </row>
    <row r="111" spans="1:7" x14ac:dyDescent="0.3">
      <c r="A111" s="85" t="s">
        <v>23</v>
      </c>
      <c r="B111" s="99">
        <v>3200</v>
      </c>
      <c r="C111" s="100"/>
      <c r="D111" s="101">
        <v>1730</v>
      </c>
      <c r="E111" s="100"/>
      <c r="F111" s="101">
        <f t="shared" si="1"/>
        <v>811811.50458440161</v>
      </c>
      <c r="G111" s="102"/>
    </row>
    <row r="112" spans="1:7" x14ac:dyDescent="0.3">
      <c r="A112" s="85" t="s">
        <v>23</v>
      </c>
      <c r="B112" s="99">
        <v>300</v>
      </c>
      <c r="C112" s="100"/>
      <c r="D112" s="101">
        <v>225</v>
      </c>
      <c r="E112" s="100"/>
      <c r="F112" s="101">
        <f t="shared" si="1"/>
        <v>128362.82949012451</v>
      </c>
      <c r="G112" s="102"/>
    </row>
    <row r="113" spans="1:7" x14ac:dyDescent="0.3">
      <c r="A113" s="85" t="s">
        <v>23</v>
      </c>
      <c r="B113" s="99">
        <v>1500</v>
      </c>
      <c r="C113" s="100"/>
      <c r="D113" s="101">
        <v>1200</v>
      </c>
      <c r="E113" s="100"/>
      <c r="F113" s="101">
        <f t="shared" si="1"/>
        <v>493383.66279424401</v>
      </c>
      <c r="G113" s="102"/>
    </row>
    <row r="114" spans="1:7" x14ac:dyDescent="0.3">
      <c r="A114" s="85" t="s">
        <v>23</v>
      </c>
      <c r="B114" s="99">
        <v>350</v>
      </c>
      <c r="C114" s="100"/>
      <c r="D114" s="101">
        <v>300</v>
      </c>
      <c r="E114" s="100"/>
      <c r="F114" s="101">
        <f t="shared" si="1"/>
        <v>152832.98439481764</v>
      </c>
      <c r="G114" s="102"/>
    </row>
    <row r="115" spans="1:7" x14ac:dyDescent="0.3">
      <c r="A115" s="85" t="s">
        <v>23</v>
      </c>
      <c r="B115" s="99">
        <v>400</v>
      </c>
      <c r="C115" s="100"/>
      <c r="D115" s="101">
        <v>210</v>
      </c>
      <c r="E115" s="100"/>
      <c r="F115" s="101">
        <f t="shared" si="1"/>
        <v>145097.61399291127</v>
      </c>
      <c r="G115" s="102"/>
    </row>
    <row r="116" spans="1:7" x14ac:dyDescent="0.3">
      <c r="A116" s="85" t="s">
        <v>23</v>
      </c>
      <c r="B116" s="99">
        <v>85</v>
      </c>
      <c r="C116" s="100"/>
      <c r="D116" s="101">
        <v>50</v>
      </c>
      <c r="E116" s="100"/>
      <c r="F116" s="101">
        <f t="shared" si="1"/>
        <v>43063.946029828425</v>
      </c>
      <c r="G116" s="102"/>
    </row>
    <row r="117" spans="1:7" x14ac:dyDescent="0.3">
      <c r="A117" s="85" t="s">
        <v>23</v>
      </c>
      <c r="B117" s="99">
        <v>135</v>
      </c>
      <c r="C117" s="100"/>
      <c r="D117" s="101">
        <v>75</v>
      </c>
      <c r="E117" s="100"/>
      <c r="F117" s="101">
        <f t="shared" si="1"/>
        <v>61168.706573540796</v>
      </c>
      <c r="G117" s="102"/>
    </row>
    <row r="118" spans="1:7" x14ac:dyDescent="0.3">
      <c r="A118" s="85" t="s">
        <v>23</v>
      </c>
      <c r="B118" s="99">
        <v>40</v>
      </c>
      <c r="C118" s="100"/>
      <c r="D118" s="101">
        <v>20</v>
      </c>
      <c r="E118" s="100"/>
      <c r="F118" s="101">
        <f t="shared" si="1"/>
        <v>23043.842464772988</v>
      </c>
      <c r="G118" s="102"/>
    </row>
    <row r="119" spans="1:7" x14ac:dyDescent="0.3">
      <c r="A119" s="85" t="s">
        <v>23</v>
      </c>
      <c r="B119" s="99"/>
      <c r="C119" s="100"/>
      <c r="D119" s="101">
        <v>10</v>
      </c>
      <c r="E119" s="100"/>
      <c r="F119" s="101">
        <f t="shared" si="1"/>
        <v>6907.1207400350158</v>
      </c>
      <c r="G119" s="102"/>
    </row>
    <row r="120" spans="1:7" x14ac:dyDescent="0.3">
      <c r="A120" s="85" t="s">
        <v>23</v>
      </c>
      <c r="B120" s="99">
        <v>10</v>
      </c>
      <c r="C120" s="100"/>
      <c r="D120" s="101">
        <v>110</v>
      </c>
      <c r="E120" s="100"/>
      <c r="F120" s="101">
        <f t="shared" si="1"/>
        <v>39257.682071216521</v>
      </c>
      <c r="G120" s="102"/>
    </row>
    <row r="121" spans="1:7" x14ac:dyDescent="0.3">
      <c r="A121" s="85" t="s">
        <v>23</v>
      </c>
      <c r="B121" s="99">
        <v>120</v>
      </c>
      <c r="C121" s="100"/>
      <c r="D121" s="101">
        <v>100</v>
      </c>
      <c r="E121" s="100"/>
      <c r="F121" s="101">
        <f t="shared" si="1"/>
        <v>63490.308480597974</v>
      </c>
      <c r="G121" s="102"/>
    </row>
    <row r="122" spans="1:7" x14ac:dyDescent="0.3">
      <c r="A122" s="85" t="s">
        <v>23</v>
      </c>
      <c r="B122" s="99">
        <v>2100</v>
      </c>
      <c r="C122" s="100"/>
      <c r="D122" s="101">
        <v>1490</v>
      </c>
      <c r="E122" s="100"/>
      <c r="F122" s="101">
        <f t="shared" si="1"/>
        <v>624416.19743896939</v>
      </c>
      <c r="G122" s="102"/>
    </row>
    <row r="123" spans="1:7" x14ac:dyDescent="0.3">
      <c r="A123" s="85" t="s">
        <v>23</v>
      </c>
      <c r="B123" s="99">
        <v>110</v>
      </c>
      <c r="C123" s="100"/>
      <c r="D123" s="101">
        <v>80</v>
      </c>
      <c r="E123" s="100"/>
      <c r="F123" s="101">
        <f t="shared" si="1"/>
        <v>56467.758863871895</v>
      </c>
      <c r="G123" s="102"/>
    </row>
    <row r="124" spans="1:7" x14ac:dyDescent="0.3">
      <c r="A124" s="85" t="s">
        <v>23</v>
      </c>
      <c r="B124" s="99">
        <v>6000</v>
      </c>
      <c r="C124" s="100"/>
      <c r="D124" s="101">
        <v>5280</v>
      </c>
      <c r="E124" s="100"/>
      <c r="F124" s="101">
        <f t="shared" si="1"/>
        <v>1611479.9977746154</v>
      </c>
      <c r="G124" s="102"/>
    </row>
    <row r="125" spans="1:7" ht="15" thickBot="1" x14ac:dyDescent="0.35">
      <c r="A125" s="87" t="s">
        <v>23</v>
      </c>
      <c r="B125" s="111">
        <v>1500</v>
      </c>
      <c r="C125" s="130"/>
      <c r="D125" s="113">
        <v>765</v>
      </c>
      <c r="E125" s="130"/>
      <c r="F125" s="113">
        <f t="shared" si="1"/>
        <v>426739.30674120277</v>
      </c>
      <c r="G125" s="144">
        <f>SUM(F101:F125)</f>
        <v>25751599.685652155</v>
      </c>
    </row>
    <row r="126" spans="1:7" x14ac:dyDescent="0.3">
      <c r="A126" s="84" t="s">
        <v>25</v>
      </c>
      <c r="B126" s="95">
        <v>30000</v>
      </c>
      <c r="C126" s="96"/>
      <c r="D126" s="97">
        <v>28100</v>
      </c>
      <c r="E126" s="96"/>
      <c r="F126" s="97">
        <f t="shared" si="1"/>
        <v>6275300.6209126953</v>
      </c>
      <c r="G126" s="98"/>
    </row>
    <row r="127" spans="1:7" x14ac:dyDescent="0.3">
      <c r="A127" s="85" t="s">
        <v>25</v>
      </c>
      <c r="B127" s="99">
        <v>2500</v>
      </c>
      <c r="C127" s="100"/>
      <c r="D127" s="101">
        <v>1925</v>
      </c>
      <c r="E127" s="100"/>
      <c r="F127" s="101">
        <f t="shared" si="1"/>
        <v>742352.98411485716</v>
      </c>
      <c r="G127" s="102"/>
    </row>
    <row r="128" spans="1:7" x14ac:dyDescent="0.3">
      <c r="A128" s="85" t="s">
        <v>25</v>
      </c>
      <c r="B128" s="99">
        <v>150</v>
      </c>
      <c r="C128" s="100"/>
      <c r="D128" s="101">
        <v>47</v>
      </c>
      <c r="E128" s="100"/>
      <c r="F128" s="101">
        <f t="shared" si="1"/>
        <v>58122.238737019834</v>
      </c>
      <c r="G128" s="102"/>
    </row>
    <row r="129" spans="1:7" ht="15" thickBot="1" x14ac:dyDescent="0.35">
      <c r="A129" s="87" t="s">
        <v>25</v>
      </c>
      <c r="B129" s="111">
        <v>20000</v>
      </c>
      <c r="C129" s="130"/>
      <c r="D129" s="113">
        <v>9743</v>
      </c>
      <c r="E129" s="130"/>
      <c r="F129" s="113">
        <f t="shared" si="1"/>
        <v>3600730.322493732</v>
      </c>
      <c r="G129" s="144">
        <f>SUM(F126:F129)</f>
        <v>10676506.166258305</v>
      </c>
    </row>
    <row r="130" spans="1:7" x14ac:dyDescent="0.3">
      <c r="A130" s="84" t="s">
        <v>26</v>
      </c>
      <c r="B130" s="95">
        <v>80000</v>
      </c>
      <c r="C130" s="96"/>
      <c r="D130" s="97">
        <v>30792</v>
      </c>
      <c r="E130" s="96"/>
      <c r="F130" s="97">
        <f t="shared" ref="F130:F190" si="2">(1239*((B130+D130)/2)^0.83)+2195</f>
        <v>10721296.513317218</v>
      </c>
      <c r="G130" s="98"/>
    </row>
    <row r="131" spans="1:7" x14ac:dyDescent="0.3">
      <c r="A131" s="85" t="s">
        <v>26</v>
      </c>
      <c r="B131" s="99">
        <v>2000</v>
      </c>
      <c r="C131" s="100"/>
      <c r="D131" s="101">
        <v>498</v>
      </c>
      <c r="E131" s="100"/>
      <c r="F131" s="101">
        <f t="shared" si="2"/>
        <v>462682.80168044468</v>
      </c>
      <c r="G131" s="102"/>
    </row>
    <row r="132" spans="1:7" x14ac:dyDescent="0.3">
      <c r="A132" s="85" t="s">
        <v>26</v>
      </c>
      <c r="B132" s="99">
        <v>1200</v>
      </c>
      <c r="C132" s="100"/>
      <c r="D132" s="101">
        <v>352</v>
      </c>
      <c r="E132" s="100"/>
      <c r="F132" s="101">
        <f t="shared" si="2"/>
        <v>312405.52950099309</v>
      </c>
      <c r="G132" s="102"/>
    </row>
    <row r="133" spans="1:7" x14ac:dyDescent="0.3">
      <c r="A133" s="85" t="s">
        <v>26</v>
      </c>
      <c r="B133" s="99">
        <v>1800</v>
      </c>
      <c r="C133" s="100"/>
      <c r="D133" s="101">
        <v>829</v>
      </c>
      <c r="E133" s="100"/>
      <c r="F133" s="101">
        <f t="shared" si="2"/>
        <v>482638.803476815</v>
      </c>
      <c r="G133" s="102"/>
    </row>
    <row r="134" spans="1:7" x14ac:dyDescent="0.3">
      <c r="A134" s="85" t="s">
        <v>26</v>
      </c>
      <c r="B134" s="99">
        <v>12000</v>
      </c>
      <c r="C134" s="100"/>
      <c r="D134" s="101">
        <v>5277</v>
      </c>
      <c r="E134" s="100"/>
      <c r="F134" s="101">
        <f t="shared" si="2"/>
        <v>2294725.5227240263</v>
      </c>
      <c r="G134" s="102"/>
    </row>
    <row r="135" spans="1:7" ht="15" thickBot="1" x14ac:dyDescent="0.35">
      <c r="A135" s="86" t="s">
        <v>26</v>
      </c>
      <c r="B135" s="103">
        <v>1233</v>
      </c>
      <c r="C135" s="104"/>
      <c r="D135" s="105">
        <v>484</v>
      </c>
      <c r="E135" s="104"/>
      <c r="F135" s="105">
        <f t="shared" si="2"/>
        <v>339541.14757058956</v>
      </c>
      <c r="G135" s="142">
        <f>SUM(F130:F135)</f>
        <v>14613290.318270085</v>
      </c>
    </row>
    <row r="136" spans="1:7" ht="15" thickBot="1" x14ac:dyDescent="0.35">
      <c r="A136" s="22" t="s">
        <v>27</v>
      </c>
      <c r="B136" s="114">
        <v>7300</v>
      </c>
      <c r="C136" s="115"/>
      <c r="D136" s="116">
        <v>4360</v>
      </c>
      <c r="E136" s="115"/>
      <c r="F136" s="116">
        <f t="shared" si="2"/>
        <v>1656350.0183565433</v>
      </c>
      <c r="G136" s="145">
        <f>SUM(F136)</f>
        <v>1656350.0183565433</v>
      </c>
    </row>
    <row r="137" spans="1:7" ht="15" thickBot="1" x14ac:dyDescent="0.35">
      <c r="A137" s="90" t="s">
        <v>66</v>
      </c>
      <c r="B137" s="132">
        <v>40000</v>
      </c>
      <c r="C137" s="133"/>
      <c r="D137" s="134">
        <v>14500</v>
      </c>
      <c r="E137" s="133"/>
      <c r="F137" s="134">
        <f t="shared" si="2"/>
        <v>5950942.1106186984</v>
      </c>
      <c r="G137" s="147">
        <f>SUM(F137)</f>
        <v>5950942.1106186984</v>
      </c>
    </row>
    <row r="138" spans="1:7" x14ac:dyDescent="0.3">
      <c r="A138" s="84" t="s">
        <v>28</v>
      </c>
      <c r="B138" s="95">
        <v>63000</v>
      </c>
      <c r="C138" s="96"/>
      <c r="D138" s="97">
        <v>21000</v>
      </c>
      <c r="E138" s="96"/>
      <c r="F138" s="97">
        <f t="shared" si="2"/>
        <v>8520794.8322238326</v>
      </c>
      <c r="G138" s="98"/>
    </row>
    <row r="139" spans="1:7" x14ac:dyDescent="0.3">
      <c r="A139" s="85" t="s">
        <v>28</v>
      </c>
      <c r="B139" s="99">
        <v>17300</v>
      </c>
      <c r="C139" s="100"/>
      <c r="D139" s="101">
        <v>11900</v>
      </c>
      <c r="E139" s="100"/>
      <c r="F139" s="101">
        <f t="shared" si="2"/>
        <v>3546117.1792573086</v>
      </c>
      <c r="G139" s="102"/>
    </row>
    <row r="140" spans="1:7" x14ac:dyDescent="0.3">
      <c r="A140" s="85" t="s">
        <v>28</v>
      </c>
      <c r="B140" s="99">
        <v>9700</v>
      </c>
      <c r="C140" s="100"/>
      <c r="D140" s="101">
        <v>4700</v>
      </c>
      <c r="E140" s="100"/>
      <c r="F140" s="101">
        <f t="shared" si="2"/>
        <v>1973061.8213642493</v>
      </c>
      <c r="G140" s="102"/>
    </row>
    <row r="141" spans="1:7" x14ac:dyDescent="0.3">
      <c r="A141" s="85" t="s">
        <v>28</v>
      </c>
      <c r="B141" s="99">
        <v>3000</v>
      </c>
      <c r="C141" s="100"/>
      <c r="D141" s="101">
        <v>494</v>
      </c>
      <c r="E141" s="100"/>
      <c r="F141" s="101">
        <f t="shared" si="2"/>
        <v>610574.28413382766</v>
      </c>
      <c r="G141" s="102"/>
    </row>
    <row r="142" spans="1:7" ht="15" thickBot="1" x14ac:dyDescent="0.35">
      <c r="A142" s="87" t="s">
        <v>28</v>
      </c>
      <c r="B142" s="111">
        <v>2500</v>
      </c>
      <c r="C142" s="130"/>
      <c r="D142" s="113">
        <v>826</v>
      </c>
      <c r="E142" s="130"/>
      <c r="F142" s="113">
        <f t="shared" si="2"/>
        <v>586193.69041003089</v>
      </c>
      <c r="G142" s="144">
        <f>SUM(F138:F142)</f>
        <v>15236741.80738925</v>
      </c>
    </row>
    <row r="143" spans="1:7" x14ac:dyDescent="0.3">
      <c r="A143" s="84" t="s">
        <v>29</v>
      </c>
      <c r="B143" s="95">
        <v>37000</v>
      </c>
      <c r="C143" s="96"/>
      <c r="D143" s="97">
        <v>14355</v>
      </c>
      <c r="E143" s="96"/>
      <c r="F143" s="97">
        <f t="shared" si="2"/>
        <v>5664588.9181268513</v>
      </c>
      <c r="G143" s="98"/>
    </row>
    <row r="144" spans="1:7" x14ac:dyDescent="0.3">
      <c r="A144" s="85" t="s">
        <v>29</v>
      </c>
      <c r="B144" s="99">
        <v>11000</v>
      </c>
      <c r="C144" s="100"/>
      <c r="D144" s="101">
        <v>8614</v>
      </c>
      <c r="E144" s="100"/>
      <c r="F144" s="101">
        <f t="shared" si="2"/>
        <v>2549296.9707867419</v>
      </c>
      <c r="G144" s="102"/>
    </row>
    <row r="145" spans="1:7" x14ac:dyDescent="0.3">
      <c r="A145" s="85" t="s">
        <v>29</v>
      </c>
      <c r="B145" s="99">
        <v>14000</v>
      </c>
      <c r="C145" s="100"/>
      <c r="D145" s="101">
        <v>10120</v>
      </c>
      <c r="E145" s="100"/>
      <c r="F145" s="101">
        <f t="shared" si="2"/>
        <v>3026249.2077450734</v>
      </c>
      <c r="G145" s="102"/>
    </row>
    <row r="146" spans="1:7" x14ac:dyDescent="0.3">
      <c r="A146" s="85" t="s">
        <v>29</v>
      </c>
      <c r="B146" s="99">
        <v>10000</v>
      </c>
      <c r="C146" s="100"/>
      <c r="D146" s="101">
        <v>11279</v>
      </c>
      <c r="E146" s="100"/>
      <c r="F146" s="101">
        <f t="shared" si="2"/>
        <v>2727505.0519978916</v>
      </c>
      <c r="G146" s="102"/>
    </row>
    <row r="147" spans="1:7" ht="15" thickBot="1" x14ac:dyDescent="0.35">
      <c r="A147" s="87" t="s">
        <v>29</v>
      </c>
      <c r="B147" s="111">
        <v>1200</v>
      </c>
      <c r="C147" s="130"/>
      <c r="D147" s="113">
        <v>1774</v>
      </c>
      <c r="E147" s="130"/>
      <c r="F147" s="113">
        <f t="shared" si="2"/>
        <v>534412.81817616813</v>
      </c>
      <c r="G147" s="144">
        <f>SUM(F143:F147)</f>
        <v>14502052.966832727</v>
      </c>
    </row>
    <row r="148" spans="1:7" x14ac:dyDescent="0.3">
      <c r="A148" s="84" t="s">
        <v>32</v>
      </c>
      <c r="B148" s="95">
        <v>116600</v>
      </c>
      <c r="C148" s="96"/>
      <c r="D148" s="97">
        <v>83019</v>
      </c>
      <c r="E148" s="96"/>
      <c r="F148" s="97">
        <f t="shared" si="2"/>
        <v>17475858.449693058</v>
      </c>
      <c r="G148" s="98"/>
    </row>
    <row r="149" spans="1:7" x14ac:dyDescent="0.3">
      <c r="A149" s="85" t="s">
        <v>32</v>
      </c>
      <c r="B149" s="99">
        <v>125000</v>
      </c>
      <c r="C149" s="100"/>
      <c r="D149" s="101">
        <v>89022</v>
      </c>
      <c r="E149" s="100"/>
      <c r="F149" s="101">
        <f t="shared" si="2"/>
        <v>18516051.663232818</v>
      </c>
      <c r="G149" s="102"/>
    </row>
    <row r="150" spans="1:7" x14ac:dyDescent="0.3">
      <c r="A150" s="85" t="s">
        <v>32</v>
      </c>
      <c r="B150" s="99">
        <v>8400</v>
      </c>
      <c r="C150" s="100"/>
      <c r="D150" s="101">
        <v>5981</v>
      </c>
      <c r="E150" s="100"/>
      <c r="F150" s="101">
        <f t="shared" si="2"/>
        <v>1970903.2062711839</v>
      </c>
      <c r="G150" s="102"/>
    </row>
    <row r="151" spans="1:7" x14ac:dyDescent="0.3">
      <c r="A151" s="85" t="s">
        <v>32</v>
      </c>
      <c r="B151" s="99">
        <v>8200</v>
      </c>
      <c r="C151" s="100"/>
      <c r="D151" s="101">
        <v>8669</v>
      </c>
      <c r="E151" s="100"/>
      <c r="F151" s="101">
        <f t="shared" si="2"/>
        <v>2249699.4521075757</v>
      </c>
      <c r="G151" s="102"/>
    </row>
    <row r="152" spans="1:7" x14ac:dyDescent="0.3">
      <c r="A152" s="85" t="s">
        <v>32</v>
      </c>
      <c r="B152" s="99">
        <v>20000</v>
      </c>
      <c r="C152" s="100"/>
      <c r="D152" s="101">
        <v>17500</v>
      </c>
      <c r="E152" s="100"/>
      <c r="F152" s="101">
        <f t="shared" si="2"/>
        <v>4363960.993466517</v>
      </c>
      <c r="G152" s="102"/>
    </row>
    <row r="153" spans="1:7" x14ac:dyDescent="0.3">
      <c r="A153" s="85" t="s">
        <v>32</v>
      </c>
      <c r="B153" s="99">
        <v>850</v>
      </c>
      <c r="C153" s="100"/>
      <c r="D153" s="101">
        <v>730</v>
      </c>
      <c r="E153" s="100"/>
      <c r="F153" s="101">
        <f t="shared" si="2"/>
        <v>317043.61858131969</v>
      </c>
      <c r="G153" s="102"/>
    </row>
    <row r="154" spans="1:7" x14ac:dyDescent="0.3">
      <c r="A154" s="85" t="s">
        <v>32</v>
      </c>
      <c r="B154" s="99">
        <v>27500</v>
      </c>
      <c r="C154" s="100"/>
      <c r="D154" s="101">
        <v>4890</v>
      </c>
      <c r="E154" s="100"/>
      <c r="F154" s="101">
        <f t="shared" si="2"/>
        <v>3864597.2092018905</v>
      </c>
      <c r="G154" s="102"/>
    </row>
    <row r="155" spans="1:7" x14ac:dyDescent="0.3">
      <c r="A155" s="85" t="s">
        <v>32</v>
      </c>
      <c r="B155" s="99">
        <v>1000</v>
      </c>
      <c r="C155" s="100"/>
      <c r="D155" s="101">
        <v>405</v>
      </c>
      <c r="E155" s="100"/>
      <c r="F155" s="101">
        <f t="shared" si="2"/>
        <v>287814.43722198275</v>
      </c>
      <c r="G155" s="102"/>
    </row>
    <row r="156" spans="1:7" x14ac:dyDescent="0.3">
      <c r="A156" s="85" t="s">
        <v>32</v>
      </c>
      <c r="B156" s="99">
        <v>30000</v>
      </c>
      <c r="C156" s="100"/>
      <c r="D156" s="101">
        <v>17437</v>
      </c>
      <c r="E156" s="100"/>
      <c r="F156" s="101">
        <f t="shared" si="2"/>
        <v>5303633.1496249633</v>
      </c>
      <c r="G156" s="102"/>
    </row>
    <row r="157" spans="1:7" x14ac:dyDescent="0.3">
      <c r="A157" s="85" t="s">
        <v>32</v>
      </c>
      <c r="B157" s="99">
        <v>3400</v>
      </c>
      <c r="C157" s="100"/>
      <c r="D157" s="101">
        <v>2445</v>
      </c>
      <c r="E157" s="100"/>
      <c r="F157" s="101">
        <f t="shared" si="2"/>
        <v>934692.24596453446</v>
      </c>
      <c r="G157" s="102"/>
    </row>
    <row r="158" spans="1:7" ht="15" thickBot="1" x14ac:dyDescent="0.35">
      <c r="A158" s="87" t="s">
        <v>32</v>
      </c>
      <c r="B158" s="111">
        <v>170</v>
      </c>
      <c r="C158" s="112" t="s">
        <v>121</v>
      </c>
      <c r="D158" s="113">
        <v>150</v>
      </c>
      <c r="E158" s="129" t="s">
        <v>122</v>
      </c>
      <c r="F158" s="113">
        <f t="shared" si="2"/>
        <v>85849.805149449472</v>
      </c>
      <c r="G158" s="144">
        <f>SUM(F148:F158)</f>
        <v>55370104.230515294</v>
      </c>
    </row>
    <row r="159" spans="1:7" x14ac:dyDescent="0.3">
      <c r="A159" s="84" t="s">
        <v>33</v>
      </c>
      <c r="B159" s="95">
        <v>100000</v>
      </c>
      <c r="C159" s="96"/>
      <c r="D159" s="97">
        <v>56945</v>
      </c>
      <c r="E159" s="96"/>
      <c r="F159" s="97">
        <f t="shared" si="2"/>
        <v>14313749.936849639</v>
      </c>
      <c r="G159" s="98"/>
    </row>
    <row r="160" spans="1:7" x14ac:dyDescent="0.3">
      <c r="A160" s="85" t="s">
        <v>33</v>
      </c>
      <c r="B160" s="99">
        <v>10000</v>
      </c>
      <c r="C160" s="100"/>
      <c r="D160" s="101">
        <v>4874</v>
      </c>
      <c r="E160" s="100"/>
      <c r="F160" s="101">
        <f t="shared" si="2"/>
        <v>2026758.789676788</v>
      </c>
      <c r="G160" s="102"/>
    </row>
    <row r="161" spans="1:7" x14ac:dyDescent="0.3">
      <c r="A161" s="85" t="s">
        <v>33</v>
      </c>
      <c r="B161" s="99">
        <v>500</v>
      </c>
      <c r="C161" s="100"/>
      <c r="D161" s="101">
        <v>255</v>
      </c>
      <c r="E161" s="100"/>
      <c r="F161" s="101">
        <f t="shared" si="2"/>
        <v>172768.82166471271</v>
      </c>
      <c r="G161" s="102"/>
    </row>
    <row r="162" spans="1:7" x14ac:dyDescent="0.3">
      <c r="A162" s="85" t="s">
        <v>33</v>
      </c>
      <c r="B162" s="99">
        <v>390</v>
      </c>
      <c r="C162" s="100"/>
      <c r="D162" s="101">
        <v>79</v>
      </c>
      <c r="E162" s="100"/>
      <c r="F162" s="101">
        <f t="shared" si="2"/>
        <v>117087.02113133724</v>
      </c>
      <c r="G162" s="102"/>
    </row>
    <row r="163" spans="1:7" x14ac:dyDescent="0.3">
      <c r="A163" s="85" t="s">
        <v>33</v>
      </c>
      <c r="B163" s="99">
        <v>150</v>
      </c>
      <c r="C163" s="100"/>
      <c r="D163" s="101">
        <v>15</v>
      </c>
      <c r="E163" s="100"/>
      <c r="F163" s="101">
        <f t="shared" si="2"/>
        <v>50470.644852350706</v>
      </c>
      <c r="G163" s="102"/>
    </row>
    <row r="164" spans="1:7" x14ac:dyDescent="0.3">
      <c r="A164" s="85" t="s">
        <v>33</v>
      </c>
      <c r="B164" s="99">
        <v>120</v>
      </c>
      <c r="C164" s="100"/>
      <c r="D164" s="101">
        <v>16</v>
      </c>
      <c r="E164" s="100"/>
      <c r="F164" s="101">
        <f t="shared" si="2"/>
        <v>43315.056613901361</v>
      </c>
      <c r="G164" s="102"/>
    </row>
    <row r="165" spans="1:7" x14ac:dyDescent="0.3">
      <c r="A165" s="85" t="s">
        <v>33</v>
      </c>
      <c r="B165" s="99">
        <v>145</v>
      </c>
      <c r="C165" s="100"/>
      <c r="D165" s="101">
        <v>14</v>
      </c>
      <c r="E165" s="100"/>
      <c r="F165" s="101">
        <f t="shared" si="2"/>
        <v>49009.029358816173</v>
      </c>
      <c r="G165" s="102"/>
    </row>
    <row r="166" spans="1:7" x14ac:dyDescent="0.3">
      <c r="A166" s="85" t="s">
        <v>33</v>
      </c>
      <c r="B166" s="99">
        <v>50</v>
      </c>
      <c r="C166" s="100"/>
      <c r="D166" s="101">
        <v>18</v>
      </c>
      <c r="E166" s="100"/>
      <c r="F166" s="101">
        <f t="shared" si="2"/>
        <v>25326.23429217696</v>
      </c>
      <c r="G166" s="102"/>
    </row>
    <row r="167" spans="1:7" ht="15" thickBot="1" x14ac:dyDescent="0.35">
      <c r="A167" s="86" t="s">
        <v>33</v>
      </c>
      <c r="B167" s="103">
        <v>40</v>
      </c>
      <c r="C167" s="104"/>
      <c r="D167" s="105">
        <v>15</v>
      </c>
      <c r="E167" s="104"/>
      <c r="F167" s="105">
        <f t="shared" si="2"/>
        <v>21591.235222189829</v>
      </c>
      <c r="G167" s="142">
        <f>SUM(F159:F167)</f>
        <v>16820076.769661911</v>
      </c>
    </row>
    <row r="168" spans="1:7" x14ac:dyDescent="0.3">
      <c r="A168" s="91" t="s">
        <v>62</v>
      </c>
      <c r="B168" s="95">
        <v>600</v>
      </c>
      <c r="C168" s="96"/>
      <c r="D168" s="97">
        <v>110</v>
      </c>
      <c r="E168" s="96"/>
      <c r="F168" s="97">
        <f t="shared" si="2"/>
        <v>164286.72325076276</v>
      </c>
      <c r="G168" s="98"/>
    </row>
    <row r="169" spans="1:7" x14ac:dyDescent="0.3">
      <c r="A169" s="92" t="s">
        <v>62</v>
      </c>
      <c r="B169" s="99">
        <v>4000</v>
      </c>
      <c r="C169" s="100"/>
      <c r="D169" s="101">
        <v>2940</v>
      </c>
      <c r="E169" s="100"/>
      <c r="F169" s="101">
        <f t="shared" si="2"/>
        <v>1077532.4488256625</v>
      </c>
      <c r="G169" s="102"/>
    </row>
    <row r="170" spans="1:7" x14ac:dyDescent="0.3">
      <c r="A170" s="92" t="s">
        <v>62</v>
      </c>
      <c r="B170" s="99">
        <v>110</v>
      </c>
      <c r="C170" s="100"/>
      <c r="D170" s="101">
        <v>99</v>
      </c>
      <c r="E170" s="100"/>
      <c r="F170" s="101">
        <f t="shared" si="2"/>
        <v>60935.525498765135</v>
      </c>
      <c r="G170" s="102"/>
    </row>
    <row r="171" spans="1:7" x14ac:dyDescent="0.3">
      <c r="A171" s="92" t="s">
        <v>62</v>
      </c>
      <c r="B171" s="99">
        <v>140</v>
      </c>
      <c r="C171" s="100"/>
      <c r="D171" s="101">
        <v>90</v>
      </c>
      <c r="E171" s="100"/>
      <c r="F171" s="101">
        <f t="shared" si="2"/>
        <v>65794.033213726478</v>
      </c>
      <c r="G171" s="102"/>
    </row>
    <row r="172" spans="1:7" x14ac:dyDescent="0.3">
      <c r="A172" s="92" t="s">
        <v>62</v>
      </c>
      <c r="B172" s="99">
        <v>4500</v>
      </c>
      <c r="C172" s="100"/>
      <c r="D172" s="101">
        <v>2050</v>
      </c>
      <c r="E172" s="100"/>
      <c r="F172" s="101">
        <f t="shared" si="2"/>
        <v>1027130.8615781451</v>
      </c>
      <c r="G172" s="102"/>
    </row>
    <row r="173" spans="1:7" x14ac:dyDescent="0.3">
      <c r="A173" s="92" t="s">
        <v>62</v>
      </c>
      <c r="B173" s="99">
        <v>50</v>
      </c>
      <c r="C173" s="100"/>
      <c r="D173" s="101">
        <v>25</v>
      </c>
      <c r="E173" s="100"/>
      <c r="F173" s="101">
        <f t="shared" si="2"/>
        <v>27285.958873796299</v>
      </c>
      <c r="G173" s="102"/>
    </row>
    <row r="174" spans="1:7" x14ac:dyDescent="0.3">
      <c r="A174" s="92" t="s">
        <v>62</v>
      </c>
      <c r="B174" s="99">
        <v>60</v>
      </c>
      <c r="C174" s="100"/>
      <c r="D174" s="101">
        <v>42</v>
      </c>
      <c r="E174" s="100"/>
      <c r="F174" s="101">
        <f t="shared" si="2"/>
        <v>34580.794257477421</v>
      </c>
      <c r="G174" s="102"/>
    </row>
    <row r="175" spans="1:7" x14ac:dyDescent="0.3">
      <c r="A175" s="92" t="s">
        <v>62</v>
      </c>
      <c r="B175" s="99">
        <v>900</v>
      </c>
      <c r="C175" s="100"/>
      <c r="D175" s="101">
        <v>624</v>
      </c>
      <c r="E175" s="100"/>
      <c r="F175" s="101">
        <f t="shared" si="2"/>
        <v>307753.19267715112</v>
      </c>
      <c r="G175" s="102"/>
    </row>
    <row r="176" spans="1:7" x14ac:dyDescent="0.3">
      <c r="A176" s="92" t="s">
        <v>62</v>
      </c>
      <c r="B176" s="99">
        <v>70</v>
      </c>
      <c r="C176" s="100"/>
      <c r="D176" s="101">
        <v>30</v>
      </c>
      <c r="E176" s="100"/>
      <c r="F176" s="101">
        <f t="shared" si="2"/>
        <v>34052.846103291406</v>
      </c>
      <c r="G176" s="102"/>
    </row>
    <row r="177" spans="1:7" x14ac:dyDescent="0.3">
      <c r="A177" s="92" t="s">
        <v>62</v>
      </c>
      <c r="B177" s="99">
        <v>20</v>
      </c>
      <c r="C177" s="100"/>
      <c r="D177" s="101">
        <v>13</v>
      </c>
      <c r="E177" s="100"/>
      <c r="F177" s="101">
        <f t="shared" si="2"/>
        <v>14888.546551954028</v>
      </c>
      <c r="G177" s="102"/>
    </row>
    <row r="178" spans="1:7" x14ac:dyDescent="0.3">
      <c r="A178" s="92" t="s">
        <v>62</v>
      </c>
      <c r="B178" s="99">
        <v>30</v>
      </c>
      <c r="C178" s="100"/>
      <c r="D178" s="101">
        <v>20</v>
      </c>
      <c r="E178" s="100"/>
      <c r="F178" s="101">
        <f t="shared" si="2"/>
        <v>20115.970031209159</v>
      </c>
      <c r="G178" s="102"/>
    </row>
    <row r="179" spans="1:7" x14ac:dyDescent="0.3">
      <c r="A179" s="92" t="s">
        <v>62</v>
      </c>
      <c r="B179" s="99">
        <v>20</v>
      </c>
      <c r="C179" s="100"/>
      <c r="D179" s="101">
        <v>13</v>
      </c>
      <c r="E179" s="100"/>
      <c r="F179" s="101">
        <f t="shared" si="2"/>
        <v>14888.546551954028</v>
      </c>
      <c r="G179" s="102"/>
    </row>
    <row r="180" spans="1:7" x14ac:dyDescent="0.3">
      <c r="A180" s="92" t="s">
        <v>62</v>
      </c>
      <c r="B180" s="99">
        <v>45</v>
      </c>
      <c r="C180" s="100"/>
      <c r="D180" s="101">
        <v>30</v>
      </c>
      <c r="E180" s="100"/>
      <c r="F180" s="101">
        <f t="shared" si="2"/>
        <v>27285.958873796299</v>
      </c>
      <c r="G180" s="102"/>
    </row>
    <row r="181" spans="1:7" x14ac:dyDescent="0.3">
      <c r="A181" s="92" t="s">
        <v>62</v>
      </c>
      <c r="B181" s="99">
        <v>80</v>
      </c>
      <c r="C181" s="100"/>
      <c r="D181" s="101">
        <v>50</v>
      </c>
      <c r="E181" s="100"/>
      <c r="F181" s="101">
        <f t="shared" si="2"/>
        <v>41803.590900366464</v>
      </c>
      <c r="G181" s="102"/>
    </row>
    <row r="182" spans="1:7" x14ac:dyDescent="0.3">
      <c r="A182" s="92" t="s">
        <v>62</v>
      </c>
      <c r="B182" s="99">
        <v>50</v>
      </c>
      <c r="C182" s="100"/>
      <c r="D182" s="101">
        <v>35</v>
      </c>
      <c r="E182" s="100"/>
      <c r="F182" s="101">
        <f t="shared" si="2"/>
        <v>30032.749232639642</v>
      </c>
      <c r="G182" s="102"/>
    </row>
    <row r="183" spans="1:7" x14ac:dyDescent="0.3">
      <c r="A183" s="92" t="s">
        <v>62</v>
      </c>
      <c r="B183" s="99">
        <v>20</v>
      </c>
      <c r="C183" s="100"/>
      <c r="D183" s="101">
        <v>30</v>
      </c>
      <c r="E183" s="100"/>
      <c r="F183" s="101">
        <f t="shared" si="2"/>
        <v>20115.970031209159</v>
      </c>
      <c r="G183" s="102"/>
    </row>
    <row r="184" spans="1:7" x14ac:dyDescent="0.3">
      <c r="A184" s="92" t="s">
        <v>62</v>
      </c>
      <c r="B184" s="99">
        <v>15</v>
      </c>
      <c r="C184" s="100"/>
      <c r="D184" s="101">
        <v>15</v>
      </c>
      <c r="E184" s="100"/>
      <c r="F184" s="101">
        <f t="shared" si="2"/>
        <v>13923.083555466595</v>
      </c>
      <c r="G184" s="102"/>
    </row>
    <row r="185" spans="1:7" x14ac:dyDescent="0.3">
      <c r="A185" s="92" t="s">
        <v>62</v>
      </c>
      <c r="B185" s="99">
        <v>132</v>
      </c>
      <c r="C185" s="100"/>
      <c r="D185" s="101"/>
      <c r="E185" s="128" t="s">
        <v>123</v>
      </c>
      <c r="F185" s="101">
        <f t="shared" si="2"/>
        <v>42308.704680418414</v>
      </c>
      <c r="G185" s="102"/>
    </row>
    <row r="186" spans="1:7" x14ac:dyDescent="0.3">
      <c r="A186" s="92" t="s">
        <v>62</v>
      </c>
      <c r="B186" s="99">
        <v>33000</v>
      </c>
      <c r="C186" s="100"/>
      <c r="D186" s="101">
        <v>19000</v>
      </c>
      <c r="E186" s="100"/>
      <c r="F186" s="101">
        <f t="shared" si="2"/>
        <v>5723553.8122993642</v>
      </c>
      <c r="G186" s="102"/>
    </row>
    <row r="187" spans="1:7" x14ac:dyDescent="0.3">
      <c r="A187" s="92" t="s">
        <v>62</v>
      </c>
      <c r="B187" s="99">
        <v>4900</v>
      </c>
      <c r="C187" s="100"/>
      <c r="D187" s="101">
        <v>3300</v>
      </c>
      <c r="E187" s="100"/>
      <c r="F187" s="101">
        <f t="shared" si="2"/>
        <v>1237237.5135314527</v>
      </c>
      <c r="G187" s="102"/>
    </row>
    <row r="188" spans="1:7" x14ac:dyDescent="0.3">
      <c r="A188" s="92" t="s">
        <v>62</v>
      </c>
      <c r="B188" s="99">
        <v>35</v>
      </c>
      <c r="C188" s="100"/>
      <c r="D188" s="101">
        <v>28</v>
      </c>
      <c r="E188" s="100"/>
      <c r="F188" s="101">
        <f t="shared" si="2"/>
        <v>23905.462032729778</v>
      </c>
      <c r="G188" s="102"/>
    </row>
    <row r="189" spans="1:7" x14ac:dyDescent="0.3">
      <c r="A189" s="92" t="s">
        <v>62</v>
      </c>
      <c r="B189" s="99">
        <v>1720</v>
      </c>
      <c r="C189" s="100"/>
      <c r="D189" s="101">
        <v>650</v>
      </c>
      <c r="E189" s="100"/>
      <c r="F189" s="101">
        <f t="shared" si="2"/>
        <v>443011.19055988383</v>
      </c>
      <c r="G189" s="102"/>
    </row>
    <row r="190" spans="1:7" x14ac:dyDescent="0.3">
      <c r="A190" s="92" t="s">
        <v>62</v>
      </c>
      <c r="B190" s="99">
        <v>30</v>
      </c>
      <c r="C190" s="100"/>
      <c r="D190" s="101">
        <v>20</v>
      </c>
      <c r="E190" s="100"/>
      <c r="F190" s="101">
        <f t="shared" si="2"/>
        <v>20115.970031209159</v>
      </c>
      <c r="G190" s="102"/>
    </row>
    <row r="191" spans="1:7" x14ac:dyDescent="0.3">
      <c r="A191" s="92" t="s">
        <v>62</v>
      </c>
      <c r="B191" s="99">
        <v>60</v>
      </c>
      <c r="C191" s="100"/>
      <c r="D191" s="101">
        <v>48</v>
      </c>
      <c r="E191" s="100"/>
      <c r="F191" s="101">
        <f t="shared" ref="F191:F253" si="3">(1239*((B191+D191)/2)^0.83)+2195</f>
        <v>36154.252883199297</v>
      </c>
      <c r="G191" s="102"/>
    </row>
    <row r="192" spans="1:7" x14ac:dyDescent="0.3">
      <c r="A192" s="92" t="s">
        <v>62</v>
      </c>
      <c r="B192" s="99">
        <v>85</v>
      </c>
      <c r="C192" s="100"/>
      <c r="D192" s="101">
        <v>48</v>
      </c>
      <c r="E192" s="100"/>
      <c r="F192" s="101">
        <f t="shared" si="3"/>
        <v>42560.77285019285</v>
      </c>
      <c r="G192" s="102"/>
    </row>
    <row r="193" spans="1:7" x14ac:dyDescent="0.3">
      <c r="A193" s="92" t="s">
        <v>62</v>
      </c>
      <c r="B193" s="99">
        <v>165</v>
      </c>
      <c r="C193" s="100"/>
      <c r="D193" s="101">
        <v>150</v>
      </c>
      <c r="E193" s="100"/>
      <c r="F193" s="101">
        <f t="shared" si="3"/>
        <v>84763.457159135389</v>
      </c>
      <c r="G193" s="102"/>
    </row>
    <row r="194" spans="1:7" x14ac:dyDescent="0.3">
      <c r="A194" s="92" t="s">
        <v>62</v>
      </c>
      <c r="B194" s="99">
        <v>15</v>
      </c>
      <c r="C194" s="100"/>
      <c r="D194" s="101">
        <v>15</v>
      </c>
      <c r="E194" s="100"/>
      <c r="F194" s="101">
        <f t="shared" si="3"/>
        <v>13923.083555466595</v>
      </c>
      <c r="G194" s="102"/>
    </row>
    <row r="195" spans="1:7" x14ac:dyDescent="0.3">
      <c r="A195" s="92" t="s">
        <v>62</v>
      </c>
      <c r="B195" s="99">
        <v>65</v>
      </c>
      <c r="C195" s="100"/>
      <c r="D195" s="101">
        <v>65</v>
      </c>
      <c r="E195" s="100"/>
      <c r="F195" s="101">
        <f t="shared" si="3"/>
        <v>41803.590900366464</v>
      </c>
      <c r="G195" s="102"/>
    </row>
    <row r="196" spans="1:7" x14ac:dyDescent="0.3">
      <c r="A196" s="92" t="s">
        <v>62</v>
      </c>
      <c r="B196" s="99">
        <v>10</v>
      </c>
      <c r="C196" s="100"/>
      <c r="D196" s="101">
        <v>10</v>
      </c>
      <c r="E196" s="100"/>
      <c r="F196" s="101">
        <f t="shared" si="3"/>
        <v>10571.668065106654</v>
      </c>
      <c r="G196" s="102"/>
    </row>
    <row r="197" spans="1:7" x14ac:dyDescent="0.3">
      <c r="A197" s="92" t="s">
        <v>62</v>
      </c>
      <c r="B197" s="99">
        <v>65</v>
      </c>
      <c r="C197" s="100"/>
      <c r="D197" s="101">
        <v>45</v>
      </c>
      <c r="E197" s="100"/>
      <c r="F197" s="101">
        <f t="shared" si="3"/>
        <v>36675.403438857349</v>
      </c>
      <c r="G197" s="102"/>
    </row>
    <row r="198" spans="1:7" x14ac:dyDescent="0.3">
      <c r="A198" s="92" t="s">
        <v>62</v>
      </c>
      <c r="B198" s="99">
        <v>85</v>
      </c>
      <c r="C198" s="100"/>
      <c r="D198" s="101">
        <v>30</v>
      </c>
      <c r="E198" s="100"/>
      <c r="F198" s="101">
        <f t="shared" si="3"/>
        <v>37971.315967554183</v>
      </c>
      <c r="G198" s="102"/>
    </row>
    <row r="199" spans="1:7" x14ac:dyDescent="0.3">
      <c r="A199" s="92" t="s">
        <v>62</v>
      </c>
      <c r="B199" s="99">
        <v>200</v>
      </c>
      <c r="C199" s="100"/>
      <c r="D199" s="101">
        <v>130</v>
      </c>
      <c r="E199" s="100"/>
      <c r="F199" s="101">
        <f t="shared" si="3"/>
        <v>88013.907211217083</v>
      </c>
      <c r="G199" s="102"/>
    </row>
    <row r="200" spans="1:7" x14ac:dyDescent="0.3">
      <c r="A200" s="92" t="s">
        <v>62</v>
      </c>
      <c r="B200" s="99">
        <v>200</v>
      </c>
      <c r="C200" s="100"/>
      <c r="D200" s="101">
        <v>125</v>
      </c>
      <c r="E200" s="100"/>
      <c r="F200" s="101">
        <f t="shared" si="3"/>
        <v>86933.271229905033</v>
      </c>
      <c r="G200" s="102"/>
    </row>
    <row r="201" spans="1:7" x14ac:dyDescent="0.3">
      <c r="A201" s="92" t="s">
        <v>62</v>
      </c>
      <c r="B201" s="99">
        <v>850</v>
      </c>
      <c r="C201" s="100"/>
      <c r="D201" s="101">
        <v>545</v>
      </c>
      <c r="E201" s="100"/>
      <c r="F201" s="101">
        <f t="shared" si="3"/>
        <v>286126.12439547223</v>
      </c>
      <c r="G201" s="102"/>
    </row>
    <row r="202" spans="1:7" x14ac:dyDescent="0.3">
      <c r="A202" s="92" t="s">
        <v>62</v>
      </c>
      <c r="B202" s="99">
        <v>200</v>
      </c>
      <c r="C202" s="100"/>
      <c r="D202" s="101">
        <v>168</v>
      </c>
      <c r="E202" s="100"/>
      <c r="F202" s="101">
        <f t="shared" si="3"/>
        <v>96139.227476247237</v>
      </c>
      <c r="G202" s="102"/>
    </row>
    <row r="203" spans="1:7" x14ac:dyDescent="0.3">
      <c r="A203" s="92" t="s">
        <v>62</v>
      </c>
      <c r="B203" s="99">
        <v>560</v>
      </c>
      <c r="C203" s="100"/>
      <c r="D203" s="101">
        <v>199</v>
      </c>
      <c r="E203" s="100"/>
      <c r="F203" s="101">
        <f t="shared" si="3"/>
        <v>173518.55754358461</v>
      </c>
      <c r="G203" s="102"/>
    </row>
    <row r="204" spans="1:7" x14ac:dyDescent="0.3">
      <c r="A204" s="92" t="s">
        <v>62</v>
      </c>
      <c r="B204" s="99">
        <v>450</v>
      </c>
      <c r="C204" s="100"/>
      <c r="D204" s="101">
        <v>382</v>
      </c>
      <c r="E204" s="100"/>
      <c r="F204" s="101">
        <f t="shared" si="3"/>
        <v>187087.27693836248</v>
      </c>
      <c r="G204" s="102"/>
    </row>
    <row r="205" spans="1:7" x14ac:dyDescent="0.3">
      <c r="A205" s="92" t="s">
        <v>62</v>
      </c>
      <c r="B205" s="99">
        <v>45</v>
      </c>
      <c r="C205" s="100"/>
      <c r="D205" s="101">
        <v>45</v>
      </c>
      <c r="E205" s="100"/>
      <c r="F205" s="101">
        <f t="shared" si="3"/>
        <v>31385.241819436887</v>
      </c>
      <c r="G205" s="102"/>
    </row>
    <row r="206" spans="1:7" x14ac:dyDescent="0.3">
      <c r="A206" s="92" t="s">
        <v>62</v>
      </c>
      <c r="B206" s="99">
        <v>319</v>
      </c>
      <c r="C206" s="100"/>
      <c r="D206" s="101">
        <v>319</v>
      </c>
      <c r="E206" s="100"/>
      <c r="F206" s="101">
        <f t="shared" si="3"/>
        <v>150521.09847138741</v>
      </c>
      <c r="G206" s="102"/>
    </row>
    <row r="207" spans="1:7" x14ac:dyDescent="0.3">
      <c r="A207" s="92" t="s">
        <v>62</v>
      </c>
      <c r="B207" s="99">
        <v>120</v>
      </c>
      <c r="C207" s="100"/>
      <c r="D207" s="101">
        <v>10</v>
      </c>
      <c r="E207" s="100"/>
      <c r="F207" s="101">
        <f t="shared" si="3"/>
        <v>41803.590900366464</v>
      </c>
      <c r="G207" s="102"/>
    </row>
    <row r="208" spans="1:7" x14ac:dyDescent="0.3">
      <c r="A208" s="92" t="s">
        <v>62</v>
      </c>
      <c r="B208" s="99">
        <v>1100</v>
      </c>
      <c r="C208" s="100"/>
      <c r="D208" s="101">
        <v>705</v>
      </c>
      <c r="E208" s="100"/>
      <c r="F208" s="101">
        <f t="shared" si="3"/>
        <v>353830.31989117706</v>
      </c>
      <c r="G208" s="102"/>
    </row>
    <row r="209" spans="1:7" x14ac:dyDescent="0.3">
      <c r="A209" s="92" t="s">
        <v>62</v>
      </c>
      <c r="B209" s="99">
        <v>60</v>
      </c>
      <c r="C209" s="100"/>
      <c r="D209" s="101">
        <v>65</v>
      </c>
      <c r="E209" s="100"/>
      <c r="F209" s="101">
        <f t="shared" si="3"/>
        <v>40534.965767213187</v>
      </c>
      <c r="G209" s="102"/>
    </row>
    <row r="210" spans="1:7" x14ac:dyDescent="0.3">
      <c r="A210" s="92" t="s">
        <v>62</v>
      </c>
      <c r="B210" s="99">
        <v>1660</v>
      </c>
      <c r="C210" s="100"/>
      <c r="D210" s="101">
        <v>705</v>
      </c>
      <c r="E210" s="100"/>
      <c r="F210" s="101">
        <f t="shared" si="3"/>
        <v>442239.1586967124</v>
      </c>
      <c r="G210" s="102"/>
    </row>
    <row r="211" spans="1:7" x14ac:dyDescent="0.3">
      <c r="A211" s="92" t="s">
        <v>62</v>
      </c>
      <c r="B211" s="99">
        <v>40</v>
      </c>
      <c r="C211" s="100"/>
      <c r="D211" s="101">
        <v>20</v>
      </c>
      <c r="E211" s="100"/>
      <c r="F211" s="101">
        <f t="shared" si="3"/>
        <v>23043.842464772988</v>
      </c>
      <c r="G211" s="102"/>
    </row>
    <row r="212" spans="1:7" x14ac:dyDescent="0.3">
      <c r="A212" s="92" t="s">
        <v>62</v>
      </c>
      <c r="B212" s="99">
        <v>240</v>
      </c>
      <c r="C212" s="100"/>
      <c r="D212" s="101">
        <v>216</v>
      </c>
      <c r="E212" s="100"/>
      <c r="F212" s="101">
        <f t="shared" si="3"/>
        <v>114437.47367170922</v>
      </c>
      <c r="G212" s="102"/>
    </row>
    <row r="213" spans="1:7" x14ac:dyDescent="0.3">
      <c r="A213" s="92" t="s">
        <v>62</v>
      </c>
      <c r="B213" s="99">
        <v>225</v>
      </c>
      <c r="C213" s="100"/>
      <c r="D213" s="101">
        <v>320</v>
      </c>
      <c r="E213" s="100"/>
      <c r="F213" s="101">
        <f t="shared" si="3"/>
        <v>132339.40639192369</v>
      </c>
      <c r="G213" s="102"/>
    </row>
    <row r="214" spans="1:7" x14ac:dyDescent="0.3">
      <c r="A214" s="92" t="s">
        <v>62</v>
      </c>
      <c r="B214" s="99">
        <v>2000</v>
      </c>
      <c r="C214" s="100"/>
      <c r="D214" s="101">
        <v>1880</v>
      </c>
      <c r="E214" s="100"/>
      <c r="F214" s="101">
        <f t="shared" si="3"/>
        <v>665856.6801983834</v>
      </c>
      <c r="G214" s="102"/>
    </row>
    <row r="215" spans="1:7" x14ac:dyDescent="0.3">
      <c r="A215" s="92" t="s">
        <v>62</v>
      </c>
      <c r="B215" s="99">
        <v>1500</v>
      </c>
      <c r="C215" s="100"/>
      <c r="D215" s="101">
        <v>1080</v>
      </c>
      <c r="E215" s="100"/>
      <c r="F215" s="101">
        <f t="shared" si="3"/>
        <v>475194.59178240661</v>
      </c>
      <c r="G215" s="102"/>
    </row>
    <row r="216" spans="1:7" x14ac:dyDescent="0.3">
      <c r="A216" s="92" t="s">
        <v>62</v>
      </c>
      <c r="B216" s="99">
        <v>1850</v>
      </c>
      <c r="C216" s="100"/>
      <c r="D216" s="101">
        <v>1100</v>
      </c>
      <c r="E216" s="100"/>
      <c r="F216" s="101">
        <f t="shared" si="3"/>
        <v>530845.54374367243</v>
      </c>
      <c r="G216" s="102"/>
    </row>
    <row r="217" spans="1:7" x14ac:dyDescent="0.3">
      <c r="A217" s="92" t="s">
        <v>62</v>
      </c>
      <c r="B217" s="99">
        <v>300</v>
      </c>
      <c r="C217" s="100"/>
      <c r="D217" s="101">
        <v>300</v>
      </c>
      <c r="E217" s="100"/>
      <c r="F217" s="101">
        <f t="shared" si="3"/>
        <v>143150.47447062409</v>
      </c>
      <c r="G217" s="102"/>
    </row>
    <row r="218" spans="1:7" x14ac:dyDescent="0.3">
      <c r="A218" s="92" t="s">
        <v>62</v>
      </c>
      <c r="B218" s="99">
        <v>65</v>
      </c>
      <c r="C218" s="100"/>
      <c r="D218" s="101">
        <v>40</v>
      </c>
      <c r="E218" s="100"/>
      <c r="F218" s="101">
        <f t="shared" si="3"/>
        <v>35369.434477055154</v>
      </c>
      <c r="G218" s="102"/>
    </row>
    <row r="219" spans="1:7" x14ac:dyDescent="0.3">
      <c r="A219" s="92" t="s">
        <v>62</v>
      </c>
      <c r="B219" s="99">
        <v>35</v>
      </c>
      <c r="C219" s="100"/>
      <c r="D219" s="101">
        <v>25</v>
      </c>
      <c r="E219" s="100"/>
      <c r="F219" s="101">
        <f t="shared" si="3"/>
        <v>23043.842464772988</v>
      </c>
      <c r="G219" s="102"/>
    </row>
    <row r="220" spans="1:7" x14ac:dyDescent="0.3">
      <c r="A220" s="92" t="s">
        <v>62</v>
      </c>
      <c r="B220" s="99">
        <v>200</v>
      </c>
      <c r="C220" s="100"/>
      <c r="D220" s="101">
        <v>190</v>
      </c>
      <c r="E220" s="100"/>
      <c r="F220" s="101">
        <f t="shared" si="3"/>
        <v>100777.54684499869</v>
      </c>
      <c r="G220" s="102"/>
    </row>
    <row r="221" spans="1:7" x14ac:dyDescent="0.3">
      <c r="A221" s="92" t="s">
        <v>62</v>
      </c>
      <c r="B221" s="99">
        <v>300</v>
      </c>
      <c r="C221" s="100"/>
      <c r="D221" s="101">
        <v>120</v>
      </c>
      <c r="E221" s="100"/>
      <c r="F221" s="101">
        <f t="shared" si="3"/>
        <v>107031.69493831317</v>
      </c>
      <c r="G221" s="102"/>
    </row>
    <row r="222" spans="1:7" x14ac:dyDescent="0.3">
      <c r="A222" s="92" t="s">
        <v>62</v>
      </c>
      <c r="B222" s="99">
        <v>1000</v>
      </c>
      <c r="C222" s="100"/>
      <c r="D222" s="101">
        <v>440</v>
      </c>
      <c r="E222" s="100"/>
      <c r="F222" s="101">
        <f t="shared" si="3"/>
        <v>293707.56474422757</v>
      </c>
      <c r="G222" s="102"/>
    </row>
    <row r="223" spans="1:7" x14ac:dyDescent="0.3">
      <c r="A223" s="92" t="s">
        <v>62</v>
      </c>
      <c r="B223" s="99">
        <v>80</v>
      </c>
      <c r="C223" s="100"/>
      <c r="D223" s="101">
        <v>80</v>
      </c>
      <c r="E223" s="100"/>
      <c r="F223" s="101">
        <f t="shared" si="3"/>
        <v>49253.274159188637</v>
      </c>
      <c r="G223" s="102"/>
    </row>
    <row r="224" spans="1:7" x14ac:dyDescent="0.3">
      <c r="A224" s="92" t="s">
        <v>62</v>
      </c>
      <c r="B224" s="99">
        <v>225</v>
      </c>
      <c r="C224" s="100"/>
      <c r="D224" s="101">
        <v>225</v>
      </c>
      <c r="E224" s="100"/>
      <c r="F224" s="101">
        <f t="shared" si="3"/>
        <v>113210.28965617916</v>
      </c>
      <c r="G224" s="102"/>
    </row>
    <row r="225" spans="1:7" x14ac:dyDescent="0.3">
      <c r="A225" s="92" t="s">
        <v>62</v>
      </c>
      <c r="B225" s="99">
        <v>15828</v>
      </c>
      <c r="C225" s="100"/>
      <c r="D225" s="101">
        <v>8500</v>
      </c>
      <c r="E225" s="100"/>
      <c r="F225" s="101">
        <f t="shared" si="3"/>
        <v>3047878.2010822287</v>
      </c>
      <c r="G225" s="102"/>
    </row>
    <row r="226" spans="1:7" x14ac:dyDescent="0.3">
      <c r="A226" s="92" t="s">
        <v>62</v>
      </c>
      <c r="B226" s="99">
        <v>526</v>
      </c>
      <c r="C226" s="100"/>
      <c r="D226" s="101">
        <v>472</v>
      </c>
      <c r="E226" s="100"/>
      <c r="F226" s="101">
        <f t="shared" si="3"/>
        <v>217222.87311512977</v>
      </c>
      <c r="G226" s="102"/>
    </row>
    <row r="227" spans="1:7" x14ac:dyDescent="0.3">
      <c r="A227" s="92" t="s">
        <v>62</v>
      </c>
      <c r="B227" s="99">
        <v>250</v>
      </c>
      <c r="C227" s="100"/>
      <c r="D227" s="101">
        <v>231</v>
      </c>
      <c r="E227" s="100"/>
      <c r="F227" s="101">
        <f t="shared" si="3"/>
        <v>119521.69128603672</v>
      </c>
      <c r="G227" s="102"/>
    </row>
    <row r="228" spans="1:7" ht="15" thickBot="1" x14ac:dyDescent="0.35">
      <c r="A228" s="93" t="s">
        <v>62</v>
      </c>
      <c r="B228" s="103">
        <v>400</v>
      </c>
      <c r="C228" s="104"/>
      <c r="D228" s="105">
        <v>435</v>
      </c>
      <c r="E228" s="104"/>
      <c r="F228" s="105">
        <f t="shared" si="3"/>
        <v>187640.45105498406</v>
      </c>
      <c r="G228" s="142">
        <f>SUM(F168:F228)</f>
        <v>19134620.61485</v>
      </c>
    </row>
    <row r="229" spans="1:7" x14ac:dyDescent="0.3">
      <c r="A229" s="81" t="s">
        <v>35</v>
      </c>
      <c r="B229" s="95">
        <v>125000</v>
      </c>
      <c r="C229" s="96"/>
      <c r="D229" s="97">
        <v>22710</v>
      </c>
      <c r="E229" s="96"/>
      <c r="F229" s="97">
        <f t="shared" si="3"/>
        <v>13611207.890188085</v>
      </c>
      <c r="G229" s="98"/>
    </row>
    <row r="230" spans="1:7" x14ac:dyDescent="0.3">
      <c r="A230" s="82" t="s">
        <v>35</v>
      </c>
      <c r="B230" s="99">
        <v>3400</v>
      </c>
      <c r="C230" s="100"/>
      <c r="D230" s="101">
        <v>2192</v>
      </c>
      <c r="E230" s="100"/>
      <c r="F230" s="101">
        <f t="shared" si="3"/>
        <v>901065.5568789742</v>
      </c>
      <c r="G230" s="102"/>
    </row>
    <row r="231" spans="1:7" x14ac:dyDescent="0.3">
      <c r="A231" s="82" t="s">
        <v>35</v>
      </c>
      <c r="B231" s="99">
        <v>2200</v>
      </c>
      <c r="C231" s="100"/>
      <c r="D231" s="101">
        <v>841</v>
      </c>
      <c r="E231" s="100"/>
      <c r="F231" s="101">
        <f t="shared" si="3"/>
        <v>544345.71977848304</v>
      </c>
      <c r="G231" s="102"/>
    </row>
    <row r="232" spans="1:7" x14ac:dyDescent="0.3">
      <c r="A232" s="82" t="s">
        <v>35</v>
      </c>
      <c r="B232" s="99">
        <v>1050</v>
      </c>
      <c r="C232" s="100"/>
      <c r="D232" s="101">
        <v>351</v>
      </c>
      <c r="E232" s="100"/>
      <c r="F232" s="101">
        <f t="shared" si="3"/>
        <v>287139.35803473083</v>
      </c>
      <c r="G232" s="102"/>
    </row>
    <row r="233" spans="1:7" x14ac:dyDescent="0.3">
      <c r="A233" s="82" t="s">
        <v>35</v>
      </c>
      <c r="B233" s="99">
        <v>900</v>
      </c>
      <c r="C233" s="100"/>
      <c r="D233" s="101">
        <v>0</v>
      </c>
      <c r="E233" s="100"/>
      <c r="F233" s="101">
        <f t="shared" si="3"/>
        <v>199545.25541696337</v>
      </c>
      <c r="G233" s="102"/>
    </row>
    <row r="234" spans="1:7" ht="15" thickBot="1" x14ac:dyDescent="0.35">
      <c r="A234" s="83" t="s">
        <v>35</v>
      </c>
      <c r="B234" s="111">
        <v>900</v>
      </c>
      <c r="C234" s="130"/>
      <c r="D234" s="113">
        <v>251</v>
      </c>
      <c r="E234" s="130"/>
      <c r="F234" s="113">
        <f t="shared" si="3"/>
        <v>244247.14109559319</v>
      </c>
      <c r="G234" s="144">
        <f>SUM(F229:F234)</f>
        <v>15787550.92139283</v>
      </c>
    </row>
    <row r="235" spans="1:7" x14ac:dyDescent="0.3">
      <c r="A235" s="84" t="s">
        <v>37</v>
      </c>
      <c r="B235" s="95">
        <v>28000</v>
      </c>
      <c r="C235" s="118" t="s">
        <v>124</v>
      </c>
      <c r="D235" s="97">
        <v>15877</v>
      </c>
      <c r="E235" s="118" t="s">
        <v>125</v>
      </c>
      <c r="F235" s="97">
        <f t="shared" si="3"/>
        <v>4971241.4728546077</v>
      </c>
      <c r="G235" s="98"/>
    </row>
    <row r="236" spans="1:7" x14ac:dyDescent="0.3">
      <c r="A236" s="85" t="s">
        <v>37</v>
      </c>
      <c r="B236" s="99">
        <v>5000</v>
      </c>
      <c r="C236" s="120" t="s">
        <v>126</v>
      </c>
      <c r="D236" s="101">
        <v>1101</v>
      </c>
      <c r="E236" s="120" t="s">
        <v>127</v>
      </c>
      <c r="F236" s="101">
        <f t="shared" si="3"/>
        <v>968466.70119123627</v>
      </c>
      <c r="G236" s="102"/>
    </row>
    <row r="237" spans="1:7" x14ac:dyDescent="0.3">
      <c r="A237" s="85" t="s">
        <v>37</v>
      </c>
      <c r="B237" s="99">
        <v>60000</v>
      </c>
      <c r="C237" s="120" t="s">
        <v>126</v>
      </c>
      <c r="D237" s="101">
        <v>27121</v>
      </c>
      <c r="E237" s="120" t="s">
        <v>128</v>
      </c>
      <c r="F237" s="101">
        <f t="shared" si="3"/>
        <v>8782677.4040221889</v>
      </c>
      <c r="G237" s="102"/>
    </row>
    <row r="238" spans="1:7" x14ac:dyDescent="0.3">
      <c r="A238" s="85" t="s">
        <v>37</v>
      </c>
      <c r="B238" s="99">
        <v>5000</v>
      </c>
      <c r="C238" s="120" t="s">
        <v>126</v>
      </c>
      <c r="D238" s="101">
        <v>2673</v>
      </c>
      <c r="E238" s="120" t="s">
        <v>129</v>
      </c>
      <c r="F238" s="101">
        <f t="shared" si="3"/>
        <v>1170987.7916273151</v>
      </c>
      <c r="G238" s="102"/>
    </row>
    <row r="239" spans="1:7" ht="15" thickBot="1" x14ac:dyDescent="0.35">
      <c r="A239" s="87" t="s">
        <v>37</v>
      </c>
      <c r="B239" s="111">
        <v>900</v>
      </c>
      <c r="C239" s="112" t="s">
        <v>126</v>
      </c>
      <c r="D239" s="113">
        <v>352</v>
      </c>
      <c r="E239" s="112" t="s">
        <v>130</v>
      </c>
      <c r="F239" s="113">
        <f t="shared" si="3"/>
        <v>261749.16539223044</v>
      </c>
      <c r="G239" s="144">
        <f>SUM(F235:F239)</f>
        <v>16155122.53508758</v>
      </c>
    </row>
    <row r="240" spans="1:7" x14ac:dyDescent="0.3">
      <c r="A240" s="84" t="s">
        <v>44</v>
      </c>
      <c r="B240" s="95">
        <v>98120</v>
      </c>
      <c r="C240" s="96"/>
      <c r="D240" s="97">
        <v>58000</v>
      </c>
      <c r="E240" s="96"/>
      <c r="F240" s="97">
        <f t="shared" si="3"/>
        <v>14251280.760157801</v>
      </c>
      <c r="G240" s="98"/>
    </row>
    <row r="241" spans="1:7" x14ac:dyDescent="0.3">
      <c r="A241" s="85" t="s">
        <v>44</v>
      </c>
      <c r="B241" s="99">
        <v>7500</v>
      </c>
      <c r="C241" s="100"/>
      <c r="D241" s="101">
        <v>3900</v>
      </c>
      <c r="E241" s="100"/>
      <c r="F241" s="101">
        <f t="shared" si="3"/>
        <v>1625676.8457622947</v>
      </c>
      <c r="G241" s="102"/>
    </row>
    <row r="242" spans="1:7" x14ac:dyDescent="0.3">
      <c r="A242" s="85" t="s">
        <v>44</v>
      </c>
      <c r="B242" s="99">
        <v>6800</v>
      </c>
      <c r="C242" s="100"/>
      <c r="D242" s="101">
        <v>4500</v>
      </c>
      <c r="E242" s="100"/>
      <c r="F242" s="101">
        <f t="shared" si="3"/>
        <v>1613847.9151220038</v>
      </c>
      <c r="G242" s="102"/>
    </row>
    <row r="243" spans="1:7" x14ac:dyDescent="0.3">
      <c r="A243" s="85" t="s">
        <v>44</v>
      </c>
      <c r="B243" s="99">
        <v>11500</v>
      </c>
      <c r="C243" s="100"/>
      <c r="D243" s="101">
        <v>6300</v>
      </c>
      <c r="E243" s="100"/>
      <c r="F243" s="101">
        <f t="shared" si="3"/>
        <v>2352179.5764286071</v>
      </c>
      <c r="G243" s="102"/>
    </row>
    <row r="244" spans="1:7" x14ac:dyDescent="0.3">
      <c r="A244" s="85" t="s">
        <v>44</v>
      </c>
      <c r="B244" s="99">
        <v>4500</v>
      </c>
      <c r="C244" s="100"/>
      <c r="D244" s="101">
        <v>3100</v>
      </c>
      <c r="E244" s="100"/>
      <c r="F244" s="101">
        <f t="shared" si="3"/>
        <v>1161750.9041987378</v>
      </c>
      <c r="G244" s="102"/>
    </row>
    <row r="245" spans="1:7" x14ac:dyDescent="0.3">
      <c r="A245" s="85" t="s">
        <v>44</v>
      </c>
      <c r="B245" s="99">
        <v>5145</v>
      </c>
      <c r="C245" s="100"/>
      <c r="D245" s="101">
        <v>3200</v>
      </c>
      <c r="E245" s="100"/>
      <c r="F245" s="101">
        <f t="shared" si="3"/>
        <v>1255336.9627242561</v>
      </c>
      <c r="G245" s="102"/>
    </row>
    <row r="246" spans="1:7" x14ac:dyDescent="0.3">
      <c r="A246" s="85" t="s">
        <v>44</v>
      </c>
      <c r="B246" s="99">
        <v>630</v>
      </c>
      <c r="C246" s="100"/>
      <c r="D246" s="101">
        <v>480</v>
      </c>
      <c r="E246" s="100"/>
      <c r="F246" s="101">
        <f t="shared" si="3"/>
        <v>237068.75030929458</v>
      </c>
      <c r="G246" s="102"/>
    </row>
    <row r="247" spans="1:7" x14ac:dyDescent="0.3">
      <c r="A247" s="85" t="s">
        <v>44</v>
      </c>
      <c r="B247" s="99">
        <v>700</v>
      </c>
      <c r="C247" s="100"/>
      <c r="D247" s="101">
        <v>430</v>
      </c>
      <c r="E247" s="100"/>
      <c r="F247" s="101">
        <f t="shared" si="3"/>
        <v>240575.93455727</v>
      </c>
      <c r="G247" s="102"/>
    </row>
    <row r="248" spans="1:7" x14ac:dyDescent="0.3">
      <c r="A248" s="85" t="s">
        <v>44</v>
      </c>
      <c r="B248" s="99">
        <v>100</v>
      </c>
      <c r="C248" s="100"/>
      <c r="D248" s="101">
        <v>80</v>
      </c>
      <c r="E248" s="100"/>
      <c r="F248" s="101">
        <f t="shared" si="3"/>
        <v>54086.06560537764</v>
      </c>
      <c r="G248" s="102"/>
    </row>
    <row r="249" spans="1:7" x14ac:dyDescent="0.3">
      <c r="A249" s="85" t="s">
        <v>44</v>
      </c>
      <c r="B249" s="99">
        <v>165</v>
      </c>
      <c r="C249" s="100"/>
      <c r="D249" s="101">
        <v>150</v>
      </c>
      <c r="E249" s="100"/>
      <c r="F249" s="101">
        <f t="shared" si="3"/>
        <v>84763.457159135389</v>
      </c>
      <c r="G249" s="102"/>
    </row>
    <row r="250" spans="1:7" x14ac:dyDescent="0.3">
      <c r="A250" s="85" t="s">
        <v>44</v>
      </c>
      <c r="B250" s="99">
        <v>75</v>
      </c>
      <c r="C250" s="100"/>
      <c r="D250" s="101">
        <v>62</v>
      </c>
      <c r="E250" s="100"/>
      <c r="F250" s="101">
        <f t="shared" si="3"/>
        <v>43565.853502777543</v>
      </c>
      <c r="G250" s="102"/>
    </row>
    <row r="251" spans="1:7" x14ac:dyDescent="0.3">
      <c r="A251" s="85" t="s">
        <v>44</v>
      </c>
      <c r="B251" s="99">
        <v>15</v>
      </c>
      <c r="C251" s="100"/>
      <c r="D251" s="101">
        <v>13</v>
      </c>
      <c r="E251" s="100"/>
      <c r="F251" s="101">
        <f t="shared" si="3"/>
        <v>13270.352969157995</v>
      </c>
      <c r="G251" s="102"/>
    </row>
    <row r="252" spans="1:7" x14ac:dyDescent="0.3">
      <c r="A252" s="85" t="s">
        <v>44</v>
      </c>
      <c r="B252" s="99">
        <v>25</v>
      </c>
      <c r="C252" s="100"/>
      <c r="D252" s="101">
        <v>20</v>
      </c>
      <c r="E252" s="100"/>
      <c r="F252" s="101">
        <f t="shared" si="3"/>
        <v>18615.36461453779</v>
      </c>
      <c r="G252" s="102"/>
    </row>
    <row r="253" spans="1:7" ht="15" thickBot="1" x14ac:dyDescent="0.35">
      <c r="A253" s="87" t="s">
        <v>44</v>
      </c>
      <c r="B253" s="111">
        <v>40</v>
      </c>
      <c r="C253" s="130"/>
      <c r="D253" s="113">
        <v>20</v>
      </c>
      <c r="E253" s="130"/>
      <c r="F253" s="113">
        <f t="shared" si="3"/>
        <v>23043.842464772988</v>
      </c>
      <c r="G253" s="144">
        <f>SUM(F240:F253)</f>
        <v>22975062.585576028</v>
      </c>
    </row>
    <row r="254" spans="1:7" x14ac:dyDescent="0.3">
      <c r="A254" s="84" t="s">
        <v>38</v>
      </c>
      <c r="B254" s="95">
        <v>25000</v>
      </c>
      <c r="C254" s="96"/>
      <c r="D254" s="97">
        <v>21606</v>
      </c>
      <c r="E254" s="96"/>
      <c r="F254" s="97">
        <f t="shared" ref="F254:F317" si="4">(1239*((B254+D254)/2)^0.83)+2195</f>
        <v>5226435.1141087227</v>
      </c>
      <c r="G254" s="98"/>
    </row>
    <row r="255" spans="1:7" x14ac:dyDescent="0.3">
      <c r="A255" s="85" t="s">
        <v>38</v>
      </c>
      <c r="B255" s="99">
        <v>3000</v>
      </c>
      <c r="C255" s="100"/>
      <c r="D255" s="101">
        <v>1962</v>
      </c>
      <c r="E255" s="100"/>
      <c r="F255" s="101">
        <f t="shared" si="4"/>
        <v>816170.85150865605</v>
      </c>
      <c r="G255" s="102"/>
    </row>
    <row r="256" spans="1:7" x14ac:dyDescent="0.3">
      <c r="A256" s="85" t="s">
        <v>38</v>
      </c>
      <c r="B256" s="99">
        <v>800</v>
      </c>
      <c r="C256" s="100"/>
      <c r="D256" s="101">
        <v>249</v>
      </c>
      <c r="E256" s="100"/>
      <c r="F256" s="101">
        <f t="shared" si="4"/>
        <v>226304.39602518867</v>
      </c>
      <c r="G256" s="102"/>
    </row>
    <row r="257" spans="1:7" x14ac:dyDescent="0.3">
      <c r="A257" s="85" t="s">
        <v>38</v>
      </c>
      <c r="B257" s="99">
        <v>590</v>
      </c>
      <c r="C257" s="100"/>
      <c r="D257" s="101">
        <v>515</v>
      </c>
      <c r="E257" s="100"/>
      <c r="F257" s="101">
        <f t="shared" si="4"/>
        <v>236190.28190663905</v>
      </c>
      <c r="G257" s="102"/>
    </row>
    <row r="258" spans="1:7" x14ac:dyDescent="0.3">
      <c r="A258" s="85" t="s">
        <v>38</v>
      </c>
      <c r="B258" s="99">
        <v>50</v>
      </c>
      <c r="C258" s="100"/>
      <c r="D258" s="101">
        <v>45</v>
      </c>
      <c r="E258" s="100"/>
      <c r="F258" s="101">
        <f t="shared" si="4"/>
        <v>32725.013923634433</v>
      </c>
      <c r="G258" s="102"/>
    </row>
    <row r="259" spans="1:7" x14ac:dyDescent="0.3">
      <c r="A259" s="85" t="s">
        <v>38</v>
      </c>
      <c r="B259" s="99">
        <v>195</v>
      </c>
      <c r="C259" s="100"/>
      <c r="D259" s="101">
        <v>195</v>
      </c>
      <c r="E259" s="100"/>
      <c r="F259" s="101">
        <f t="shared" si="4"/>
        <v>100777.54684499869</v>
      </c>
      <c r="G259" s="102"/>
    </row>
    <row r="260" spans="1:7" x14ac:dyDescent="0.3">
      <c r="A260" s="85" t="s">
        <v>38</v>
      </c>
      <c r="B260" s="99">
        <v>30</v>
      </c>
      <c r="C260" s="100"/>
      <c r="D260" s="101">
        <v>30</v>
      </c>
      <c r="E260" s="100"/>
      <c r="F260" s="101">
        <f t="shared" si="4"/>
        <v>23043.842464772988</v>
      </c>
      <c r="G260" s="102"/>
    </row>
    <row r="261" spans="1:7" x14ac:dyDescent="0.3">
      <c r="A261" s="85" t="s">
        <v>38</v>
      </c>
      <c r="B261" s="99">
        <v>117</v>
      </c>
      <c r="C261" s="100"/>
      <c r="D261" s="101">
        <v>117</v>
      </c>
      <c r="E261" s="100"/>
      <c r="F261" s="101">
        <f t="shared" si="4"/>
        <v>66710.723451094644</v>
      </c>
      <c r="G261" s="102"/>
    </row>
    <row r="262" spans="1:7" x14ac:dyDescent="0.3">
      <c r="A262" s="85" t="s">
        <v>38</v>
      </c>
      <c r="B262" s="99">
        <v>60</v>
      </c>
      <c r="C262" s="120" t="s">
        <v>131</v>
      </c>
      <c r="D262" s="101">
        <v>32.4</v>
      </c>
      <c r="E262" s="120" t="s">
        <v>132</v>
      </c>
      <c r="F262" s="101">
        <f t="shared" si="4"/>
        <v>32029.869743232561</v>
      </c>
      <c r="G262" s="102"/>
    </row>
    <row r="263" spans="1:7" ht="15" thickBot="1" x14ac:dyDescent="0.35">
      <c r="A263" s="87" t="s">
        <v>38</v>
      </c>
      <c r="B263" s="111">
        <v>55</v>
      </c>
      <c r="C263" s="112" t="s">
        <v>133</v>
      </c>
      <c r="D263" s="113">
        <v>29.7</v>
      </c>
      <c r="E263" s="112" t="s">
        <v>132</v>
      </c>
      <c r="F263" s="113">
        <f t="shared" si="4"/>
        <v>29951.17650432634</v>
      </c>
      <c r="G263" s="144">
        <f>SUM(F254:F263)</f>
        <v>6790338.8164812662</v>
      </c>
    </row>
    <row r="264" spans="1:7" x14ac:dyDescent="0.3">
      <c r="A264" s="84" t="s">
        <v>46</v>
      </c>
      <c r="B264" s="95">
        <v>15000</v>
      </c>
      <c r="C264" s="96"/>
      <c r="D264" s="97">
        <v>11308</v>
      </c>
      <c r="E264" s="96"/>
      <c r="F264" s="97">
        <f t="shared" si="4"/>
        <v>3252239.5305963852</v>
      </c>
      <c r="G264" s="98"/>
    </row>
    <row r="265" spans="1:7" x14ac:dyDescent="0.3">
      <c r="A265" s="85" t="s">
        <v>46</v>
      </c>
      <c r="B265" s="99">
        <v>9900</v>
      </c>
      <c r="C265" s="100"/>
      <c r="D265" s="101">
        <v>7904</v>
      </c>
      <c r="E265" s="100"/>
      <c r="F265" s="101">
        <f t="shared" si="4"/>
        <v>2352617.8797870786</v>
      </c>
      <c r="G265" s="102"/>
    </row>
    <row r="266" spans="1:7" x14ac:dyDescent="0.3">
      <c r="A266" s="85" t="s">
        <v>46</v>
      </c>
      <c r="B266" s="99">
        <v>11700</v>
      </c>
      <c r="C266" s="100"/>
      <c r="D266" s="101">
        <v>7687</v>
      </c>
      <c r="E266" s="100"/>
      <c r="F266" s="101">
        <f t="shared" si="4"/>
        <v>2524805.6013009939</v>
      </c>
      <c r="G266" s="102"/>
    </row>
    <row r="267" spans="1:7" ht="15" thickBot="1" x14ac:dyDescent="0.35">
      <c r="A267" s="87" t="s">
        <v>46</v>
      </c>
      <c r="B267" s="111">
        <v>3500</v>
      </c>
      <c r="C267" s="130"/>
      <c r="D267" s="113">
        <v>3359</v>
      </c>
      <c r="E267" s="130"/>
      <c r="F267" s="113">
        <f t="shared" si="4"/>
        <v>1067104.9290517967</v>
      </c>
      <c r="G267" s="144">
        <f>SUM(F264:F267)</f>
        <v>9196767.9407362547</v>
      </c>
    </row>
    <row r="268" spans="1:7" x14ac:dyDescent="0.3">
      <c r="A268" s="84" t="s">
        <v>39</v>
      </c>
      <c r="B268" s="95">
        <v>225</v>
      </c>
      <c r="C268" s="96"/>
      <c r="D268" s="97">
        <v>29</v>
      </c>
      <c r="E268" s="96"/>
      <c r="F268" s="97">
        <f t="shared" si="4"/>
        <v>71255.289530913156</v>
      </c>
      <c r="G268" s="98"/>
    </row>
    <row r="269" spans="1:7" x14ac:dyDescent="0.3">
      <c r="A269" s="85" t="s">
        <v>39</v>
      </c>
      <c r="B269" s="99">
        <v>495</v>
      </c>
      <c r="C269" s="100"/>
      <c r="D269" s="101">
        <v>67</v>
      </c>
      <c r="E269" s="100"/>
      <c r="F269" s="101">
        <f t="shared" si="4"/>
        <v>135700.00639109034</v>
      </c>
      <c r="G269" s="102"/>
    </row>
    <row r="270" spans="1:7" x14ac:dyDescent="0.3">
      <c r="A270" s="85" t="s">
        <v>39</v>
      </c>
      <c r="B270" s="99">
        <v>310</v>
      </c>
      <c r="C270" s="100"/>
      <c r="D270" s="101">
        <v>41</v>
      </c>
      <c r="E270" s="100"/>
      <c r="F270" s="101">
        <f t="shared" si="4"/>
        <v>92522.775840569899</v>
      </c>
      <c r="G270" s="102"/>
    </row>
    <row r="271" spans="1:7" x14ac:dyDescent="0.3">
      <c r="A271" s="85" t="s">
        <v>39</v>
      </c>
      <c r="B271" s="99">
        <v>75</v>
      </c>
      <c r="C271" s="100"/>
      <c r="D271" s="101"/>
      <c r="E271" s="100"/>
      <c r="F271" s="101">
        <f t="shared" si="4"/>
        <v>27285.958873796299</v>
      </c>
      <c r="G271" s="102"/>
    </row>
    <row r="272" spans="1:7" x14ac:dyDescent="0.3">
      <c r="A272" s="85" t="s">
        <v>39</v>
      </c>
      <c r="B272" s="99">
        <v>100</v>
      </c>
      <c r="C272" s="100"/>
      <c r="D272" s="101"/>
      <c r="E272" s="100"/>
      <c r="F272" s="101">
        <f t="shared" si="4"/>
        <v>34052.846103291406</v>
      </c>
      <c r="G272" s="102"/>
    </row>
    <row r="273" spans="1:7" x14ac:dyDescent="0.3">
      <c r="A273" s="85" t="s">
        <v>39</v>
      </c>
      <c r="B273" s="99">
        <v>75</v>
      </c>
      <c r="C273" s="100"/>
      <c r="D273" s="101"/>
      <c r="E273" s="100"/>
      <c r="F273" s="101">
        <f t="shared" si="4"/>
        <v>27285.958873796299</v>
      </c>
      <c r="G273" s="102"/>
    </row>
    <row r="274" spans="1:7" x14ac:dyDescent="0.3">
      <c r="A274" s="85" t="s">
        <v>39</v>
      </c>
      <c r="B274" s="99">
        <v>25</v>
      </c>
      <c r="C274" s="100"/>
      <c r="D274" s="101"/>
      <c r="E274" s="100"/>
      <c r="F274" s="101">
        <f t="shared" si="4"/>
        <v>12276.069693732874</v>
      </c>
      <c r="G274" s="102"/>
    </row>
    <row r="275" spans="1:7" x14ac:dyDescent="0.3">
      <c r="A275" s="85" t="s">
        <v>39</v>
      </c>
      <c r="B275" s="99">
        <v>200</v>
      </c>
      <c r="C275" s="100"/>
      <c r="D275" s="101"/>
      <c r="E275" s="100"/>
      <c r="F275" s="101">
        <f t="shared" si="4"/>
        <v>58828.226693283024</v>
      </c>
      <c r="G275" s="102"/>
    </row>
    <row r="276" spans="1:7" x14ac:dyDescent="0.3">
      <c r="A276" s="85" t="s">
        <v>39</v>
      </c>
      <c r="B276" s="99">
        <v>735</v>
      </c>
      <c r="C276" s="100"/>
      <c r="D276" s="101">
        <v>100</v>
      </c>
      <c r="E276" s="100"/>
      <c r="F276" s="101">
        <f t="shared" si="4"/>
        <v>187640.45105498406</v>
      </c>
      <c r="G276" s="102"/>
    </row>
    <row r="277" spans="1:7" x14ac:dyDescent="0.3">
      <c r="A277" s="85" t="s">
        <v>39</v>
      </c>
      <c r="B277" s="99">
        <v>260</v>
      </c>
      <c r="C277" s="100"/>
      <c r="D277" s="101">
        <v>16</v>
      </c>
      <c r="E277" s="100"/>
      <c r="F277" s="101">
        <f t="shared" si="4"/>
        <v>76184.645765585956</v>
      </c>
      <c r="G277" s="102"/>
    </row>
    <row r="278" spans="1:7" x14ac:dyDescent="0.3">
      <c r="A278" s="85" t="s">
        <v>39</v>
      </c>
      <c r="B278" s="99">
        <v>735</v>
      </c>
      <c r="C278" s="100"/>
      <c r="D278" s="101">
        <v>48</v>
      </c>
      <c r="E278" s="100"/>
      <c r="F278" s="101">
        <f t="shared" si="4"/>
        <v>178003.01581952244</v>
      </c>
      <c r="G278" s="102"/>
    </row>
    <row r="279" spans="1:7" x14ac:dyDescent="0.3">
      <c r="A279" s="85" t="s">
        <v>39</v>
      </c>
      <c r="B279" s="99">
        <v>1840</v>
      </c>
      <c r="C279" s="100"/>
      <c r="D279" s="101">
        <v>179</v>
      </c>
      <c r="E279" s="100"/>
      <c r="F279" s="101">
        <f t="shared" si="4"/>
        <v>388099.24393478868</v>
      </c>
      <c r="G279" s="102"/>
    </row>
    <row r="280" spans="1:7" ht="15" thickBot="1" x14ac:dyDescent="0.35">
      <c r="A280" s="87" t="s">
        <v>39</v>
      </c>
      <c r="B280" s="111">
        <v>6700</v>
      </c>
      <c r="C280" s="130"/>
      <c r="D280" s="113">
        <v>1970</v>
      </c>
      <c r="E280" s="130"/>
      <c r="F280" s="113">
        <f t="shared" si="4"/>
        <v>1295712.35768231</v>
      </c>
      <c r="G280" s="144">
        <f>SUM(F268:F280)</f>
        <v>2584846.8462576643</v>
      </c>
    </row>
    <row r="281" spans="1:7" x14ac:dyDescent="0.3">
      <c r="A281" s="84" t="s">
        <v>47</v>
      </c>
      <c r="B281" s="95">
        <v>140000</v>
      </c>
      <c r="C281" s="96"/>
      <c r="D281" s="97">
        <v>65274</v>
      </c>
      <c r="E281" s="96"/>
      <c r="F281" s="97">
        <f t="shared" si="4"/>
        <v>17885738.870837204</v>
      </c>
      <c r="G281" s="98"/>
    </row>
    <row r="282" spans="1:7" x14ac:dyDescent="0.3">
      <c r="A282" s="85" t="s">
        <v>47</v>
      </c>
      <c r="B282" s="99">
        <v>25000</v>
      </c>
      <c r="C282" s="100"/>
      <c r="D282" s="101">
        <v>9726</v>
      </c>
      <c r="E282" s="100"/>
      <c r="F282" s="101">
        <f t="shared" si="4"/>
        <v>4094423.3669020841</v>
      </c>
      <c r="G282" s="102"/>
    </row>
    <row r="283" spans="1:7" x14ac:dyDescent="0.3">
      <c r="A283" s="85" t="s">
        <v>47</v>
      </c>
      <c r="B283" s="99">
        <v>12500</v>
      </c>
      <c r="C283" s="100"/>
      <c r="D283" s="101">
        <v>14008</v>
      </c>
      <c r="E283" s="100"/>
      <c r="F283" s="101">
        <f t="shared" si="4"/>
        <v>3272733.6691283388</v>
      </c>
      <c r="G283" s="102"/>
    </row>
    <row r="284" spans="1:7" x14ac:dyDescent="0.3">
      <c r="A284" s="85" t="s">
        <v>47</v>
      </c>
      <c r="B284" s="99">
        <v>14500</v>
      </c>
      <c r="C284" s="100"/>
      <c r="D284" s="101">
        <v>5311</v>
      </c>
      <c r="E284" s="100"/>
      <c r="F284" s="101">
        <f t="shared" si="4"/>
        <v>2570512.5551209007</v>
      </c>
      <c r="G284" s="102"/>
    </row>
    <row r="285" spans="1:7" x14ac:dyDescent="0.3">
      <c r="A285" s="85" t="s">
        <v>47</v>
      </c>
      <c r="B285" s="99">
        <v>1500</v>
      </c>
      <c r="C285" s="100"/>
      <c r="D285" s="101">
        <v>1969</v>
      </c>
      <c r="E285" s="100"/>
      <c r="F285" s="101">
        <f t="shared" si="4"/>
        <v>606959.06681611831</v>
      </c>
      <c r="G285" s="102"/>
    </row>
    <row r="286" spans="1:7" x14ac:dyDescent="0.3">
      <c r="A286" s="85" t="s">
        <v>47</v>
      </c>
      <c r="B286" s="99">
        <v>850</v>
      </c>
      <c r="C286" s="100"/>
      <c r="D286" s="101">
        <v>889</v>
      </c>
      <c r="E286" s="100"/>
      <c r="F286" s="101">
        <f t="shared" si="4"/>
        <v>343124.87797357142</v>
      </c>
      <c r="G286" s="102"/>
    </row>
    <row r="287" spans="1:7" x14ac:dyDescent="0.3">
      <c r="A287" s="85" t="s">
        <v>47</v>
      </c>
      <c r="B287" s="99">
        <v>1400</v>
      </c>
      <c r="C287" s="100"/>
      <c r="D287" s="101">
        <v>419</v>
      </c>
      <c r="E287" s="100"/>
      <c r="F287" s="101">
        <f t="shared" si="4"/>
        <v>356092.54521686287</v>
      </c>
      <c r="G287" s="102"/>
    </row>
    <row r="288" spans="1:7" x14ac:dyDescent="0.3">
      <c r="A288" s="85" t="s">
        <v>47</v>
      </c>
      <c r="B288" s="99">
        <v>150</v>
      </c>
      <c r="C288" s="100"/>
      <c r="D288" s="101">
        <v>107</v>
      </c>
      <c r="E288" s="100"/>
      <c r="F288" s="101">
        <f t="shared" si="4"/>
        <v>71931.621318170874</v>
      </c>
      <c r="G288" s="102"/>
    </row>
    <row r="289" spans="1:7" x14ac:dyDescent="0.3">
      <c r="A289" s="85" t="s">
        <v>47</v>
      </c>
      <c r="B289" s="99">
        <v>200</v>
      </c>
      <c r="C289" s="100"/>
      <c r="D289" s="101">
        <v>186</v>
      </c>
      <c r="E289" s="100"/>
      <c r="F289" s="101">
        <f t="shared" si="4"/>
        <v>99937.596751332603</v>
      </c>
      <c r="G289" s="102"/>
    </row>
    <row r="290" spans="1:7" x14ac:dyDescent="0.3">
      <c r="A290" s="85" t="s">
        <v>47</v>
      </c>
      <c r="B290" s="99">
        <v>360</v>
      </c>
      <c r="C290" s="100"/>
      <c r="D290" s="101">
        <v>73</v>
      </c>
      <c r="E290" s="100"/>
      <c r="F290" s="101">
        <f t="shared" si="4"/>
        <v>109717.99772621234</v>
      </c>
      <c r="G290" s="102"/>
    </row>
    <row r="291" spans="1:7" x14ac:dyDescent="0.3">
      <c r="A291" s="85" t="s">
        <v>47</v>
      </c>
      <c r="B291" s="99">
        <v>80</v>
      </c>
      <c r="C291" s="100"/>
      <c r="D291" s="101">
        <v>49</v>
      </c>
      <c r="E291" s="100"/>
      <c r="F291" s="101">
        <f t="shared" si="4"/>
        <v>41550.539435126782</v>
      </c>
      <c r="G291" s="102"/>
    </row>
    <row r="292" spans="1:7" x14ac:dyDescent="0.3">
      <c r="A292" s="85" t="s">
        <v>47</v>
      </c>
      <c r="B292" s="99">
        <v>100</v>
      </c>
      <c r="C292" s="100"/>
      <c r="D292" s="101">
        <v>33</v>
      </c>
      <c r="E292" s="100"/>
      <c r="F292" s="101">
        <f t="shared" si="4"/>
        <v>42560.77285019285</v>
      </c>
      <c r="G292" s="102"/>
    </row>
    <row r="293" spans="1:7" x14ac:dyDescent="0.3">
      <c r="A293" s="85" t="s">
        <v>47</v>
      </c>
      <c r="B293" s="99">
        <v>70</v>
      </c>
      <c r="C293" s="100"/>
      <c r="D293" s="101">
        <v>10</v>
      </c>
      <c r="E293" s="100"/>
      <c r="F293" s="101">
        <f t="shared" si="4"/>
        <v>28666.655308803664</v>
      </c>
      <c r="G293" s="102"/>
    </row>
    <row r="294" spans="1:7" x14ac:dyDescent="0.3">
      <c r="A294" s="85" t="s">
        <v>47</v>
      </c>
      <c r="B294" s="99">
        <v>1000</v>
      </c>
      <c r="C294" s="100"/>
      <c r="D294" s="101">
        <v>403</v>
      </c>
      <c r="E294" s="100"/>
      <c r="F294" s="101">
        <f t="shared" si="4"/>
        <v>287476.93852768076</v>
      </c>
      <c r="G294" s="102"/>
    </row>
    <row r="295" spans="1:7" x14ac:dyDescent="0.3">
      <c r="A295" s="85" t="s">
        <v>47</v>
      </c>
      <c r="B295" s="99">
        <v>1200</v>
      </c>
      <c r="C295" s="100"/>
      <c r="D295" s="101">
        <v>567</v>
      </c>
      <c r="E295" s="100"/>
      <c r="F295" s="101">
        <f t="shared" si="4"/>
        <v>347674.868854267</v>
      </c>
      <c r="G295" s="102"/>
    </row>
    <row r="296" spans="1:7" x14ac:dyDescent="0.3">
      <c r="A296" s="85" t="s">
        <v>47</v>
      </c>
      <c r="B296" s="99">
        <v>95</v>
      </c>
      <c r="C296" s="100"/>
      <c r="D296" s="101">
        <v>95</v>
      </c>
      <c r="E296" s="100"/>
      <c r="F296" s="101">
        <f t="shared" si="4"/>
        <v>56467.758863871895</v>
      </c>
      <c r="G296" s="102"/>
    </row>
    <row r="297" spans="1:7" ht="15" thickBot="1" x14ac:dyDescent="0.35">
      <c r="A297" s="87" t="s">
        <v>47</v>
      </c>
      <c r="B297" s="111">
        <v>300</v>
      </c>
      <c r="C297" s="130"/>
      <c r="D297" s="113">
        <v>96</v>
      </c>
      <c r="E297" s="130"/>
      <c r="F297" s="113">
        <f t="shared" si="4"/>
        <v>102034.73377722973</v>
      </c>
      <c r="G297" s="144">
        <f>SUM(F281:F297)</f>
        <v>30317604.435407966</v>
      </c>
    </row>
    <row r="298" spans="1:7" x14ac:dyDescent="0.3">
      <c r="A298" s="84" t="s">
        <v>48</v>
      </c>
      <c r="B298" s="95">
        <v>47000</v>
      </c>
      <c r="C298" s="135" t="s">
        <v>135</v>
      </c>
      <c r="D298" s="97">
        <v>55088</v>
      </c>
      <c r="E298" s="135" t="s">
        <v>135</v>
      </c>
      <c r="F298" s="97">
        <f t="shared" si="4"/>
        <v>10017528.314519089</v>
      </c>
      <c r="G298" s="98"/>
    </row>
    <row r="299" spans="1:7" x14ac:dyDescent="0.3">
      <c r="A299" s="85" t="s">
        <v>48</v>
      </c>
      <c r="B299" s="99">
        <v>18000</v>
      </c>
      <c r="C299" s="128" t="s">
        <v>135</v>
      </c>
      <c r="D299" s="101">
        <v>9906</v>
      </c>
      <c r="E299" s="128" t="s">
        <v>135</v>
      </c>
      <c r="F299" s="101">
        <f t="shared" si="4"/>
        <v>3415266.6825952576</v>
      </c>
      <c r="G299" s="102"/>
    </row>
    <row r="300" spans="1:7" x14ac:dyDescent="0.3">
      <c r="A300" s="85" t="s">
        <v>48</v>
      </c>
      <c r="B300" s="99">
        <v>13300</v>
      </c>
      <c r="C300" s="128" t="s">
        <v>135</v>
      </c>
      <c r="D300" s="101">
        <v>3936</v>
      </c>
      <c r="E300" s="128" t="s">
        <v>135</v>
      </c>
      <c r="F300" s="101">
        <f t="shared" si="4"/>
        <v>2290209.0809289296</v>
      </c>
      <c r="G300" s="102"/>
    </row>
    <row r="301" spans="1:7" x14ac:dyDescent="0.3">
      <c r="A301" s="85" t="s">
        <v>48</v>
      </c>
      <c r="B301" s="99">
        <v>10000</v>
      </c>
      <c r="C301" s="128" t="s">
        <v>135</v>
      </c>
      <c r="D301" s="101">
        <v>6350</v>
      </c>
      <c r="E301" s="128" t="s">
        <v>136</v>
      </c>
      <c r="F301" s="101">
        <f t="shared" si="4"/>
        <v>2192154.8277131636</v>
      </c>
      <c r="G301" s="102"/>
    </row>
    <row r="302" spans="1:7" x14ac:dyDescent="0.3">
      <c r="A302" s="85" t="s">
        <v>48</v>
      </c>
      <c r="B302" s="99">
        <v>8100</v>
      </c>
      <c r="C302" s="128" t="s">
        <v>135</v>
      </c>
      <c r="D302" s="101">
        <v>6990</v>
      </c>
      <c r="E302" s="128" t="s">
        <v>135</v>
      </c>
      <c r="F302" s="101">
        <f t="shared" si="4"/>
        <v>2051131.4051611426</v>
      </c>
      <c r="G302" s="102"/>
    </row>
    <row r="303" spans="1:7" x14ac:dyDescent="0.3">
      <c r="A303" s="85" t="s">
        <v>48</v>
      </c>
      <c r="B303" s="99">
        <v>2750</v>
      </c>
      <c r="C303" s="128" t="s">
        <v>137</v>
      </c>
      <c r="D303" s="101">
        <v>1376</v>
      </c>
      <c r="E303" s="128" t="s">
        <v>135</v>
      </c>
      <c r="F303" s="101">
        <f t="shared" si="4"/>
        <v>700597.30749698507</v>
      </c>
      <c r="G303" s="102"/>
    </row>
    <row r="304" spans="1:7" x14ac:dyDescent="0.3">
      <c r="A304" s="85" t="s">
        <v>48</v>
      </c>
      <c r="B304" s="99">
        <v>2500</v>
      </c>
      <c r="C304" s="128" t="s">
        <v>135</v>
      </c>
      <c r="D304" s="101">
        <v>1300</v>
      </c>
      <c r="E304" s="128" t="s">
        <v>138</v>
      </c>
      <c r="F304" s="101">
        <f t="shared" si="4"/>
        <v>654479.10424489703</v>
      </c>
      <c r="G304" s="102"/>
    </row>
    <row r="305" spans="1:7" x14ac:dyDescent="0.3">
      <c r="A305" s="85" t="s">
        <v>48</v>
      </c>
      <c r="B305" s="99">
        <v>548</v>
      </c>
      <c r="C305" s="128" t="s">
        <v>135</v>
      </c>
      <c r="D305" s="101">
        <v>154</v>
      </c>
      <c r="E305" s="120" t="s">
        <v>139</v>
      </c>
      <c r="F305" s="101">
        <f t="shared" si="4"/>
        <v>162769.36492389007</v>
      </c>
      <c r="G305" s="102"/>
    </row>
    <row r="306" spans="1:7" ht="15" thickBot="1" x14ac:dyDescent="0.35">
      <c r="A306" s="87" t="s">
        <v>48</v>
      </c>
      <c r="B306" s="111">
        <v>15</v>
      </c>
      <c r="C306" s="129" t="s">
        <v>140</v>
      </c>
      <c r="D306" s="113">
        <v>15</v>
      </c>
      <c r="E306" s="129" t="s">
        <v>140</v>
      </c>
      <c r="F306" s="113">
        <f t="shared" si="4"/>
        <v>13923.083555466595</v>
      </c>
      <c r="G306" s="144">
        <f>SUM(F298:F306)</f>
        <v>21498059.171138816</v>
      </c>
    </row>
    <row r="307" spans="1:7" x14ac:dyDescent="0.3">
      <c r="A307" s="84" t="s">
        <v>49</v>
      </c>
      <c r="B307" s="95">
        <v>123000</v>
      </c>
      <c r="C307" s="118" t="s">
        <v>141</v>
      </c>
      <c r="D307" s="97">
        <v>32263</v>
      </c>
      <c r="E307" s="96"/>
      <c r="F307" s="97">
        <f t="shared" si="4"/>
        <v>14186329.07849809</v>
      </c>
      <c r="G307" s="98"/>
    </row>
    <row r="308" spans="1:7" x14ac:dyDescent="0.3">
      <c r="A308" s="85" t="s">
        <v>49</v>
      </c>
      <c r="B308" s="99">
        <v>17800</v>
      </c>
      <c r="C308" s="100"/>
      <c r="D308" s="101">
        <v>8632</v>
      </c>
      <c r="E308" s="100"/>
      <c r="F308" s="101">
        <f t="shared" si="4"/>
        <v>3264949.003660331</v>
      </c>
      <c r="G308" s="102"/>
    </row>
    <row r="309" spans="1:7" x14ac:dyDescent="0.3">
      <c r="A309" s="85" t="s">
        <v>49</v>
      </c>
      <c r="B309" s="99">
        <v>6000</v>
      </c>
      <c r="C309" s="100"/>
      <c r="D309" s="101">
        <v>4952</v>
      </c>
      <c r="E309" s="100"/>
      <c r="F309" s="101">
        <f t="shared" si="4"/>
        <v>1572543.2002738609</v>
      </c>
      <c r="G309" s="102"/>
    </row>
    <row r="310" spans="1:7" x14ac:dyDescent="0.3">
      <c r="A310" s="85" t="s">
        <v>49</v>
      </c>
      <c r="B310" s="99">
        <v>5200</v>
      </c>
      <c r="C310" s="100"/>
      <c r="D310" s="101">
        <v>3455</v>
      </c>
      <c r="E310" s="100"/>
      <c r="F310" s="101">
        <f t="shared" si="4"/>
        <v>1293854.611317751</v>
      </c>
      <c r="G310" s="102"/>
    </row>
    <row r="311" spans="1:7" x14ac:dyDescent="0.3">
      <c r="A311" s="85" t="s">
        <v>49</v>
      </c>
      <c r="B311" s="99">
        <v>2000</v>
      </c>
      <c r="C311" s="100"/>
      <c r="D311" s="101">
        <v>950</v>
      </c>
      <c r="E311" s="100"/>
      <c r="F311" s="101">
        <f t="shared" si="4"/>
        <v>530845.54374367243</v>
      </c>
      <c r="G311" s="102"/>
    </row>
    <row r="312" spans="1:7" x14ac:dyDescent="0.3">
      <c r="A312" s="85" t="s">
        <v>49</v>
      </c>
      <c r="B312" s="99">
        <v>1500</v>
      </c>
      <c r="C312" s="100"/>
      <c r="D312" s="101">
        <v>996</v>
      </c>
      <c r="E312" s="100"/>
      <c r="F312" s="101">
        <f t="shared" si="4"/>
        <v>462376.77214140561</v>
      </c>
      <c r="G312" s="102"/>
    </row>
    <row r="313" spans="1:7" x14ac:dyDescent="0.3">
      <c r="A313" s="85" t="s">
        <v>49</v>
      </c>
      <c r="B313" s="99">
        <v>1500</v>
      </c>
      <c r="C313" s="100"/>
      <c r="D313" s="101">
        <v>238</v>
      </c>
      <c r="E313" s="100"/>
      <c r="F313" s="101">
        <f t="shared" si="4"/>
        <v>342962.14902986551</v>
      </c>
      <c r="G313" s="102"/>
    </row>
    <row r="314" spans="1:7" x14ac:dyDescent="0.3">
      <c r="A314" s="85" t="s">
        <v>49</v>
      </c>
      <c r="B314" s="99">
        <v>900</v>
      </c>
      <c r="C314" s="100"/>
      <c r="D314" s="101">
        <v>339</v>
      </c>
      <c r="E314" s="100"/>
      <c r="F314" s="101">
        <f t="shared" si="4"/>
        <v>259510.29057030476</v>
      </c>
      <c r="G314" s="102"/>
    </row>
    <row r="315" spans="1:7" ht="15" thickBot="1" x14ac:dyDescent="0.35">
      <c r="A315" s="86" t="s">
        <v>49</v>
      </c>
      <c r="B315" s="103">
        <v>50</v>
      </c>
      <c r="C315" s="104"/>
      <c r="D315" s="105">
        <v>23</v>
      </c>
      <c r="E315" s="104"/>
      <c r="F315" s="105">
        <f t="shared" si="4"/>
        <v>26729.340247841323</v>
      </c>
      <c r="G315" s="142">
        <f>SUM(F307:F315)</f>
        <v>21940099.989483118</v>
      </c>
    </row>
    <row r="316" spans="1:7" ht="15" thickBot="1" x14ac:dyDescent="0.35">
      <c r="A316" s="90" t="s">
        <v>50</v>
      </c>
      <c r="B316" s="132">
        <v>24500</v>
      </c>
      <c r="C316" s="133"/>
      <c r="D316" s="134">
        <v>20448</v>
      </c>
      <c r="E316" s="136" t="s">
        <v>142</v>
      </c>
      <c r="F316" s="134">
        <f t="shared" si="4"/>
        <v>5071705.4064911082</v>
      </c>
      <c r="G316" s="147">
        <f>SUM(F316)</f>
        <v>5071705.4064911082</v>
      </c>
    </row>
    <row r="317" spans="1:7" ht="15" thickBot="1" x14ac:dyDescent="0.35">
      <c r="A317" s="88" t="s">
        <v>51</v>
      </c>
      <c r="B317" s="114">
        <v>400000</v>
      </c>
      <c r="C317" s="115"/>
      <c r="D317" s="116">
        <v>240000</v>
      </c>
      <c r="E317" s="117" t="s">
        <v>143</v>
      </c>
      <c r="F317" s="116">
        <f t="shared" si="4"/>
        <v>45958572.518038787</v>
      </c>
      <c r="G317" s="145">
        <f>SUM(F317)</f>
        <v>45958572.518038787</v>
      </c>
    </row>
    <row r="318" spans="1:7" x14ac:dyDescent="0.3">
      <c r="A318" s="84" t="s">
        <v>40</v>
      </c>
      <c r="B318" s="95">
        <v>1507</v>
      </c>
      <c r="C318" s="96"/>
      <c r="D318" s="97">
        <v>737</v>
      </c>
      <c r="E318" s="96"/>
      <c r="F318" s="97">
        <f t="shared" ref="F318:F381" si="5">(1239*((B318+D318)/2)^0.83)+2195</f>
        <v>423469.69963482005</v>
      </c>
      <c r="G318" s="98"/>
    </row>
    <row r="319" spans="1:7" x14ac:dyDescent="0.3">
      <c r="A319" s="85" t="s">
        <v>40</v>
      </c>
      <c r="B319" s="99">
        <v>1897</v>
      </c>
      <c r="C319" s="100"/>
      <c r="D319" s="101">
        <v>1581</v>
      </c>
      <c r="E319" s="100"/>
      <c r="F319" s="101">
        <f t="shared" si="5"/>
        <v>608261.05365564162</v>
      </c>
      <c r="G319" s="102"/>
    </row>
    <row r="320" spans="1:7" x14ac:dyDescent="0.3">
      <c r="A320" s="85" t="s">
        <v>40</v>
      </c>
      <c r="B320" s="99">
        <v>5591</v>
      </c>
      <c r="C320" s="100"/>
      <c r="D320" s="101">
        <v>6153</v>
      </c>
      <c r="E320" s="100"/>
      <c r="F320" s="101">
        <f t="shared" si="5"/>
        <v>1666234.8609487363</v>
      </c>
      <c r="G320" s="102"/>
    </row>
    <row r="321" spans="1:7" x14ac:dyDescent="0.3">
      <c r="A321" s="85" t="s">
        <v>40</v>
      </c>
      <c r="B321" s="99">
        <v>298</v>
      </c>
      <c r="C321" s="100"/>
      <c r="D321" s="101">
        <v>96</v>
      </c>
      <c r="E321" s="100"/>
      <c r="F321" s="101">
        <f t="shared" si="5"/>
        <v>101616.03365851115</v>
      </c>
      <c r="G321" s="102"/>
    </row>
    <row r="322" spans="1:7" x14ac:dyDescent="0.3">
      <c r="A322" s="85" t="s">
        <v>40</v>
      </c>
      <c r="B322" s="99">
        <v>70</v>
      </c>
      <c r="C322" s="100"/>
      <c r="D322" s="101">
        <v>70</v>
      </c>
      <c r="E322" s="128" t="s">
        <v>134</v>
      </c>
      <c r="F322" s="101">
        <f t="shared" si="5"/>
        <v>44316.388562693966</v>
      </c>
      <c r="G322" s="102"/>
    </row>
    <row r="323" spans="1:7" x14ac:dyDescent="0.3">
      <c r="A323" s="85" t="s">
        <v>40</v>
      </c>
      <c r="B323" s="99">
        <v>100</v>
      </c>
      <c r="C323" s="100"/>
      <c r="D323" s="101">
        <v>30</v>
      </c>
      <c r="E323" s="100"/>
      <c r="F323" s="101">
        <f t="shared" si="5"/>
        <v>41803.590900366464</v>
      </c>
      <c r="G323" s="102"/>
    </row>
    <row r="324" spans="1:7" x14ac:dyDescent="0.3">
      <c r="A324" s="85" t="s">
        <v>40</v>
      </c>
      <c r="B324" s="99">
        <v>55</v>
      </c>
      <c r="C324" s="100"/>
      <c r="D324" s="101">
        <v>11</v>
      </c>
      <c r="E324" s="100"/>
      <c r="F324" s="101">
        <f t="shared" si="5"/>
        <v>24760.13190150298</v>
      </c>
      <c r="G324" s="102"/>
    </row>
    <row r="325" spans="1:7" x14ac:dyDescent="0.3">
      <c r="A325" s="85" t="s">
        <v>40</v>
      </c>
      <c r="B325" s="99">
        <v>23753</v>
      </c>
      <c r="C325" s="100"/>
      <c r="D325" s="101">
        <v>23606</v>
      </c>
      <c r="E325" s="100"/>
      <c r="F325" s="101">
        <f t="shared" si="5"/>
        <v>5296396.9604515089</v>
      </c>
      <c r="G325" s="102"/>
    </row>
    <row r="326" spans="1:7" x14ac:dyDescent="0.3">
      <c r="A326" s="85" t="s">
        <v>40</v>
      </c>
      <c r="B326" s="99">
        <v>65</v>
      </c>
      <c r="C326" s="100"/>
      <c r="D326" s="101">
        <v>35</v>
      </c>
      <c r="E326" s="100"/>
      <c r="F326" s="101">
        <f t="shared" si="5"/>
        <v>34052.846103291406</v>
      </c>
      <c r="G326" s="102"/>
    </row>
    <row r="327" spans="1:7" x14ac:dyDescent="0.3">
      <c r="A327" s="85" t="s">
        <v>40</v>
      </c>
      <c r="B327" s="99">
        <v>3811</v>
      </c>
      <c r="C327" s="100"/>
      <c r="D327" s="101">
        <v>2891</v>
      </c>
      <c r="E327" s="100"/>
      <c r="F327" s="101">
        <f t="shared" si="5"/>
        <v>1046833.6294652362</v>
      </c>
      <c r="G327" s="102"/>
    </row>
    <row r="328" spans="1:7" x14ac:dyDescent="0.3">
      <c r="A328" s="85" t="s">
        <v>40</v>
      </c>
      <c r="B328" s="99">
        <v>190</v>
      </c>
      <c r="C328" s="100"/>
      <c r="D328" s="101">
        <v>165</v>
      </c>
      <c r="E328" s="100"/>
      <c r="F328" s="101">
        <f t="shared" si="5"/>
        <v>93376.334270550506</v>
      </c>
      <c r="G328" s="102"/>
    </row>
    <row r="329" spans="1:7" x14ac:dyDescent="0.3">
      <c r="A329" s="85" t="s">
        <v>40</v>
      </c>
      <c r="B329" s="99">
        <v>14523</v>
      </c>
      <c r="C329" s="100"/>
      <c r="D329" s="101">
        <v>8625</v>
      </c>
      <c r="E329" s="100"/>
      <c r="F329" s="101">
        <f t="shared" si="5"/>
        <v>2924749.3282363671</v>
      </c>
      <c r="G329" s="102"/>
    </row>
    <row r="330" spans="1:7" ht="15" thickBot="1" x14ac:dyDescent="0.35">
      <c r="A330" s="87" t="s">
        <v>40</v>
      </c>
      <c r="B330" s="111">
        <v>2971</v>
      </c>
      <c r="C330" s="130"/>
      <c r="D330" s="113">
        <v>1379</v>
      </c>
      <c r="E330" s="130"/>
      <c r="F330" s="113">
        <f t="shared" si="5"/>
        <v>731925.49115105148</v>
      </c>
      <c r="G330" s="144">
        <f>SUM(F318:F330)</f>
        <v>13037796.348940277</v>
      </c>
    </row>
    <row r="331" spans="1:7" x14ac:dyDescent="0.3">
      <c r="A331" s="84" t="s">
        <v>41</v>
      </c>
      <c r="B331" s="95">
        <v>40</v>
      </c>
      <c r="C331" s="96"/>
      <c r="D331" s="97">
        <v>40</v>
      </c>
      <c r="E331" s="96"/>
      <c r="F331" s="97">
        <f t="shared" si="5"/>
        <v>28666.655308803664</v>
      </c>
      <c r="G331" s="98"/>
    </row>
    <row r="332" spans="1:7" x14ac:dyDescent="0.3">
      <c r="A332" s="85" t="s">
        <v>41</v>
      </c>
      <c r="B332" s="99">
        <v>40</v>
      </c>
      <c r="C332" s="100"/>
      <c r="D332" s="101">
        <v>40</v>
      </c>
      <c r="E332" s="100"/>
      <c r="F332" s="101">
        <f t="shared" si="5"/>
        <v>28666.655308803664</v>
      </c>
      <c r="G332" s="102"/>
    </row>
    <row r="333" spans="1:7" x14ac:dyDescent="0.3">
      <c r="A333" s="85" t="s">
        <v>41</v>
      </c>
      <c r="B333" s="99">
        <v>40</v>
      </c>
      <c r="C333" s="100"/>
      <c r="D333" s="101">
        <v>40</v>
      </c>
      <c r="E333" s="100"/>
      <c r="F333" s="101">
        <f t="shared" si="5"/>
        <v>28666.655308803664</v>
      </c>
      <c r="G333" s="102"/>
    </row>
    <row r="334" spans="1:7" x14ac:dyDescent="0.3">
      <c r="A334" s="85" t="s">
        <v>41</v>
      </c>
      <c r="B334" s="99">
        <v>20</v>
      </c>
      <c r="C334" s="100"/>
      <c r="D334" s="101">
        <v>20</v>
      </c>
      <c r="E334" s="100"/>
      <c r="F334" s="101">
        <f t="shared" si="5"/>
        <v>17086.080204463564</v>
      </c>
      <c r="G334" s="102"/>
    </row>
    <row r="335" spans="1:7" x14ac:dyDescent="0.3">
      <c r="A335" s="85" t="s">
        <v>41</v>
      </c>
      <c r="B335" s="99">
        <v>450</v>
      </c>
      <c r="C335" s="100"/>
      <c r="D335" s="101">
        <v>450</v>
      </c>
      <c r="E335" s="100"/>
      <c r="F335" s="101">
        <f t="shared" si="5"/>
        <v>199545.25541696337</v>
      </c>
      <c r="G335" s="102"/>
    </row>
    <row r="336" spans="1:7" x14ac:dyDescent="0.3">
      <c r="A336" s="85" t="s">
        <v>41</v>
      </c>
      <c r="B336" s="99">
        <v>37000</v>
      </c>
      <c r="C336" s="128" t="s">
        <v>144</v>
      </c>
      <c r="D336" s="101">
        <v>23424</v>
      </c>
      <c r="E336" s="120" t="s">
        <v>145</v>
      </c>
      <c r="F336" s="101">
        <f t="shared" si="5"/>
        <v>6482870.4320579302</v>
      </c>
      <c r="G336" s="102"/>
    </row>
    <row r="337" spans="1:7" x14ac:dyDescent="0.3">
      <c r="A337" s="85" t="s">
        <v>41</v>
      </c>
      <c r="B337" s="99">
        <v>30000</v>
      </c>
      <c r="C337" s="128" t="s">
        <v>144</v>
      </c>
      <c r="D337" s="101">
        <v>8282</v>
      </c>
      <c r="E337" s="120" t="s">
        <v>146</v>
      </c>
      <c r="F337" s="101">
        <f t="shared" si="5"/>
        <v>4439322.8618612662</v>
      </c>
      <c r="G337" s="102"/>
    </row>
    <row r="338" spans="1:7" x14ac:dyDescent="0.3">
      <c r="A338" s="85" t="s">
        <v>41</v>
      </c>
      <c r="B338" s="99">
        <v>12500</v>
      </c>
      <c r="C338" s="128" t="s">
        <v>144</v>
      </c>
      <c r="D338" s="101">
        <v>12311</v>
      </c>
      <c r="E338" s="120" t="s">
        <v>147</v>
      </c>
      <c r="F338" s="101">
        <f t="shared" si="5"/>
        <v>3097982.5761766215</v>
      </c>
      <c r="G338" s="102"/>
    </row>
    <row r="339" spans="1:7" x14ac:dyDescent="0.3">
      <c r="A339" s="85" t="s">
        <v>41</v>
      </c>
      <c r="B339" s="99">
        <v>7000</v>
      </c>
      <c r="C339" s="128" t="s">
        <v>144</v>
      </c>
      <c r="D339" s="101">
        <v>5156</v>
      </c>
      <c r="E339" s="120" t="s">
        <v>148</v>
      </c>
      <c r="F339" s="101">
        <f t="shared" si="5"/>
        <v>1714545.5746194317</v>
      </c>
      <c r="G339" s="102"/>
    </row>
    <row r="340" spans="1:7" x14ac:dyDescent="0.3">
      <c r="A340" s="85" t="s">
        <v>41</v>
      </c>
      <c r="B340" s="99">
        <v>3200</v>
      </c>
      <c r="C340" s="128" t="s">
        <v>144</v>
      </c>
      <c r="D340" s="101">
        <v>1165</v>
      </c>
      <c r="E340" s="120" t="s">
        <v>149</v>
      </c>
      <c r="F340" s="101">
        <f t="shared" si="5"/>
        <v>734013.41880669631</v>
      </c>
      <c r="G340" s="102"/>
    </row>
    <row r="341" spans="1:7" x14ac:dyDescent="0.3">
      <c r="A341" s="85" t="s">
        <v>41</v>
      </c>
      <c r="B341" s="99">
        <v>7500</v>
      </c>
      <c r="C341" s="128" t="s">
        <v>144</v>
      </c>
      <c r="D341" s="101">
        <v>1937</v>
      </c>
      <c r="E341" s="120" t="s">
        <v>150</v>
      </c>
      <c r="F341" s="101">
        <f t="shared" si="5"/>
        <v>1390000.4628002702</v>
      </c>
      <c r="G341" s="102"/>
    </row>
    <row r="342" spans="1:7" x14ac:dyDescent="0.3">
      <c r="A342" s="85" t="s">
        <v>41</v>
      </c>
      <c r="B342" s="99">
        <v>1000</v>
      </c>
      <c r="C342" s="100"/>
      <c r="D342" s="101">
        <v>1000</v>
      </c>
      <c r="E342" s="100"/>
      <c r="F342" s="101">
        <f t="shared" si="5"/>
        <v>385082.60408843361</v>
      </c>
      <c r="G342" s="102"/>
    </row>
    <row r="343" spans="1:7" x14ac:dyDescent="0.3">
      <c r="A343" s="85" t="s">
        <v>41</v>
      </c>
      <c r="B343" s="99">
        <v>1000</v>
      </c>
      <c r="C343" s="100"/>
      <c r="D343" s="101">
        <v>1000</v>
      </c>
      <c r="E343" s="100"/>
      <c r="F343" s="101">
        <f t="shared" si="5"/>
        <v>385082.60408843361</v>
      </c>
      <c r="G343" s="102"/>
    </row>
    <row r="344" spans="1:7" x14ac:dyDescent="0.3">
      <c r="A344" s="85" t="s">
        <v>41</v>
      </c>
      <c r="B344" s="99">
        <v>410000</v>
      </c>
      <c r="C344" s="128" t="s">
        <v>144</v>
      </c>
      <c r="D344" s="101">
        <v>282748</v>
      </c>
      <c r="E344" s="120" t="s">
        <v>145</v>
      </c>
      <c r="F344" s="101">
        <f t="shared" si="5"/>
        <v>49080990.187612467</v>
      </c>
      <c r="G344" s="102"/>
    </row>
    <row r="345" spans="1:7" ht="15" thickBot="1" x14ac:dyDescent="0.35">
      <c r="A345" s="87" t="s">
        <v>41</v>
      </c>
      <c r="B345" s="111">
        <v>65000</v>
      </c>
      <c r="C345" s="129" t="s">
        <v>144</v>
      </c>
      <c r="D345" s="113">
        <v>48414</v>
      </c>
      <c r="E345" s="112" t="s">
        <v>145</v>
      </c>
      <c r="F345" s="113">
        <f t="shared" si="5"/>
        <v>10931429.497823311</v>
      </c>
      <c r="G345" s="144">
        <f>SUM(F331:F345)</f>
        <v>78943951.521482691</v>
      </c>
    </row>
    <row r="346" spans="1:7" x14ac:dyDescent="0.3">
      <c r="A346" s="84" t="s">
        <v>42</v>
      </c>
      <c r="B346" s="95">
        <v>32000</v>
      </c>
      <c r="C346" s="135" t="s">
        <v>151</v>
      </c>
      <c r="D346" s="97">
        <v>34920</v>
      </c>
      <c r="E346" s="118" t="s">
        <v>152</v>
      </c>
      <c r="F346" s="97">
        <f t="shared" si="5"/>
        <v>7056071.2084642882</v>
      </c>
      <c r="G346" s="109"/>
    </row>
    <row r="347" spans="1:7" x14ac:dyDescent="0.3">
      <c r="A347" s="85" t="s">
        <v>42</v>
      </c>
      <c r="B347" s="99">
        <v>23500</v>
      </c>
      <c r="C347" s="128" t="s">
        <v>151</v>
      </c>
      <c r="D347" s="101">
        <v>26753</v>
      </c>
      <c r="E347" s="120" t="s">
        <v>152</v>
      </c>
      <c r="F347" s="101">
        <f t="shared" si="5"/>
        <v>5563553.1503265863</v>
      </c>
      <c r="G347" s="110"/>
    </row>
    <row r="348" spans="1:7" x14ac:dyDescent="0.3">
      <c r="A348" s="85" t="s">
        <v>42</v>
      </c>
      <c r="B348" s="99">
        <v>11000</v>
      </c>
      <c r="C348" s="128" t="s">
        <v>151</v>
      </c>
      <c r="D348" s="101">
        <v>5313</v>
      </c>
      <c r="E348" s="120" t="s">
        <v>152</v>
      </c>
      <c r="F348" s="101">
        <f t="shared" si="5"/>
        <v>2188040.661700808</v>
      </c>
      <c r="G348" s="110"/>
    </row>
    <row r="349" spans="1:7" x14ac:dyDescent="0.3">
      <c r="A349" s="85" t="s">
        <v>42</v>
      </c>
      <c r="B349" s="99">
        <v>9100</v>
      </c>
      <c r="C349" s="128" t="s">
        <v>151</v>
      </c>
      <c r="D349" s="101">
        <v>2910</v>
      </c>
      <c r="E349" s="120" t="s">
        <v>152</v>
      </c>
      <c r="F349" s="101">
        <f t="shared" si="5"/>
        <v>1697458.0886176233</v>
      </c>
      <c r="G349" s="110"/>
    </row>
    <row r="350" spans="1:7" x14ac:dyDescent="0.3">
      <c r="A350" s="85" t="s">
        <v>42</v>
      </c>
      <c r="B350" s="99">
        <v>7000</v>
      </c>
      <c r="C350" s="128" t="s">
        <v>151</v>
      </c>
      <c r="D350" s="101">
        <v>4581</v>
      </c>
      <c r="E350" s="120" t="s">
        <v>152</v>
      </c>
      <c r="F350" s="101">
        <f t="shared" si="5"/>
        <v>1647042.5077149502</v>
      </c>
      <c r="G350" s="110"/>
    </row>
    <row r="351" spans="1:7" x14ac:dyDescent="0.3">
      <c r="A351" s="85" t="s">
        <v>42</v>
      </c>
      <c r="B351" s="99">
        <v>4000</v>
      </c>
      <c r="C351" s="128" t="s">
        <v>151</v>
      </c>
      <c r="D351" s="101">
        <v>1530</v>
      </c>
      <c r="E351" s="120" t="s">
        <v>152</v>
      </c>
      <c r="F351" s="101">
        <f t="shared" si="5"/>
        <v>892785.93226265605</v>
      </c>
      <c r="G351" s="110"/>
    </row>
    <row r="352" spans="1:7" x14ac:dyDescent="0.3">
      <c r="A352" s="85" t="s">
        <v>42</v>
      </c>
      <c r="B352" s="99">
        <v>3000</v>
      </c>
      <c r="C352" s="128" t="s">
        <v>151</v>
      </c>
      <c r="D352" s="101">
        <v>3349</v>
      </c>
      <c r="E352" s="120" t="s">
        <v>152</v>
      </c>
      <c r="F352" s="101">
        <f t="shared" si="5"/>
        <v>1000956.5885767044</v>
      </c>
      <c r="G352" s="110"/>
    </row>
    <row r="353" spans="1:7" x14ac:dyDescent="0.3">
      <c r="A353" s="85" t="s">
        <v>42</v>
      </c>
      <c r="B353" s="99">
        <v>3000</v>
      </c>
      <c r="C353" s="128" t="s">
        <v>151</v>
      </c>
      <c r="D353" s="101">
        <v>2788</v>
      </c>
      <c r="E353" s="120" t="s">
        <v>152</v>
      </c>
      <c r="F353" s="101">
        <f t="shared" si="5"/>
        <v>927138.24198711349</v>
      </c>
      <c r="G353" s="110"/>
    </row>
    <row r="354" spans="1:7" x14ac:dyDescent="0.3">
      <c r="A354" s="85" t="s">
        <v>42</v>
      </c>
      <c r="B354" s="99">
        <v>2400</v>
      </c>
      <c r="C354" s="128" t="s">
        <v>151</v>
      </c>
      <c r="D354" s="101">
        <v>417</v>
      </c>
      <c r="E354" s="120" t="s">
        <v>152</v>
      </c>
      <c r="F354" s="101">
        <f t="shared" si="5"/>
        <v>510986.08493219328</v>
      </c>
      <c r="G354" s="110"/>
    </row>
    <row r="355" spans="1:7" x14ac:dyDescent="0.3">
      <c r="A355" s="85" t="s">
        <v>42</v>
      </c>
      <c r="B355" s="99">
        <v>1000</v>
      </c>
      <c r="C355" s="128" t="s">
        <v>151</v>
      </c>
      <c r="D355" s="101">
        <v>182</v>
      </c>
      <c r="E355" s="120" t="s">
        <v>152</v>
      </c>
      <c r="F355" s="101">
        <f t="shared" si="5"/>
        <v>249645.83036841094</v>
      </c>
      <c r="G355" s="110"/>
    </row>
    <row r="356" spans="1:7" x14ac:dyDescent="0.3">
      <c r="A356" s="85" t="s">
        <v>42</v>
      </c>
      <c r="B356" s="99">
        <v>30</v>
      </c>
      <c r="C356" s="100"/>
      <c r="D356" s="101"/>
      <c r="E356" s="100"/>
      <c r="F356" s="101">
        <f t="shared" si="5"/>
        <v>13923.083555466595</v>
      </c>
      <c r="G356" s="110"/>
    </row>
    <row r="357" spans="1:7" x14ac:dyDescent="0.3">
      <c r="A357" s="85" t="s">
        <v>42</v>
      </c>
      <c r="B357" s="99"/>
      <c r="C357" s="128" t="s">
        <v>153</v>
      </c>
      <c r="D357" s="101"/>
      <c r="E357" s="100"/>
      <c r="F357" s="101">
        <f t="shared" si="5"/>
        <v>2195</v>
      </c>
      <c r="G357" s="110"/>
    </row>
    <row r="358" spans="1:7" ht="15" thickBot="1" x14ac:dyDescent="0.35">
      <c r="A358" s="87" t="s">
        <v>42</v>
      </c>
      <c r="B358" s="111">
        <v>1535</v>
      </c>
      <c r="C358" s="112" t="s">
        <v>154</v>
      </c>
      <c r="D358" s="113"/>
      <c r="E358" s="130"/>
      <c r="F358" s="113">
        <f t="shared" si="5"/>
        <v>309582.61494839739</v>
      </c>
      <c r="G358" s="146">
        <f>SUM(F346:F358)</f>
        <v>22059378.993455194</v>
      </c>
    </row>
    <row r="359" spans="1:7" x14ac:dyDescent="0.3">
      <c r="A359" s="84" t="s">
        <v>52</v>
      </c>
      <c r="B359" s="95">
        <v>18000</v>
      </c>
      <c r="C359" s="96"/>
      <c r="D359" s="97">
        <v>17495</v>
      </c>
      <c r="E359" s="96"/>
      <c r="F359" s="97">
        <f t="shared" si="5"/>
        <v>4169498.8743564081</v>
      </c>
      <c r="G359" s="98"/>
    </row>
    <row r="360" spans="1:7" x14ac:dyDescent="0.3">
      <c r="A360" s="85" t="s">
        <v>52</v>
      </c>
      <c r="B360" s="99">
        <v>1000</v>
      </c>
      <c r="C360" s="100"/>
      <c r="D360" s="101">
        <v>246</v>
      </c>
      <c r="E360" s="100"/>
      <c r="F360" s="101">
        <f t="shared" si="5"/>
        <v>260716.33211715333</v>
      </c>
      <c r="G360" s="102"/>
    </row>
    <row r="361" spans="1:7" x14ac:dyDescent="0.3">
      <c r="A361" s="85" t="s">
        <v>52</v>
      </c>
      <c r="B361" s="99">
        <v>10000</v>
      </c>
      <c r="C361" s="100"/>
      <c r="D361" s="101">
        <v>3367</v>
      </c>
      <c r="E361" s="100"/>
      <c r="F361" s="101">
        <f t="shared" si="5"/>
        <v>1854978.1263305971</v>
      </c>
      <c r="G361" s="102"/>
    </row>
    <row r="362" spans="1:7" x14ac:dyDescent="0.3">
      <c r="A362" s="85" t="s">
        <v>52</v>
      </c>
      <c r="B362" s="99">
        <v>1000</v>
      </c>
      <c r="C362" s="100"/>
      <c r="D362" s="101">
        <v>381</v>
      </c>
      <c r="E362" s="100"/>
      <c r="F362" s="101">
        <f t="shared" si="5"/>
        <v>283759.02390746289</v>
      </c>
      <c r="G362" s="102"/>
    </row>
    <row r="363" spans="1:7" x14ac:dyDescent="0.3">
      <c r="A363" s="85" t="s">
        <v>52</v>
      </c>
      <c r="B363" s="99">
        <v>12400</v>
      </c>
      <c r="C363" s="100"/>
      <c r="D363" s="101">
        <v>7155</v>
      </c>
      <c r="E363" s="100"/>
      <c r="F363" s="101">
        <f t="shared" si="5"/>
        <v>2542936.028962343</v>
      </c>
      <c r="G363" s="102"/>
    </row>
    <row r="364" spans="1:7" x14ac:dyDescent="0.3">
      <c r="A364" s="85" t="s">
        <v>52</v>
      </c>
      <c r="B364" s="99">
        <v>700</v>
      </c>
      <c r="C364" s="100"/>
      <c r="D364" s="101">
        <v>281</v>
      </c>
      <c r="E364" s="100"/>
      <c r="F364" s="101">
        <f t="shared" si="5"/>
        <v>214178.31828084638</v>
      </c>
      <c r="G364" s="102"/>
    </row>
    <row r="365" spans="1:7" x14ac:dyDescent="0.3">
      <c r="A365" s="85" t="s">
        <v>52</v>
      </c>
      <c r="B365" s="99">
        <v>50</v>
      </c>
      <c r="C365" s="100"/>
      <c r="D365" s="101">
        <v>0</v>
      </c>
      <c r="E365" s="120" t="s">
        <v>155</v>
      </c>
      <c r="F365" s="101">
        <f t="shared" si="5"/>
        <v>20115.970031209159</v>
      </c>
      <c r="G365" s="102"/>
    </row>
    <row r="366" spans="1:7" x14ac:dyDescent="0.3">
      <c r="A366" s="85" t="s">
        <v>52</v>
      </c>
      <c r="B366" s="99">
        <v>60</v>
      </c>
      <c r="C366" s="100"/>
      <c r="D366" s="101">
        <v>10</v>
      </c>
      <c r="E366" s="100"/>
      <c r="F366" s="101">
        <f t="shared" si="5"/>
        <v>25889.512794666498</v>
      </c>
      <c r="G366" s="102"/>
    </row>
    <row r="367" spans="1:7" x14ac:dyDescent="0.3">
      <c r="A367" s="85" t="s">
        <v>52</v>
      </c>
      <c r="B367" s="99">
        <v>75</v>
      </c>
      <c r="C367" s="100"/>
      <c r="D367" s="101">
        <v>23</v>
      </c>
      <c r="E367" s="100"/>
      <c r="F367" s="101">
        <f t="shared" si="5"/>
        <v>33523.09974007494</v>
      </c>
      <c r="G367" s="102"/>
    </row>
    <row r="368" spans="1:7" x14ac:dyDescent="0.3">
      <c r="A368" s="85" t="s">
        <v>52</v>
      </c>
      <c r="B368" s="99">
        <v>100</v>
      </c>
      <c r="C368" s="100"/>
      <c r="D368" s="101">
        <v>6</v>
      </c>
      <c r="E368" s="100"/>
      <c r="F368" s="101">
        <f t="shared" si="5"/>
        <v>35631.45898107344</v>
      </c>
      <c r="G368" s="102"/>
    </row>
    <row r="369" spans="1:7" x14ac:dyDescent="0.3">
      <c r="A369" s="85" t="s">
        <v>52</v>
      </c>
      <c r="B369" s="99">
        <v>24000</v>
      </c>
      <c r="C369" s="100"/>
      <c r="D369" s="101">
        <v>18852</v>
      </c>
      <c r="E369" s="100"/>
      <c r="F369" s="101">
        <f t="shared" si="5"/>
        <v>4874701.4181974987</v>
      </c>
      <c r="G369" s="102"/>
    </row>
    <row r="370" spans="1:7" ht="15" thickBot="1" x14ac:dyDescent="0.35">
      <c r="A370" s="87" t="s">
        <v>52</v>
      </c>
      <c r="B370" s="111">
        <v>3000</v>
      </c>
      <c r="C370" s="130"/>
      <c r="D370" s="113">
        <v>1648</v>
      </c>
      <c r="E370" s="130"/>
      <c r="F370" s="113">
        <f t="shared" si="5"/>
        <v>773182.41506992106</v>
      </c>
      <c r="G370" s="144">
        <f>SUM(F359:F370)</f>
        <v>15089110.578769254</v>
      </c>
    </row>
    <row r="371" spans="1:7" x14ac:dyDescent="0.3">
      <c r="A371" s="84" t="s">
        <v>43</v>
      </c>
      <c r="B371" s="95">
        <v>3600</v>
      </c>
      <c r="C371" s="96"/>
      <c r="D371" s="97">
        <v>2462</v>
      </c>
      <c r="E371" s="135" t="s">
        <v>156</v>
      </c>
      <c r="F371" s="97">
        <f t="shared" si="5"/>
        <v>963337.17281660589</v>
      </c>
      <c r="G371" s="98"/>
    </row>
    <row r="372" spans="1:7" x14ac:dyDescent="0.3">
      <c r="A372" s="85" t="s">
        <v>43</v>
      </c>
      <c r="B372" s="99">
        <v>13700</v>
      </c>
      <c r="C372" s="100"/>
      <c r="D372" s="101">
        <v>23796</v>
      </c>
      <c r="E372" s="128" t="s">
        <v>156</v>
      </c>
      <c r="F372" s="101">
        <f t="shared" si="5"/>
        <v>4363574.82828255</v>
      </c>
      <c r="G372" s="102"/>
    </row>
    <row r="373" spans="1:7" x14ac:dyDescent="0.3">
      <c r="A373" s="85" t="s">
        <v>43</v>
      </c>
      <c r="B373" s="99">
        <v>2400</v>
      </c>
      <c r="C373" s="100"/>
      <c r="D373" s="101">
        <v>806</v>
      </c>
      <c r="E373" s="128" t="s">
        <v>156</v>
      </c>
      <c r="F373" s="101">
        <f t="shared" si="5"/>
        <v>568650.93302465312</v>
      </c>
      <c r="G373" s="102"/>
    </row>
    <row r="374" spans="1:7" x14ac:dyDescent="0.3">
      <c r="A374" s="85" t="s">
        <v>43</v>
      </c>
      <c r="B374" s="99">
        <v>3150</v>
      </c>
      <c r="C374" s="100"/>
      <c r="D374" s="101">
        <v>2186</v>
      </c>
      <c r="E374" s="128" t="s">
        <v>156</v>
      </c>
      <c r="F374" s="101">
        <f t="shared" si="5"/>
        <v>866775.70947870472</v>
      </c>
      <c r="G374" s="102"/>
    </row>
    <row r="375" spans="1:7" x14ac:dyDescent="0.3">
      <c r="A375" s="85" t="s">
        <v>43</v>
      </c>
      <c r="B375" s="99">
        <v>130000</v>
      </c>
      <c r="C375" s="100"/>
      <c r="D375" s="101">
        <v>94623</v>
      </c>
      <c r="E375" s="128" t="s">
        <v>156</v>
      </c>
      <c r="F375" s="101">
        <f t="shared" si="5"/>
        <v>19274045.379543133</v>
      </c>
      <c r="G375" s="102"/>
    </row>
    <row r="376" spans="1:7" x14ac:dyDescent="0.3">
      <c r="A376" s="85" t="s">
        <v>43</v>
      </c>
      <c r="B376" s="99">
        <v>14000</v>
      </c>
      <c r="C376" s="100"/>
      <c r="D376" s="101">
        <v>6314</v>
      </c>
      <c r="E376" s="128" t="s">
        <v>156</v>
      </c>
      <c r="F376" s="101">
        <f t="shared" si="5"/>
        <v>2624520.7039164454</v>
      </c>
      <c r="G376" s="102"/>
    </row>
    <row r="377" spans="1:7" x14ac:dyDescent="0.3">
      <c r="A377" s="85" t="s">
        <v>43</v>
      </c>
      <c r="B377" s="99">
        <v>3400</v>
      </c>
      <c r="C377" s="100"/>
      <c r="D377" s="101">
        <v>4072</v>
      </c>
      <c r="E377" s="128" t="s">
        <v>156</v>
      </c>
      <c r="F377" s="101">
        <f t="shared" si="5"/>
        <v>1145518.1744211342</v>
      </c>
      <c r="G377" s="102"/>
    </row>
    <row r="378" spans="1:7" x14ac:dyDescent="0.3">
      <c r="A378" s="85" t="s">
        <v>43</v>
      </c>
      <c r="B378" s="99">
        <v>1300</v>
      </c>
      <c r="C378" s="100"/>
      <c r="D378" s="101">
        <v>891</v>
      </c>
      <c r="E378" s="120" t="s">
        <v>157</v>
      </c>
      <c r="F378" s="101">
        <f t="shared" si="5"/>
        <v>415194.55465633306</v>
      </c>
      <c r="G378" s="102"/>
    </row>
    <row r="379" spans="1:7" x14ac:dyDescent="0.3">
      <c r="A379" s="85" t="s">
        <v>43</v>
      </c>
      <c r="B379" s="99">
        <v>42000</v>
      </c>
      <c r="C379" s="100"/>
      <c r="D379" s="101">
        <v>28431</v>
      </c>
      <c r="E379" s="128" t="s">
        <v>156</v>
      </c>
      <c r="F379" s="101">
        <f t="shared" si="5"/>
        <v>7361900.0432401504</v>
      </c>
      <c r="G379" s="102"/>
    </row>
    <row r="380" spans="1:7" x14ac:dyDescent="0.3">
      <c r="A380" s="85" t="s">
        <v>43</v>
      </c>
      <c r="B380" s="99">
        <v>14500</v>
      </c>
      <c r="C380" s="100"/>
      <c r="D380" s="101">
        <v>3291</v>
      </c>
      <c r="E380" s="128" t="s">
        <v>156</v>
      </c>
      <c r="F380" s="101">
        <f t="shared" si="5"/>
        <v>2351193.3326432798</v>
      </c>
      <c r="G380" s="102"/>
    </row>
    <row r="381" spans="1:7" x14ac:dyDescent="0.3">
      <c r="A381" s="85" t="s">
        <v>43</v>
      </c>
      <c r="B381" s="99">
        <v>4500</v>
      </c>
      <c r="C381" s="100"/>
      <c r="D381" s="101">
        <v>914</v>
      </c>
      <c r="E381" s="128" t="s">
        <v>156</v>
      </c>
      <c r="F381" s="101">
        <f t="shared" si="5"/>
        <v>877252.43397046928</v>
      </c>
      <c r="G381" s="102"/>
    </row>
    <row r="382" spans="1:7" x14ac:dyDescent="0.3">
      <c r="A382" s="85" t="s">
        <v>43</v>
      </c>
      <c r="B382" s="99">
        <v>1000</v>
      </c>
      <c r="C382" s="100"/>
      <c r="D382" s="101">
        <v>232</v>
      </c>
      <c r="E382" s="128" t="s">
        <v>156</v>
      </c>
      <c r="F382" s="101">
        <f t="shared" ref="F382:F400" si="6">(1239*((B382+D382)/2)^0.83)+2195</f>
        <v>258303.09011532954</v>
      </c>
      <c r="G382" s="102"/>
    </row>
    <row r="383" spans="1:7" x14ac:dyDescent="0.3">
      <c r="A383" s="85" t="s">
        <v>43</v>
      </c>
      <c r="B383" s="99">
        <v>4500</v>
      </c>
      <c r="C383" s="100"/>
      <c r="D383" s="101">
        <v>3300</v>
      </c>
      <c r="E383" s="128" t="s">
        <v>156</v>
      </c>
      <c r="F383" s="101">
        <f t="shared" si="6"/>
        <v>1187021.9667709139</v>
      </c>
      <c r="G383" s="102"/>
    </row>
    <row r="384" spans="1:7" x14ac:dyDescent="0.3">
      <c r="A384" s="85" t="s">
        <v>43</v>
      </c>
      <c r="B384" s="99">
        <v>1200</v>
      </c>
      <c r="C384" s="100"/>
      <c r="D384" s="101">
        <v>995</v>
      </c>
      <c r="E384" s="128" t="s">
        <v>156</v>
      </c>
      <c r="F384" s="101">
        <f t="shared" si="6"/>
        <v>415820.27163307398</v>
      </c>
      <c r="G384" s="102"/>
    </row>
    <row r="385" spans="1:7" x14ac:dyDescent="0.3">
      <c r="A385" s="85" t="s">
        <v>43</v>
      </c>
      <c r="B385" s="99">
        <v>900</v>
      </c>
      <c r="C385" s="100"/>
      <c r="D385" s="101">
        <v>370</v>
      </c>
      <c r="E385" s="128" t="s">
        <v>156</v>
      </c>
      <c r="F385" s="101">
        <f t="shared" si="6"/>
        <v>264842.63729736808</v>
      </c>
      <c r="G385" s="102"/>
    </row>
    <row r="386" spans="1:7" x14ac:dyDescent="0.3">
      <c r="A386" s="85" t="s">
        <v>43</v>
      </c>
      <c r="B386" s="99">
        <v>395</v>
      </c>
      <c r="C386" s="128" t="s">
        <v>158</v>
      </c>
      <c r="D386" s="101">
        <v>197.5</v>
      </c>
      <c r="E386" s="128" t="s">
        <v>159</v>
      </c>
      <c r="F386" s="101">
        <f t="shared" si="6"/>
        <v>141686.49998250822</v>
      </c>
      <c r="G386" s="102"/>
    </row>
    <row r="387" spans="1:7" x14ac:dyDescent="0.3">
      <c r="A387" s="85" t="s">
        <v>43</v>
      </c>
      <c r="B387" s="99">
        <v>35</v>
      </c>
      <c r="C387" s="128" t="s">
        <v>160</v>
      </c>
      <c r="D387" s="101">
        <v>17.5</v>
      </c>
      <c r="E387" s="128" t="s">
        <v>159</v>
      </c>
      <c r="F387" s="101">
        <f t="shared" si="6"/>
        <v>20856.589491581934</v>
      </c>
      <c r="G387" s="102"/>
    </row>
    <row r="388" spans="1:7" ht="15" thickBot="1" x14ac:dyDescent="0.35">
      <c r="A388" s="87" t="s">
        <v>43</v>
      </c>
      <c r="B388" s="111">
        <v>10</v>
      </c>
      <c r="C388" s="129" t="s">
        <v>161</v>
      </c>
      <c r="D388" s="113">
        <v>5</v>
      </c>
      <c r="E388" s="129" t="s">
        <v>159</v>
      </c>
      <c r="F388" s="113">
        <f t="shared" si="6"/>
        <v>8792.3899566084983</v>
      </c>
      <c r="G388" s="144">
        <f>SUM(F371:F388)</f>
        <v>43109286.711240843</v>
      </c>
    </row>
    <row r="389" spans="1:7" x14ac:dyDescent="0.3">
      <c r="A389" s="84" t="s">
        <v>45</v>
      </c>
      <c r="B389" s="95">
        <v>220000</v>
      </c>
      <c r="C389" s="96"/>
      <c r="D389" s="97">
        <v>207893</v>
      </c>
      <c r="E389" s="96"/>
      <c r="F389" s="97">
        <f t="shared" si="6"/>
        <v>32904370.221683946</v>
      </c>
      <c r="G389" s="98"/>
    </row>
    <row r="390" spans="1:7" x14ac:dyDescent="0.3">
      <c r="A390" s="85" t="s">
        <v>45</v>
      </c>
      <c r="B390" s="99">
        <v>120000</v>
      </c>
      <c r="C390" s="100"/>
      <c r="D390" s="101">
        <v>82300</v>
      </c>
      <c r="E390" s="100"/>
      <c r="F390" s="101">
        <f t="shared" si="6"/>
        <v>17670422.90604043</v>
      </c>
      <c r="G390" s="102"/>
    </row>
    <row r="391" spans="1:7" x14ac:dyDescent="0.3">
      <c r="A391" s="85" t="s">
        <v>45</v>
      </c>
      <c r="B391" s="99">
        <v>84000</v>
      </c>
      <c r="C391" s="100"/>
      <c r="D391" s="101">
        <v>77394</v>
      </c>
      <c r="E391" s="100"/>
      <c r="F391" s="101">
        <f t="shared" si="6"/>
        <v>14649675.880193057</v>
      </c>
      <c r="G391" s="102"/>
    </row>
    <row r="392" spans="1:7" x14ac:dyDescent="0.3">
      <c r="A392" s="85" t="s">
        <v>45</v>
      </c>
      <c r="B392" s="99">
        <v>6000</v>
      </c>
      <c r="C392" s="100"/>
      <c r="D392" s="101">
        <v>3266</v>
      </c>
      <c r="E392" s="100"/>
      <c r="F392" s="101">
        <f t="shared" si="6"/>
        <v>1369095.8562048529</v>
      </c>
      <c r="G392" s="102"/>
    </row>
    <row r="393" spans="1:7" x14ac:dyDescent="0.3">
      <c r="A393" s="85" t="s">
        <v>45</v>
      </c>
      <c r="B393" s="99">
        <v>83000</v>
      </c>
      <c r="C393" s="100"/>
      <c r="D393" s="101">
        <v>50132</v>
      </c>
      <c r="E393" s="100"/>
      <c r="F393" s="101">
        <f t="shared" si="6"/>
        <v>12486686.233301405</v>
      </c>
      <c r="G393" s="102"/>
    </row>
    <row r="394" spans="1:7" x14ac:dyDescent="0.3">
      <c r="A394" s="85" t="s">
        <v>45</v>
      </c>
      <c r="B394" s="99">
        <v>6000</v>
      </c>
      <c r="C394" s="100"/>
      <c r="D394" s="101">
        <v>5713</v>
      </c>
      <c r="E394" s="100"/>
      <c r="F394" s="101">
        <f t="shared" si="6"/>
        <v>1662588.2872012756</v>
      </c>
      <c r="G394" s="102"/>
    </row>
    <row r="395" spans="1:7" x14ac:dyDescent="0.3">
      <c r="A395" s="85" t="s">
        <v>45</v>
      </c>
      <c r="B395" s="99">
        <v>6000</v>
      </c>
      <c r="C395" s="100"/>
      <c r="D395" s="101">
        <v>1982</v>
      </c>
      <c r="E395" s="100"/>
      <c r="F395" s="101">
        <f t="shared" si="6"/>
        <v>1209923.014805753</v>
      </c>
      <c r="G395" s="102"/>
    </row>
    <row r="396" spans="1:7" x14ac:dyDescent="0.3">
      <c r="A396" s="85" t="s">
        <v>45</v>
      </c>
      <c r="B396" s="99">
        <v>6000</v>
      </c>
      <c r="C396" s="100"/>
      <c r="D396" s="101">
        <v>2246</v>
      </c>
      <c r="E396" s="100"/>
      <c r="F396" s="101">
        <f t="shared" si="6"/>
        <v>1242985.2559507464</v>
      </c>
      <c r="G396" s="102"/>
    </row>
    <row r="397" spans="1:7" x14ac:dyDescent="0.3">
      <c r="A397" s="85" t="s">
        <v>45</v>
      </c>
      <c r="B397" s="99">
        <v>4100</v>
      </c>
      <c r="C397" s="100"/>
      <c r="D397" s="101">
        <v>3945</v>
      </c>
      <c r="E397" s="100"/>
      <c r="F397" s="101">
        <f t="shared" si="6"/>
        <v>1217829.5369795179</v>
      </c>
      <c r="G397" s="102"/>
    </row>
    <row r="398" spans="1:7" x14ac:dyDescent="0.3">
      <c r="A398" s="85" t="s">
        <v>45</v>
      </c>
      <c r="B398" s="99">
        <v>10000</v>
      </c>
      <c r="C398" s="100"/>
      <c r="D398" s="101">
        <v>3988</v>
      </c>
      <c r="E398" s="100"/>
      <c r="F398" s="101">
        <f t="shared" si="6"/>
        <v>1926144.097499083</v>
      </c>
      <c r="G398" s="102"/>
    </row>
    <row r="399" spans="1:7" ht="15" thickBot="1" x14ac:dyDescent="0.35">
      <c r="A399" s="86" t="s">
        <v>45</v>
      </c>
      <c r="B399" s="103">
        <v>795</v>
      </c>
      <c r="C399" s="141" t="s">
        <v>162</v>
      </c>
      <c r="D399" s="105">
        <v>795</v>
      </c>
      <c r="E399" s="104"/>
      <c r="F399" s="105">
        <f t="shared" si="6"/>
        <v>318696.68258996023</v>
      </c>
      <c r="G399" s="142">
        <f>SUM(F389:F399)</f>
        <v>86658417.972450018</v>
      </c>
    </row>
    <row r="400" spans="1:7" ht="15" thickBot="1" x14ac:dyDescent="0.35">
      <c r="A400" s="94" t="s">
        <v>31</v>
      </c>
      <c r="B400" s="137">
        <v>25000</v>
      </c>
      <c r="C400" s="138"/>
      <c r="D400" s="139">
        <v>17000</v>
      </c>
      <c r="E400" s="138"/>
      <c r="F400" s="140">
        <f t="shared" si="6"/>
        <v>4794156.5094560459</v>
      </c>
      <c r="G400" s="148">
        <f>SUM(F400)</f>
        <v>4794156.5094560459</v>
      </c>
    </row>
    <row r="401" spans="1:7" x14ac:dyDescent="0.3">
      <c r="A401" s="78"/>
      <c r="B401" s="80"/>
      <c r="C401" s="78"/>
      <c r="D401" s="80"/>
      <c r="E401" s="78"/>
      <c r="F401" s="78"/>
      <c r="G401" s="78"/>
    </row>
    <row r="402" spans="1:7" x14ac:dyDescent="0.3">
      <c r="A402" s="78"/>
      <c r="B402" s="80"/>
      <c r="C402" s="78"/>
      <c r="D402" s="80"/>
      <c r="E402" s="78"/>
      <c r="F402" s="78"/>
      <c r="G402" s="78"/>
    </row>
    <row r="403" spans="1:7" x14ac:dyDescent="0.3">
      <c r="A403" s="78"/>
      <c r="B403" s="80"/>
      <c r="C403" s="78"/>
      <c r="D403" s="80"/>
      <c r="E403" s="78"/>
      <c r="F403" s="78"/>
      <c r="G403" s="78"/>
    </row>
    <row r="404" spans="1:7" x14ac:dyDescent="0.3">
      <c r="A404" s="78"/>
      <c r="B404" s="80"/>
      <c r="C404" s="78"/>
      <c r="D404" s="80"/>
      <c r="E404" s="78"/>
      <c r="F404" s="78"/>
      <c r="G404" s="78"/>
    </row>
    <row r="405" spans="1:7" x14ac:dyDescent="0.3">
      <c r="A405" s="78"/>
      <c r="B405" s="80"/>
      <c r="C405" s="78"/>
      <c r="D405" s="80"/>
      <c r="E405" s="78"/>
      <c r="F405" s="78"/>
      <c r="G405" s="78"/>
    </row>
    <row r="406" spans="1:7" x14ac:dyDescent="0.3">
      <c r="A406" s="78"/>
      <c r="B406" s="80"/>
      <c r="C406" s="78"/>
      <c r="D406" s="80"/>
      <c r="E406" s="78"/>
      <c r="F406" s="78"/>
      <c r="G406" s="78"/>
    </row>
    <row r="407" spans="1:7" x14ac:dyDescent="0.3">
      <c r="A407" s="78"/>
      <c r="B407" s="80"/>
      <c r="C407" s="78"/>
      <c r="D407" s="80"/>
      <c r="E407" s="78"/>
      <c r="F407" s="78"/>
      <c r="G407" s="78"/>
    </row>
    <row r="408" spans="1:7" x14ac:dyDescent="0.3">
      <c r="A408" s="79"/>
      <c r="B408" s="76"/>
      <c r="C408" s="79"/>
      <c r="D408" s="76"/>
      <c r="E408" s="79"/>
      <c r="F408" s="79"/>
      <c r="G408" s="79"/>
    </row>
  </sheetData>
  <customSheetViews>
    <customSheetView guid="{88D7A6C6-1D77-4300-8600-F7BD640C7FF4}">
      <pane xSplit="1" ySplit="1" topLeftCell="B269" activePane="bottomRight" state="frozen"/>
      <selection pane="bottomRight" activeCell="E272" sqref="E272"/>
      <pageMargins left="0.7" right="0.7" top="0.75" bottom="0.75" header="0.3" footer="0.3"/>
      <pageSetup paperSize="9" orientation="portrait" r:id="rId1"/>
    </customSheetView>
    <customSheetView guid="{78B6FDE5-7C04-44E0-987D-B0794FC3C0C0}">
      <selection activeCell="F3" sqref="F3"/>
      <pageMargins left="0.7" right="0.7" top="0.75" bottom="0.75" header="0.3" footer="0.3"/>
      <pageSetup paperSize="9" orientation="portrait" r:id="rId2"/>
    </customSheetView>
    <customSheetView guid="{898A57C7-EA84-4A1C-AA42-8284F31DD32C}">
      <pane xSplit="1" ySplit="1" topLeftCell="B311" activePane="bottomRight" state="frozen"/>
      <selection pane="bottomRight" activeCell="D319" sqref="D319"/>
      <pageMargins left="0.7" right="0.7" top="0.75" bottom="0.75" header="0.3" footer="0.3"/>
      <pageSetup paperSize="9" orientation="portrait" r:id="rId3"/>
    </customSheetView>
    <customSheetView guid="{1AAC2EB3-B963-4CB8-8604-06326666FF8C}" topLeftCell="A212">
      <selection activeCell="E221" sqref="E221"/>
      <pageMargins left="0.7" right="0.7" top="0.75" bottom="0.75" header="0.3" footer="0.3"/>
      <pageSetup paperSize="9" orientation="portrait" r:id="rId4"/>
    </customSheetView>
    <customSheetView guid="{A178F800-3B7E-4511-BF10-5AA233FDE985}" topLeftCell="A212">
      <selection activeCell="E221" sqref="E221"/>
      <pageMargins left="0.7" right="0.7" top="0.75" bottom="0.75" header="0.3" footer="0.3"/>
      <pageSetup paperSize="9" orientation="portrait" r:id="rId5"/>
    </customSheetView>
    <customSheetView guid="{80E426B4-B9D0-45E3-ACA1-6AA797532F97}" topLeftCell="A212">
      <selection activeCell="E221" sqref="E221"/>
      <pageMargins left="0.7" right="0.7" top="0.75" bottom="0.75" header="0.3" footer="0.3"/>
      <pageSetup paperSize="9" orientation="portrait" r:id="rId6"/>
    </customSheetView>
    <customSheetView guid="{630A50AD-37E0-4B13-8A0F-82608C065D57}" topLeftCell="A212">
      <selection activeCell="E221" sqref="E221"/>
      <pageMargins left="0.7" right="0.7" top="0.75" bottom="0.75" header="0.3" footer="0.3"/>
      <pageSetup paperSize="9" orientation="portrait" r:id="rId7"/>
    </customSheetView>
    <customSheetView guid="{CA125778-F8FD-4378-B746-C94ABF8D8556}" topLeftCell="A698">
      <selection activeCell="I725" sqref="I725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2" sqref="R22"/>
    </sheetView>
  </sheetViews>
  <sheetFormatPr defaultRowHeight="14.4" x14ac:dyDescent="0.3"/>
  <cols>
    <col min="1" max="1" width="36.88671875" style="188" bestFit="1" customWidth="1"/>
    <col min="2" max="2" width="10.6640625" customWidth="1"/>
    <col min="3" max="3" width="11" customWidth="1"/>
    <col min="4" max="4" width="3.88671875" customWidth="1"/>
    <col min="5" max="5" width="15.88671875" customWidth="1"/>
    <col min="6" max="6" width="3.33203125" customWidth="1"/>
    <col min="7" max="7" width="10.33203125" customWidth="1"/>
    <col min="8" max="8" width="3" customWidth="1"/>
    <col min="9" max="9" width="10.5546875" customWidth="1"/>
    <col min="10" max="10" width="4.109375" customWidth="1"/>
    <col min="11" max="11" width="10" customWidth="1"/>
  </cols>
  <sheetData>
    <row r="1" spans="1:11" ht="30" x14ac:dyDescent="0.25">
      <c r="A1" s="188" t="s">
        <v>61</v>
      </c>
      <c r="B1" s="192" t="s">
        <v>174</v>
      </c>
      <c r="C1" s="192" t="s">
        <v>175</v>
      </c>
      <c r="E1" s="192" t="s">
        <v>179</v>
      </c>
      <c r="G1" s="192" t="s">
        <v>180</v>
      </c>
      <c r="I1" t="s">
        <v>70</v>
      </c>
      <c r="K1" s="192" t="s">
        <v>185</v>
      </c>
    </row>
    <row r="2" spans="1:11" x14ac:dyDescent="0.3">
      <c r="A2" s="188" t="s">
        <v>12</v>
      </c>
      <c r="B2" s="193">
        <f>VLOOKUP(Potentialesammenligning!$A$2:$A$49,'Potentialer og krav'!A3:M50,13,FALSE)</f>
        <v>0.28179999999999999</v>
      </c>
      <c r="C2" s="212">
        <v>0.33804918411518803</v>
      </c>
      <c r="E2" s="194">
        <f>C2-B2</f>
        <v>5.6249184115188033E-2</v>
      </c>
      <c r="G2" s="193">
        <v>6.0699999999999997E-2</v>
      </c>
      <c r="I2" s="193">
        <f>-IF(E2+$G$2&lt;0,E2+$G$2,0)</f>
        <v>0</v>
      </c>
      <c r="K2" s="193">
        <f>IF(E2&lt;0,-(E2+$G$2),0)</f>
        <v>0</v>
      </c>
    </row>
    <row r="3" spans="1:11" x14ac:dyDescent="0.3">
      <c r="A3" s="188" t="s">
        <v>63</v>
      </c>
      <c r="B3" s="193">
        <f>VLOOKUP(Potentialesammenligning!$A$2:$A$49,'Potentialer og krav'!A4:M51,13,FALSE)</f>
        <v>6.1199999999999997E-2</v>
      </c>
      <c r="C3" s="212">
        <v>0.401175709091528</v>
      </c>
      <c r="E3" s="194">
        <f t="shared" ref="E3:E49" si="0">C3-B3</f>
        <v>0.33997570909152802</v>
      </c>
      <c r="I3" s="193">
        <f t="shared" ref="I3:I49" si="1">-IF(E3+$G$2&lt;0,E3+$G$2,0)</f>
        <v>0</v>
      </c>
      <c r="K3" s="212">
        <f t="shared" ref="K3:K49" si="2">IF(E3&lt;0,-(E3+$G$2),0)</f>
        <v>0</v>
      </c>
    </row>
    <row r="4" spans="1:11" ht="15" x14ac:dyDescent="0.25">
      <c r="A4" s="188" t="s">
        <v>13</v>
      </c>
      <c r="B4" s="193">
        <f>VLOOKUP(Potentialesammenligning!$A$2:$A$49,'Potentialer og krav'!A5:M51,13,FALSE)</f>
        <v>8.9599999999999999E-2</v>
      </c>
      <c r="C4" s="212">
        <v>0.21610807803938903</v>
      </c>
      <c r="E4" s="194">
        <f t="shared" si="0"/>
        <v>0.12650807803938902</v>
      </c>
      <c r="I4" s="193">
        <f t="shared" si="1"/>
        <v>0</v>
      </c>
      <c r="K4" s="212">
        <f t="shared" si="2"/>
        <v>0</v>
      </c>
    </row>
    <row r="5" spans="1:11" ht="15" x14ac:dyDescent="0.25">
      <c r="A5" s="188" t="s">
        <v>14</v>
      </c>
      <c r="B5" s="193">
        <f>VLOOKUP(Potentialesammenligning!$A$2:$A$49,'Potentialer og krav'!A6:M51,13,FALSE)</f>
        <v>0.21609999999999999</v>
      </c>
      <c r="C5" s="212">
        <v>0.27407070218734098</v>
      </c>
      <c r="E5" s="194">
        <f>C5-B5</f>
        <v>5.7970702187340989E-2</v>
      </c>
      <c r="I5" s="193">
        <f t="shared" si="1"/>
        <v>0</v>
      </c>
      <c r="K5" s="212">
        <f t="shared" si="2"/>
        <v>0</v>
      </c>
    </row>
    <row r="6" spans="1:11" ht="15" x14ac:dyDescent="0.25">
      <c r="A6" s="188" t="s">
        <v>15</v>
      </c>
      <c r="B6" s="193">
        <f>VLOOKUP(Potentialesammenligning!$A$2:$A$49,'Potentialer og krav'!A7:M51,13,FALSE)</f>
        <v>6.2888000000000055E-2</v>
      </c>
      <c r="C6" s="212">
        <v>0.14793448271946796</v>
      </c>
      <c r="E6" s="194">
        <f t="shared" si="0"/>
        <v>8.5046482719467908E-2</v>
      </c>
      <c r="I6" s="193">
        <f>-IF(E6+$G$2&lt;0,E6+$G$2,0)</f>
        <v>0</v>
      </c>
      <c r="K6" s="212">
        <f t="shared" si="2"/>
        <v>0</v>
      </c>
    </row>
    <row r="7" spans="1:11" ht="15" x14ac:dyDescent="0.25">
      <c r="A7" s="188" t="s">
        <v>16</v>
      </c>
      <c r="B7" s="193">
        <f>VLOOKUP(Potentialesammenligning!$A$2:$A$49,'Potentialer og krav'!A8:M52,13,FALSE)</f>
        <v>0</v>
      </c>
      <c r="C7" s="212">
        <v>9.9363440066983055E-2</v>
      </c>
      <c r="E7" s="194">
        <f t="shared" si="0"/>
        <v>9.9363440066983055E-2</v>
      </c>
      <c r="I7" s="193">
        <f t="shared" si="1"/>
        <v>0</v>
      </c>
      <c r="K7" s="212">
        <f t="shared" si="2"/>
        <v>0</v>
      </c>
    </row>
    <row r="8" spans="1:11" x14ac:dyDescent="0.3">
      <c r="A8" s="188" t="s">
        <v>17</v>
      </c>
      <c r="B8" s="193">
        <f>VLOOKUP(Potentialesammenligning!$A$2:$A$49,'Potentialer og krav'!A9:M53,13,FALSE)</f>
        <v>0.49780000000000002</v>
      </c>
      <c r="C8" s="212">
        <v>0.43108341407964201</v>
      </c>
      <c r="E8" s="194">
        <f t="shared" si="0"/>
        <v>-6.6716585920358007E-2</v>
      </c>
      <c r="I8" s="193">
        <f t="shared" si="1"/>
        <v>6.0165859203580099E-3</v>
      </c>
      <c r="K8" s="212">
        <f t="shared" si="2"/>
        <v>6.0165859203580099E-3</v>
      </c>
    </row>
    <row r="9" spans="1:11" ht="15" x14ac:dyDescent="0.25">
      <c r="A9" s="188" t="s">
        <v>18</v>
      </c>
      <c r="B9" s="193">
        <f>VLOOKUP(Potentialesammenligning!$A$2:$A$49,'Potentialer og krav'!A10:M54,13,FALSE)</f>
        <v>0.17749999999999999</v>
      </c>
      <c r="C9" s="212">
        <v>0.24681255191849705</v>
      </c>
      <c r="E9" s="194">
        <f t="shared" si="0"/>
        <v>6.9312551918497056E-2</v>
      </c>
      <c r="I9" s="193">
        <f t="shared" si="1"/>
        <v>0</v>
      </c>
      <c r="K9" s="212">
        <f t="shared" si="2"/>
        <v>0</v>
      </c>
    </row>
    <row r="10" spans="1:11" ht="15" x14ac:dyDescent="0.25">
      <c r="A10" s="188" t="s">
        <v>19</v>
      </c>
      <c r="B10" s="193">
        <f>VLOOKUP(Potentialesammenligning!$A$2:$A$49,'Potentialer og krav'!A11:M55,13,FALSE)</f>
        <v>0.47048536334498697</v>
      </c>
      <c r="C10" s="212">
        <v>0.55005169109628005</v>
      </c>
      <c r="E10" s="194">
        <f t="shared" si="0"/>
        <v>7.9566327751293076E-2</v>
      </c>
      <c r="I10" s="193">
        <f t="shared" si="1"/>
        <v>0</v>
      </c>
      <c r="K10" s="212">
        <f t="shared" si="2"/>
        <v>0</v>
      </c>
    </row>
    <row r="11" spans="1:11" ht="15" x14ac:dyDescent="0.25">
      <c r="A11" s="188" t="s">
        <v>20</v>
      </c>
      <c r="B11" s="193">
        <f>VLOOKUP(Potentialesammenligning!$A$2:$A$49,'Potentialer og krav'!A12:M56,13,FALSE)</f>
        <v>0</v>
      </c>
      <c r="C11" s="212">
        <v>0.22956669296271004</v>
      </c>
      <c r="E11" s="194">
        <f t="shared" si="0"/>
        <v>0.22956669296271004</v>
      </c>
      <c r="I11" s="193">
        <f t="shared" si="1"/>
        <v>0</v>
      </c>
      <c r="K11" s="212">
        <f t="shared" si="2"/>
        <v>0</v>
      </c>
    </row>
    <row r="12" spans="1:11" ht="15" x14ac:dyDescent="0.25">
      <c r="A12" s="188" t="s">
        <v>24</v>
      </c>
      <c r="B12" s="193">
        <f>VLOOKUP(Potentialesammenligning!$A$2:$A$49,'Potentialer og krav'!A13:M57,13,FALSE)</f>
        <v>2.7E-2</v>
      </c>
      <c r="C12" s="212">
        <v>8.4743822481881947E-2</v>
      </c>
      <c r="E12" s="194">
        <f t="shared" si="0"/>
        <v>5.7743822481881951E-2</v>
      </c>
      <c r="I12" s="193">
        <f>-IF(E12+$G$2&lt;0,E12+$G$2,0)</f>
        <v>0</v>
      </c>
      <c r="K12" s="212">
        <f t="shared" si="2"/>
        <v>0</v>
      </c>
    </row>
    <row r="13" spans="1:11" ht="15" x14ac:dyDescent="0.25">
      <c r="A13" s="188" t="s">
        <v>21</v>
      </c>
      <c r="B13" s="193">
        <f>VLOOKUP(Potentialesammenligning!$A$2:$A$49,'Potentialer og krav'!A14:M58,13,FALSE)</f>
        <v>0.48821164973097603</v>
      </c>
      <c r="C13" s="212">
        <v>0.54797810116231593</v>
      </c>
      <c r="E13" s="194">
        <f t="shared" si="0"/>
        <v>5.9766451431339906E-2</v>
      </c>
      <c r="I13" s="193">
        <f t="shared" si="1"/>
        <v>0</v>
      </c>
      <c r="K13" s="212">
        <f t="shared" si="2"/>
        <v>0</v>
      </c>
    </row>
    <row r="14" spans="1:11" ht="15" x14ac:dyDescent="0.25">
      <c r="A14" s="188" t="s">
        <v>22</v>
      </c>
      <c r="B14" s="193">
        <f>VLOOKUP(Potentialesammenligning!$A$2:$A$49,'Potentialer og krav'!A15:M59,13,FALSE)</f>
        <v>0.16798630276576501</v>
      </c>
      <c r="C14" s="212">
        <v>0.11833285076383904</v>
      </c>
      <c r="E14" s="194">
        <f t="shared" si="0"/>
        <v>-4.9653452001925974E-2</v>
      </c>
      <c r="I14" s="193">
        <f t="shared" si="1"/>
        <v>0</v>
      </c>
      <c r="K14" s="212">
        <f t="shared" si="2"/>
        <v>-1.1046547998074023E-2</v>
      </c>
    </row>
    <row r="15" spans="1:11" ht="15" x14ac:dyDescent="0.25">
      <c r="A15" s="188" t="s">
        <v>23</v>
      </c>
      <c r="B15" s="193">
        <f>VLOOKUP(Potentialesammenligning!$A$2:$A$49,'Potentialer og krav'!A16:M60,13,FALSE)</f>
        <v>0</v>
      </c>
      <c r="C15" s="212">
        <v>5.551447548169397E-2</v>
      </c>
      <c r="E15" s="194">
        <f t="shared" si="0"/>
        <v>5.551447548169397E-2</v>
      </c>
      <c r="I15" s="193">
        <f t="shared" si="1"/>
        <v>0</v>
      </c>
      <c r="K15" s="212">
        <f t="shared" si="2"/>
        <v>0</v>
      </c>
    </row>
    <row r="16" spans="1:11" ht="15" x14ac:dyDescent="0.25">
      <c r="A16" s="188" t="s">
        <v>25</v>
      </c>
      <c r="B16" s="193">
        <f>VLOOKUP(Potentialesammenligning!$A$2:$A$49,'Potentialer og krav'!A17:M61,13,FALSE)</f>
        <v>0.33476796733409497</v>
      </c>
      <c r="C16" s="212">
        <v>0.40196150483991799</v>
      </c>
      <c r="E16" s="194">
        <f t="shared" si="0"/>
        <v>6.719353750582302E-2</v>
      </c>
      <c r="I16" s="193">
        <f t="shared" si="1"/>
        <v>0</v>
      </c>
      <c r="K16" s="212">
        <f t="shared" si="2"/>
        <v>0</v>
      </c>
    </row>
    <row r="17" spans="1:11" x14ac:dyDescent="0.3">
      <c r="A17" s="188" t="s">
        <v>26</v>
      </c>
      <c r="B17" s="193">
        <f>VLOOKUP(Potentialesammenligning!$A$2:$A$49,'Potentialer og krav'!A18:M62,13,FALSE)</f>
        <v>0.264686631645629</v>
      </c>
      <c r="C17" s="212">
        <v>0.16505619397816496</v>
      </c>
      <c r="E17" s="194">
        <f t="shared" si="0"/>
        <v>-9.9630437667464045E-2</v>
      </c>
      <c r="I17" s="193">
        <f>-IF(E17+$G$2&lt;0,E17+$G$2,0)</f>
        <v>3.8930437667464048E-2</v>
      </c>
      <c r="K17" s="212">
        <f t="shared" si="2"/>
        <v>3.8930437667464048E-2</v>
      </c>
    </row>
    <row r="18" spans="1:11" x14ac:dyDescent="0.3">
      <c r="A18" s="188" t="s">
        <v>64</v>
      </c>
      <c r="B18" s="193">
        <f>VLOOKUP(Potentialesammenligning!$A$2:$A$49,'Potentialer og krav'!A19:M63,13,FALSE)</f>
        <v>0.1701</v>
      </c>
      <c r="C18" s="212">
        <v>0.16005720449291405</v>
      </c>
      <c r="E18" s="194">
        <f t="shared" si="0"/>
        <v>-1.004279550708595E-2</v>
      </c>
      <c r="I18" s="193">
        <f t="shared" si="1"/>
        <v>0</v>
      </c>
      <c r="K18" s="212">
        <f t="shared" si="2"/>
        <v>-5.0657204492914047E-2</v>
      </c>
    </row>
    <row r="19" spans="1:11" x14ac:dyDescent="0.3">
      <c r="A19" s="188" t="s">
        <v>65</v>
      </c>
      <c r="B19" s="193">
        <f>VLOOKUP(Potentialesammenligning!$A$2:$A$49,'Potentialer og krav'!A20:M64,13,FALSE)</f>
        <v>0.5837</v>
      </c>
      <c r="C19" s="212">
        <v>0.66752919852997694</v>
      </c>
      <c r="E19" s="194">
        <f t="shared" si="0"/>
        <v>8.3829198529976945E-2</v>
      </c>
      <c r="I19" s="193">
        <f t="shared" si="1"/>
        <v>0</v>
      </c>
      <c r="K19" s="212">
        <f t="shared" si="2"/>
        <v>0</v>
      </c>
    </row>
    <row r="20" spans="1:11" x14ac:dyDescent="0.3">
      <c r="A20" s="188" t="s">
        <v>67</v>
      </c>
      <c r="B20" s="193">
        <f>VLOOKUP(Potentialesammenligning!$A$2:$A$49,'Potentialer og krav'!A21:M65,13,FALSE)</f>
        <v>0.305254567112419</v>
      </c>
      <c r="C20" s="212">
        <v>0.38881825707057704</v>
      </c>
      <c r="E20" s="194">
        <f t="shared" si="0"/>
        <v>8.3563689958158049E-2</v>
      </c>
      <c r="I20" s="193">
        <f t="shared" si="1"/>
        <v>0</v>
      </c>
      <c r="K20" s="212">
        <f t="shared" si="2"/>
        <v>0</v>
      </c>
    </row>
    <row r="21" spans="1:11" x14ac:dyDescent="0.3">
      <c r="A21" s="188" t="s">
        <v>68</v>
      </c>
      <c r="B21" s="193">
        <f>VLOOKUP(Potentialesammenligning!$A$2:$A$49,'Potentialer og krav'!A22:M66,13,FALSE)</f>
        <v>0.20406127795925799</v>
      </c>
      <c r="C21" s="212">
        <v>0.34017909244498001</v>
      </c>
      <c r="E21" s="194">
        <f t="shared" si="0"/>
        <v>0.13611781448572202</v>
      </c>
      <c r="I21" s="193">
        <f t="shared" si="1"/>
        <v>0</v>
      </c>
      <c r="K21" s="212">
        <f t="shared" si="2"/>
        <v>0</v>
      </c>
    </row>
    <row r="22" spans="1:11" ht="15" x14ac:dyDescent="0.25">
      <c r="A22" s="188" t="s">
        <v>27</v>
      </c>
      <c r="B22" s="193">
        <f>VLOOKUP(Potentialesammenligning!$A$2:$A$49,'Potentialer og krav'!A23:M67,13,FALSE)</f>
        <v>0</v>
      </c>
      <c r="C22" s="212">
        <v>0</v>
      </c>
      <c r="E22" s="194">
        <f t="shared" si="0"/>
        <v>0</v>
      </c>
      <c r="I22" s="193">
        <f t="shared" si="1"/>
        <v>0</v>
      </c>
      <c r="K22" s="212">
        <f t="shared" si="2"/>
        <v>0</v>
      </c>
    </row>
    <row r="23" spans="1:11" x14ac:dyDescent="0.3">
      <c r="A23" s="188" t="s">
        <v>66</v>
      </c>
      <c r="B23" s="193">
        <f>VLOOKUP(Potentialesammenligning!$A$2:$A$49,'Potentialer og krav'!A24:M68,13,FALSE)</f>
        <v>0.2412</v>
      </c>
      <c r="C23" s="212">
        <v>2.2862013487817023E-2</v>
      </c>
      <c r="E23" s="194">
        <f t="shared" si="0"/>
        <v>-0.21833798651218297</v>
      </c>
      <c r="I23" s="193">
        <f t="shared" si="1"/>
        <v>0.15763798651218297</v>
      </c>
      <c r="K23" s="212">
        <f t="shared" si="2"/>
        <v>0.15763798651218297</v>
      </c>
    </row>
    <row r="24" spans="1:11" ht="15" x14ac:dyDescent="0.25">
      <c r="A24" s="188" t="s">
        <v>28</v>
      </c>
      <c r="B24" s="193">
        <f>VLOOKUP(Potentialesammenligning!$A$2:$A$49,'Potentialer og krav'!A25:M69,13,FALSE)</f>
        <v>0.25969999999999999</v>
      </c>
      <c r="C24" s="212">
        <v>0.39549603257817501</v>
      </c>
      <c r="E24" s="194">
        <f t="shared" si="0"/>
        <v>0.13579603257817502</v>
      </c>
      <c r="I24" s="193">
        <f t="shared" si="1"/>
        <v>0</v>
      </c>
      <c r="K24" s="212">
        <f t="shared" si="2"/>
        <v>0</v>
      </c>
    </row>
    <row r="25" spans="1:11" x14ac:dyDescent="0.3">
      <c r="A25" s="188" t="s">
        <v>36</v>
      </c>
      <c r="B25" s="193">
        <f>VLOOKUP(Potentialesammenligning!$A$2:$A$49,'Potentialer og krav'!A26:M70,13,FALSE)</f>
        <v>0.37630995789495603</v>
      </c>
      <c r="C25" s="212">
        <v>0.48228382231029598</v>
      </c>
      <c r="E25" s="194">
        <f t="shared" si="0"/>
        <v>0.10597386441533996</v>
      </c>
      <c r="I25" s="193">
        <f t="shared" si="1"/>
        <v>0</v>
      </c>
      <c r="K25" s="212">
        <f t="shared" si="2"/>
        <v>0</v>
      </c>
    </row>
    <row r="26" spans="1:11" ht="15" x14ac:dyDescent="0.25">
      <c r="A26" s="188" t="s">
        <v>29</v>
      </c>
      <c r="B26" s="193">
        <f>VLOOKUP(Potentialesammenligning!$A$2:$A$49,'Potentialer og krav'!A27:M71,13,FALSE)</f>
        <v>0</v>
      </c>
      <c r="C26" s="212">
        <v>0</v>
      </c>
      <c r="E26" s="194">
        <f t="shared" si="0"/>
        <v>0</v>
      </c>
      <c r="I26" s="193">
        <f t="shared" si="1"/>
        <v>0</v>
      </c>
      <c r="K26" s="212">
        <f t="shared" si="2"/>
        <v>0</v>
      </c>
    </row>
    <row r="27" spans="1:11" x14ac:dyDescent="0.3">
      <c r="A27" s="188" t="s">
        <v>30</v>
      </c>
      <c r="B27" s="193">
        <f>VLOOKUP(Potentialesammenligning!$A$2:$A$49,'Potentialer og krav'!A28:M72,13,FALSE)</f>
        <v>0.29499999999999998</v>
      </c>
      <c r="C27" s="212">
        <v>0.44584737056023205</v>
      </c>
      <c r="E27" s="194">
        <f t="shared" si="0"/>
        <v>0.15084737056023206</v>
      </c>
      <c r="I27" s="193">
        <f t="shared" si="1"/>
        <v>0</v>
      </c>
      <c r="K27" s="212">
        <f t="shared" si="2"/>
        <v>0</v>
      </c>
    </row>
    <row r="28" spans="1:11" ht="15" x14ac:dyDescent="0.25">
      <c r="A28" s="188" t="s">
        <v>31</v>
      </c>
      <c r="B28" s="193">
        <f>VLOOKUP(Potentialesammenligning!$A$2:$A$49,'Potentialer og krav'!A29:M73,13,FALSE)</f>
        <v>0.17169999999999999</v>
      </c>
      <c r="C28" s="212">
        <v>0.39861131778266001</v>
      </c>
      <c r="E28" s="194">
        <f t="shared" si="0"/>
        <v>0.22691131778266002</v>
      </c>
      <c r="I28" s="193">
        <f t="shared" si="1"/>
        <v>0</v>
      </c>
      <c r="K28" s="212">
        <f t="shared" si="2"/>
        <v>0</v>
      </c>
    </row>
    <row r="29" spans="1:11" ht="15" x14ac:dyDescent="0.25">
      <c r="A29" s="188" t="s">
        <v>32</v>
      </c>
      <c r="B29" s="193">
        <f>VLOOKUP(Potentialesammenligning!$A$2:$A$49,'Potentialer og krav'!A30:M74,13,FALSE)</f>
        <v>0</v>
      </c>
      <c r="C29" s="212">
        <v>0.24101912940936399</v>
      </c>
      <c r="E29" s="194">
        <f t="shared" si="0"/>
        <v>0.24101912940936399</v>
      </c>
      <c r="I29" s="193">
        <f t="shared" si="1"/>
        <v>0</v>
      </c>
      <c r="K29" s="212">
        <f t="shared" si="2"/>
        <v>0</v>
      </c>
    </row>
    <row r="30" spans="1:11" x14ac:dyDescent="0.3">
      <c r="A30" s="188" t="s">
        <v>33</v>
      </c>
      <c r="B30" s="193">
        <f>VLOOKUP(Potentialesammenligning!$A$2:$A$49,'Potentialer og krav'!A31:M75,13,FALSE)</f>
        <v>0.36020000000000002</v>
      </c>
      <c r="C30" s="212">
        <v>0.37256575378739698</v>
      </c>
      <c r="E30" s="194">
        <f t="shared" si="0"/>
        <v>1.236575378739696E-2</v>
      </c>
      <c r="I30" s="193">
        <f t="shared" si="1"/>
        <v>0</v>
      </c>
      <c r="K30" s="212">
        <f t="shared" si="2"/>
        <v>0</v>
      </c>
    </row>
    <row r="31" spans="1:11" ht="15" x14ac:dyDescent="0.25">
      <c r="A31" s="188" t="s">
        <v>62</v>
      </c>
      <c r="B31" s="193">
        <f>VLOOKUP(Potentialesammenligning!$A$2:$A$49,'Potentialer og krav'!A32:M76,13,FALSE)</f>
        <v>0.12620000000000001</v>
      </c>
      <c r="C31" s="212">
        <v>8.2304048757633974E-2</v>
      </c>
      <c r="E31" s="194">
        <f t="shared" si="0"/>
        <v>-4.3895951242366033E-2</v>
      </c>
      <c r="I31" s="193">
        <f t="shared" si="1"/>
        <v>0</v>
      </c>
      <c r="K31" s="212">
        <f t="shared" si="2"/>
        <v>-1.6804048757633964E-2</v>
      </c>
    </row>
    <row r="32" spans="1:11" x14ac:dyDescent="0.3">
      <c r="A32" s="188" t="s">
        <v>34</v>
      </c>
      <c r="B32" s="193">
        <f>VLOOKUP(Potentialesammenligning!$A$2:$A$49,'Potentialer og krav'!A33:M77,13,FALSE)</f>
        <v>0.54332672562120798</v>
      </c>
      <c r="C32" s="212">
        <v>0.670122866558995</v>
      </c>
      <c r="E32" s="194">
        <f t="shared" si="0"/>
        <v>0.12679614093778702</v>
      </c>
      <c r="I32" s="193">
        <f t="shared" si="1"/>
        <v>0</v>
      </c>
      <c r="K32" s="212">
        <f t="shared" si="2"/>
        <v>0</v>
      </c>
    </row>
    <row r="33" spans="1:11" x14ac:dyDescent="0.3">
      <c r="A33" s="188" t="s">
        <v>35</v>
      </c>
      <c r="B33" s="193">
        <f>VLOOKUP(Potentialesammenligning!$A$2:$A$49,'Potentialer og krav'!A34:M78,13,FALSE)</f>
        <v>9.4596603955175995E-2</v>
      </c>
      <c r="C33" s="212">
        <v>0.145731615732558</v>
      </c>
      <c r="E33" s="194">
        <f t="shared" si="0"/>
        <v>5.1135011777382E-2</v>
      </c>
      <c r="I33" s="193">
        <f t="shared" si="1"/>
        <v>0</v>
      </c>
      <c r="K33" s="212">
        <f t="shared" si="2"/>
        <v>0</v>
      </c>
    </row>
    <row r="34" spans="1:11" x14ac:dyDescent="0.3">
      <c r="A34" s="188" t="s">
        <v>37</v>
      </c>
      <c r="B34" s="193">
        <f>VLOOKUP(Potentialesammenligning!$A$2:$A$49,'Potentialer og krav'!A35:M79,13,FALSE)</f>
        <v>8.4900000000000003E-2</v>
      </c>
      <c r="C34" s="212">
        <v>0.19312456676380196</v>
      </c>
      <c r="E34" s="194">
        <f t="shared" si="0"/>
        <v>0.10822456676380196</v>
      </c>
      <c r="I34" s="193">
        <f t="shared" si="1"/>
        <v>0</v>
      </c>
      <c r="K34" s="212">
        <f t="shared" si="2"/>
        <v>0</v>
      </c>
    </row>
    <row r="35" spans="1:11" x14ac:dyDescent="0.3">
      <c r="A35" s="188" t="s">
        <v>44</v>
      </c>
      <c r="B35" s="193">
        <f>VLOOKUP(Potentialesammenligning!$A$2:$A$49,'Potentialer og krav'!A36:M80,13,FALSE)</f>
        <v>0.25729999999999997</v>
      </c>
      <c r="C35" s="212">
        <v>0.36634412116532</v>
      </c>
      <c r="E35" s="194">
        <f t="shared" si="0"/>
        <v>0.10904412116532003</v>
      </c>
      <c r="I35" s="193">
        <f t="shared" si="1"/>
        <v>0</v>
      </c>
      <c r="K35" s="212">
        <f t="shared" si="2"/>
        <v>0</v>
      </c>
    </row>
    <row r="36" spans="1:11" x14ac:dyDescent="0.3">
      <c r="A36" s="188" t="s">
        <v>38</v>
      </c>
      <c r="B36" s="193">
        <f>VLOOKUP(Potentialesammenligning!$A$2:$A$49,'Potentialer og krav'!A37:M81,13,FALSE)</f>
        <v>0.16800000000000001</v>
      </c>
      <c r="C36" s="212">
        <v>0.22716581903005495</v>
      </c>
      <c r="E36" s="194">
        <f t="shared" si="0"/>
        <v>5.9165819030054939E-2</v>
      </c>
      <c r="I36" s="193">
        <f t="shared" si="1"/>
        <v>0</v>
      </c>
      <c r="K36" s="212">
        <f t="shared" si="2"/>
        <v>0</v>
      </c>
    </row>
    <row r="37" spans="1:11" x14ac:dyDescent="0.3">
      <c r="A37" s="188" t="s">
        <v>46</v>
      </c>
      <c r="B37" s="193">
        <f>VLOOKUP(Potentialesammenligning!$A$2:$A$49,'Potentialer og krav'!A38:M82,13,FALSE)</f>
        <v>0.3327</v>
      </c>
      <c r="C37" s="212">
        <v>0.49534551564178098</v>
      </c>
      <c r="E37" s="194">
        <f t="shared" si="0"/>
        <v>0.16264551564178098</v>
      </c>
      <c r="I37" s="193">
        <f t="shared" si="1"/>
        <v>0</v>
      </c>
      <c r="K37" s="212">
        <f t="shared" si="2"/>
        <v>0</v>
      </c>
    </row>
    <row r="38" spans="1:11" x14ac:dyDescent="0.3">
      <c r="A38" s="188" t="s">
        <v>39</v>
      </c>
      <c r="B38" s="193">
        <f>VLOOKUP(Potentialesammenligning!$A$2:$A$49,'Potentialer og krav'!A39:M83,13,FALSE)</f>
        <v>0.26250000000000001</v>
      </c>
      <c r="C38" s="212">
        <v>0.41465585154316698</v>
      </c>
      <c r="E38" s="194">
        <f t="shared" si="0"/>
        <v>0.15215585154316696</v>
      </c>
      <c r="I38" s="193">
        <f t="shared" si="1"/>
        <v>0</v>
      </c>
      <c r="K38" s="212">
        <f t="shared" si="2"/>
        <v>0</v>
      </c>
    </row>
    <row r="39" spans="1:11" x14ac:dyDescent="0.3">
      <c r="A39" s="188" t="s">
        <v>47</v>
      </c>
      <c r="B39" s="193">
        <f>VLOOKUP(Potentialesammenligning!$A$2:$A$49,'Potentialer og krav'!A40:M84,13,FALSE)</f>
        <v>8.2199999999999995E-2</v>
      </c>
      <c r="C39" s="212">
        <v>0.16675560965199099</v>
      </c>
      <c r="E39" s="194">
        <f t="shared" si="0"/>
        <v>8.4555609651990993E-2</v>
      </c>
      <c r="I39" s="193">
        <f t="shared" si="1"/>
        <v>0</v>
      </c>
      <c r="K39" s="212">
        <f t="shared" si="2"/>
        <v>0</v>
      </c>
    </row>
    <row r="40" spans="1:11" x14ac:dyDescent="0.3">
      <c r="A40" s="188" t="s">
        <v>48</v>
      </c>
      <c r="B40" s="193">
        <f>VLOOKUP(Potentialesammenligning!$A$2:$A$49,'Potentialer og krav'!A41:M85,13,FALSE)</f>
        <v>0.26319999999999999</v>
      </c>
      <c r="C40" s="212">
        <v>0.264373822735956</v>
      </c>
      <c r="E40" s="194">
        <f t="shared" si="0"/>
        <v>1.1738227359560094E-3</v>
      </c>
      <c r="I40" s="193">
        <f t="shared" si="1"/>
        <v>0</v>
      </c>
      <c r="K40" s="212">
        <f t="shared" si="2"/>
        <v>0</v>
      </c>
    </row>
    <row r="41" spans="1:11" x14ac:dyDescent="0.3">
      <c r="A41" s="188" t="s">
        <v>49</v>
      </c>
      <c r="B41" s="193">
        <f>VLOOKUP(Potentialesammenligning!$A$2:$A$49,'Potentialer og krav'!A42:M86,13,FALSE)</f>
        <v>4.4999999999999998E-2</v>
      </c>
      <c r="C41" s="212">
        <v>0.25011334145794495</v>
      </c>
      <c r="E41" s="194">
        <f t="shared" si="0"/>
        <v>0.20511334145794496</v>
      </c>
      <c r="I41" s="193">
        <f t="shared" si="1"/>
        <v>0</v>
      </c>
      <c r="K41" s="212">
        <f t="shared" si="2"/>
        <v>0</v>
      </c>
    </row>
    <row r="42" spans="1:11" x14ac:dyDescent="0.3">
      <c r="A42" s="188" t="s">
        <v>50</v>
      </c>
      <c r="B42" s="193">
        <f>VLOOKUP(Potentialesammenligning!$A$2:$A$49,'Potentialer og krav'!A43:M87,13,FALSE)</f>
        <v>0.2281</v>
      </c>
      <c r="C42" s="212">
        <v>0.242910434441163</v>
      </c>
      <c r="E42" s="194">
        <f t="shared" si="0"/>
        <v>1.4810434441163006E-2</v>
      </c>
      <c r="I42" s="193">
        <f t="shared" si="1"/>
        <v>0</v>
      </c>
      <c r="K42" s="212">
        <f t="shared" si="2"/>
        <v>0</v>
      </c>
    </row>
    <row r="43" spans="1:11" x14ac:dyDescent="0.3">
      <c r="A43" s="188" t="s">
        <v>51</v>
      </c>
      <c r="B43" s="193">
        <f>VLOOKUP(Potentialesammenligning!$A$2:$A$49,'Potentialer og krav'!A44:M88,13,FALSE)</f>
        <v>0.17774958650529499</v>
      </c>
      <c r="C43" s="212">
        <v>9.2467174202337965E-2</v>
      </c>
      <c r="E43" s="194">
        <f t="shared" si="0"/>
        <v>-8.5282412302957022E-2</v>
      </c>
      <c r="I43" s="193">
        <f t="shared" si="1"/>
        <v>2.4582412302957025E-2</v>
      </c>
      <c r="K43" s="212">
        <f t="shared" si="2"/>
        <v>2.4582412302957025E-2</v>
      </c>
    </row>
    <row r="44" spans="1:11" x14ac:dyDescent="0.3">
      <c r="A44" s="188" t="s">
        <v>40</v>
      </c>
      <c r="B44" s="193">
        <f>VLOOKUP(Potentialesammenligning!$A$2:$A$49,'Potentialer og krav'!A45:M89,13,FALSE)</f>
        <v>0.13250000000000001</v>
      </c>
      <c r="C44" s="212">
        <v>6.5885425174728951E-2</v>
      </c>
      <c r="E44" s="194">
        <f t="shared" si="0"/>
        <v>-6.6614574825271056E-2</v>
      </c>
      <c r="I44" s="193">
        <f t="shared" si="1"/>
        <v>5.9145748252710587E-3</v>
      </c>
      <c r="K44" s="212">
        <f t="shared" si="2"/>
        <v>5.9145748252710587E-3</v>
      </c>
    </row>
    <row r="45" spans="1:11" x14ac:dyDescent="0.3">
      <c r="A45" s="188" t="s">
        <v>41</v>
      </c>
      <c r="B45" s="193">
        <f>VLOOKUP(Potentialesammenligning!$A$2:$A$49,'Potentialer og krav'!A46:M90,13,FALSE)</f>
        <v>0.1067</v>
      </c>
      <c r="C45" s="212">
        <v>9.3858996659197946E-2</v>
      </c>
      <c r="E45" s="194">
        <f t="shared" si="0"/>
        <v>-1.2841003340802057E-2</v>
      </c>
      <c r="I45" s="193">
        <f t="shared" si="1"/>
        <v>0</v>
      </c>
      <c r="K45" s="212">
        <f t="shared" si="2"/>
        <v>-4.785899665919794E-2</v>
      </c>
    </row>
    <row r="46" spans="1:11" x14ac:dyDescent="0.3">
      <c r="A46" s="188" t="s">
        <v>42</v>
      </c>
      <c r="B46" s="193">
        <f>VLOOKUP(Potentialesammenligning!$A$2:$A$49,'Potentialer og krav'!A47:M91,13,FALSE)</f>
        <v>0.1822</v>
      </c>
      <c r="C46" s="212">
        <v>0.28040732064118801</v>
      </c>
      <c r="E46" s="194">
        <f t="shared" si="0"/>
        <v>9.8207320641188006E-2</v>
      </c>
      <c r="I46" s="193">
        <f t="shared" si="1"/>
        <v>0</v>
      </c>
      <c r="K46" s="212">
        <f t="shared" si="2"/>
        <v>0</v>
      </c>
    </row>
    <row r="47" spans="1:11" x14ac:dyDescent="0.3">
      <c r="A47" s="188" t="s">
        <v>52</v>
      </c>
      <c r="B47" s="193">
        <f>VLOOKUP(Potentialesammenligning!$A$2:$A$49,'Potentialer og krav'!A48:M92,13,FALSE)</f>
        <v>0.23100000000000001</v>
      </c>
      <c r="C47" s="212">
        <v>0.32460564273360903</v>
      </c>
      <c r="E47" s="194">
        <f t="shared" si="0"/>
        <v>9.3605642733609024E-2</v>
      </c>
      <c r="I47" s="193">
        <f t="shared" si="1"/>
        <v>0</v>
      </c>
      <c r="K47" s="212">
        <f t="shared" si="2"/>
        <v>0</v>
      </c>
    </row>
    <row r="48" spans="1:11" x14ac:dyDescent="0.3">
      <c r="A48" s="188" t="s">
        <v>43</v>
      </c>
      <c r="B48" s="193">
        <f>VLOOKUP(Potentialesammenligning!$A$2:$A$49,'Potentialer og krav'!A49:M93,13,FALSE)</f>
        <v>7.1099999999999997E-2</v>
      </c>
      <c r="C48" s="212">
        <v>0.17436960945018498</v>
      </c>
      <c r="E48" s="194">
        <f t="shared" si="0"/>
        <v>0.10326960945018498</v>
      </c>
      <c r="I48" s="193">
        <f t="shared" si="1"/>
        <v>0</v>
      </c>
      <c r="K48" s="212">
        <f t="shared" si="2"/>
        <v>0</v>
      </c>
    </row>
    <row r="49" spans="1:11" x14ac:dyDescent="0.3">
      <c r="A49" s="188" t="s">
        <v>45</v>
      </c>
      <c r="B49" s="193">
        <f>VLOOKUP(Potentialesammenligning!$A$2:$A$49,'Potentialer og krav'!A50:M94,13,FALSE)</f>
        <v>0.18060000000000001</v>
      </c>
      <c r="C49" s="212">
        <v>0.23221960134959496</v>
      </c>
      <c r="E49" s="194">
        <f t="shared" si="0"/>
        <v>5.1619601349594951E-2</v>
      </c>
      <c r="I49" s="193">
        <f t="shared" si="1"/>
        <v>0</v>
      </c>
      <c r="K49" s="212">
        <f t="shared" si="2"/>
        <v>0</v>
      </c>
    </row>
  </sheetData>
  <customSheetViews>
    <customSheetView guid="{88D7A6C6-1D77-4300-8600-F7BD640C7FF4}">
      <selection activeCell="C26" sqref="C26"/>
      <pageMargins left="0.7" right="0.7" top="0.75" bottom="0.75" header="0.3" footer="0.3"/>
    </customSheetView>
    <customSheetView guid="{78B6FDE5-7C04-44E0-987D-B0794FC3C0C0}" topLeftCell="A17">
      <selection activeCell="C50" sqref="C50"/>
      <pageMargins left="0.7" right="0.7" top="0.75" bottom="0.75" header="0.3" footer="0.3"/>
    </customSheetView>
    <customSheetView guid="{CA125778-F8FD-4378-B746-C94ABF8D8556}">
      <pane xSplit="1" ySplit="1" topLeftCell="B2" activePane="bottomRight" state="frozen"/>
      <selection pane="bottomRight" activeCell="Q15" sqref="Q15"/>
      <pageMargins left="0.7" right="0.7" top="0.75" bottom="0.75" header="0.3" footer="0.3"/>
    </customSheetView>
  </customSheetViews>
  <conditionalFormatting sqref="I2:I49">
    <cfRule type="cellIs" dxfId="3" priority="2" operator="greaterThan">
      <formula>0</formula>
    </cfRule>
    <cfRule type="cellIs" dxfId="2" priority="8" operator="lessThan">
      <formula>0</formula>
    </cfRule>
  </conditionalFormatting>
  <conditionalFormatting sqref="B2">
    <cfRule type="cellIs" dxfId="1" priority="7" operator="greaterThan">
      <formula>$C$2</formula>
    </cfRule>
  </conditionalFormatting>
  <conditionalFormatting sqref="E49">
    <cfRule type="cellIs" dxfId="0" priority="4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Potentialer og krav</vt:lpstr>
      <vt:lpstr>Netvolumenmål</vt:lpstr>
      <vt:lpstr>Costdrivere</vt:lpstr>
      <vt:lpstr>Renseanlæg</vt:lpstr>
      <vt:lpstr>Potentialesammenligning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Birgitte Klitsgaard</cp:lastModifiedBy>
  <cp:lastPrinted>2013-09-13T11:13:28Z</cp:lastPrinted>
  <dcterms:created xsi:type="dcterms:W3CDTF">2006-09-16T00:00:00Z</dcterms:created>
  <dcterms:modified xsi:type="dcterms:W3CDTF">2014-01-10T09:15:47Z</dcterms:modified>
</cp:coreProperties>
</file>