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20" yWindow="65521" windowWidth="24945" windowHeight="12795" activeTab="1"/>
  </bookViews>
  <sheets>
    <sheet name="Vand" sheetId="1" r:id="rId1"/>
    <sheet name="Potentialer og krav" sheetId="2" r:id="rId2"/>
  </sheets>
  <definedNames/>
  <calcPr fullCalcOnLoad="1"/>
</workbook>
</file>

<file path=xl/sharedStrings.xml><?xml version="1.0" encoding="utf-8"?>
<sst xmlns="http://schemas.openxmlformats.org/spreadsheetml/2006/main" count="534" uniqueCount="239">
  <si>
    <t>Selskabsnavn</t>
  </si>
  <si>
    <t>Fanø Vand A/S</t>
  </si>
  <si>
    <t>Halsnaes Forsyning A/S</t>
  </si>
  <si>
    <t>Hjørring Vandselskab A/S</t>
  </si>
  <si>
    <t>Jammerbugt Forsyning A/S</t>
  </si>
  <si>
    <t>Lemvig Vand og Spildevand A/S</t>
  </si>
  <si>
    <t>Randers Spildevand A/S</t>
  </si>
  <si>
    <t>Rebild Vand &amp; Spildevand A/S</t>
  </si>
  <si>
    <t>Skanderborg Forsyningsvirksomhed A/S</t>
  </si>
  <si>
    <t>Vandcenter Syd as</t>
  </si>
  <si>
    <t>FADO</t>
  </si>
  <si>
    <t>DOiPL</t>
  </si>
  <si>
    <t>Potentiale</t>
  </si>
  <si>
    <t>Luft</t>
  </si>
  <si>
    <t>Albertslund Vand A/S</t>
  </si>
  <si>
    <t>Andelsselskaber Stenløse Vandværk</t>
  </si>
  <si>
    <t>Andelsselskabet Ejby Vandværk</t>
  </si>
  <si>
    <t>Andelsselskabet Gram Vandværk</t>
  </si>
  <si>
    <t>Andelsselskabet Gørlev Vandforsyning</t>
  </si>
  <si>
    <t>Andelsselskabet Hammerum Vandværk</t>
  </si>
  <si>
    <t>Andelsselskabet Klinting Vandværk</t>
  </si>
  <si>
    <t>Andelsselskabet Ll. Skensved Vandværk</t>
  </si>
  <si>
    <t>Arwos Vand A/S</t>
  </si>
  <si>
    <t>Assens Vandværk A/S</t>
  </si>
  <si>
    <t>Billund Drikkevand A/S</t>
  </si>
  <si>
    <t>Bjerringbro Fællesvandværk</t>
  </si>
  <si>
    <t>Bjøvlund Vandværk</t>
  </si>
  <si>
    <t>Bogense Forsyningsselskab A.m.b.a</t>
  </si>
  <si>
    <t>Bolderslev Vandværk</t>
  </si>
  <si>
    <t>Bording Vandværk A.m.b.a</t>
  </si>
  <si>
    <t>Branderup Vandværk</t>
  </si>
  <si>
    <t>Bredebro Andelsvandværk</t>
  </si>
  <si>
    <t>Brædstrup Vandværk Amba</t>
  </si>
  <si>
    <t>Brønderslev Vand A/S</t>
  </si>
  <si>
    <t>Brørup Vandværk A.m.b.a.</t>
  </si>
  <si>
    <t>Dianalund Vandværk</t>
  </si>
  <si>
    <t>Dronninglund Vandværk I/S</t>
  </si>
  <si>
    <t>Egedal Vandforsyning A/S</t>
  </si>
  <si>
    <t>Egå vandværk a.m.b.a</t>
  </si>
  <si>
    <t>Energi Viborg Vand A/S</t>
  </si>
  <si>
    <t>Farsø Vandværk I/S</t>
  </si>
  <si>
    <t>Faxe Vandværk Smba</t>
  </si>
  <si>
    <t>Fonden Djurs Vand</t>
  </si>
  <si>
    <t>Frederiksberg Vand A/S</t>
  </si>
  <si>
    <t>Frederiksberg Vandværk</t>
  </si>
  <si>
    <t>Frederikssund Vand A/S</t>
  </si>
  <si>
    <t>Galten Vandværk</t>
  </si>
  <si>
    <t>Gilleleje Vandværk a.m.b.a.</t>
  </si>
  <si>
    <t>Give Vandværk A.m.b.a</t>
  </si>
  <si>
    <t>Gl. Hørning Vandværk</t>
  </si>
  <si>
    <t>Gladsaxe Vand A/S</t>
  </si>
  <si>
    <t>Glamsbjerg vandværk</t>
  </si>
  <si>
    <t>Glostrup Vand a/s</t>
  </si>
  <si>
    <t>Grenaa &amp; Anholt Vandforsyning a.m.b.a</t>
  </si>
  <si>
    <t>Greve Vandværk A.m.b.a.</t>
  </si>
  <si>
    <t>Hadsund Vandværk a.m.b.a.</t>
  </si>
  <si>
    <t>Halsnæs Vandforsyning a.m.b.a.</t>
  </si>
  <si>
    <t>Hasselager-Kolt Vandværk A.M.B.A.</t>
  </si>
  <si>
    <t>Helle Vest Vandværk</t>
  </si>
  <si>
    <t>Herlev Vand A/S</t>
  </si>
  <si>
    <t>Hillerød Vand A/S</t>
  </si>
  <si>
    <t>Hinnerup Vandværk A.m.b.a.</t>
  </si>
  <si>
    <t>Hjallerup Vandforsyning</t>
  </si>
  <si>
    <t>Hjerting Vandværk Amba</t>
  </si>
  <si>
    <t>Holbæk Vand A/S</t>
  </si>
  <si>
    <t>Hornbæk Vandværk, a.m.b.a.</t>
  </si>
  <si>
    <t>Hornslet Vandværk A.m.b.a</t>
  </si>
  <si>
    <t>HTK Vand A/S</t>
  </si>
  <si>
    <t>Hurup Vandværk</t>
  </si>
  <si>
    <t>Høng Vandværk a.m.b.a.</t>
  </si>
  <si>
    <t>Haarby Vandværk</t>
  </si>
  <si>
    <t>I/S Ørslev Vandværk</t>
  </si>
  <si>
    <t>Kalundborg Overfladevand A/S</t>
  </si>
  <si>
    <t>Køge Vand A/S</t>
  </si>
  <si>
    <t>Langeland Vand ApS</t>
  </si>
  <si>
    <t>Langeskov Vandværk</t>
  </si>
  <si>
    <t>Lejre Vand A/S</t>
  </si>
  <si>
    <t>Lillerød Andelsvandværk a.m.b.a.</t>
  </si>
  <si>
    <t>Løgten Skødstrup Vandværk A.m.b.a.</t>
  </si>
  <si>
    <t>Løkken Vandværk</t>
  </si>
  <si>
    <t>Mariager Vand Amba</t>
  </si>
  <si>
    <t>Midtfyns Vandforsyning A.m.b.A.</t>
  </si>
  <si>
    <t>Mårslet Vandværk</t>
  </si>
  <si>
    <t>Nordenskov Vandværk</t>
  </si>
  <si>
    <t>Nr. Uttrup Vandværk Amba</t>
  </si>
  <si>
    <t>Nybrovejens Vandværk A.m.b.a</t>
  </si>
  <si>
    <t>Nyhuse Vandværk a.m.b.a.</t>
  </si>
  <si>
    <t>Næsby Vandværk</t>
  </si>
  <si>
    <t>Odder Vandværk A.m.b.a.</t>
  </si>
  <si>
    <t>Otterup Vandværk</t>
  </si>
  <si>
    <t>Oxby Og Ho Vandværk a.m.b.a.</t>
  </si>
  <si>
    <t>Padborg Vandværk A.m.b.a</t>
  </si>
  <si>
    <t>Ringkjøbing-Skjern Vand A/S</t>
  </si>
  <si>
    <t>Rødding Vandværk Amba</t>
  </si>
  <si>
    <t>Sdr. Felding Vandværk</t>
  </si>
  <si>
    <t>Sindal Vandværk Amba</t>
  </si>
  <si>
    <t>Skovlund/Ansager Vandværk</t>
  </si>
  <si>
    <t>Skærbæk Vandværk</t>
  </si>
  <si>
    <t>Snejbjerg Vandværk A.m.b.a.</t>
  </si>
  <si>
    <t>Solrød Vandværk a.m.b.a.</t>
  </si>
  <si>
    <t>Stenlien Vandværk Amba</t>
  </si>
  <si>
    <t>Strømmen Vandværk</t>
  </si>
  <si>
    <t>Svendborg Vand A/S</t>
  </si>
  <si>
    <t>Svinninge Vandværk</t>
  </si>
  <si>
    <t>Thisted Drikkevand A/S</t>
  </si>
  <si>
    <t>Tinglev Vandværk</t>
  </si>
  <si>
    <t>Tistrup Vandværk</t>
  </si>
  <si>
    <t>Toftlund Vand Amba</t>
  </si>
  <si>
    <t>Tune Vandværk A.m.b.a.</t>
  </si>
  <si>
    <t>Udsholt Vandværk A.m.b.a.</t>
  </si>
  <si>
    <t>Ulsted-Ålebæk Vandværk A.m.b.a.</t>
  </si>
  <si>
    <t>Vallensbæk Vandforsyning A/S</t>
  </si>
  <si>
    <t>Vandforsyningen Brovst og Omegn</t>
  </si>
  <si>
    <t>Vandforsyningen Østlolland a.m.b.a.</t>
  </si>
  <si>
    <t>Vandfællesskabet Nordvestsjælland a.m.b.a.</t>
  </si>
  <si>
    <t>Vandværket Lyngen</t>
  </si>
  <si>
    <t>VARDE VANDFORSYNING A/S</t>
  </si>
  <si>
    <t>Vemb Vandværk</t>
  </si>
  <si>
    <t>Verdo Vand A/S</t>
  </si>
  <si>
    <t>Videbæk Vand A/S</t>
  </si>
  <si>
    <t>Vodskov Vandværk</t>
  </si>
  <si>
    <t>Vrå Vandværk Amba</t>
  </si>
  <si>
    <t>Østvendsyssel Råvandsforsyningsselskab I/S</t>
  </si>
  <si>
    <t>Net</t>
  </si>
  <si>
    <t>Alder</t>
  </si>
  <si>
    <t>Haarlev vandværk</t>
  </si>
  <si>
    <t>Ulfborg vandværk AMBA</t>
  </si>
  <si>
    <t>FADO_2011</t>
  </si>
  <si>
    <t>Ny_DOiPL</t>
  </si>
  <si>
    <t>Net_plus30</t>
  </si>
  <si>
    <t>Alder_plus30</t>
  </si>
  <si>
    <t>Vestforsyning Vand A/S</t>
  </si>
  <si>
    <t>Christiansfeld Vandforsyning A/S (front)</t>
  </si>
  <si>
    <t>Sjælsø Vand A/S (front)</t>
  </si>
  <si>
    <t>Vestforsyning Vand A/S (front)</t>
  </si>
  <si>
    <t>V1</t>
  </si>
  <si>
    <t>Umiddelbare krav i pct.</t>
  </si>
  <si>
    <t>Effektiviseringskrav i pct.</t>
  </si>
  <si>
    <t>Krav i kr.</t>
  </si>
  <si>
    <t>Effektive driftsomk.</t>
  </si>
  <si>
    <t>Ny_DOiPL i 2012-priser</t>
  </si>
  <si>
    <t>Selskab navn</t>
  </si>
  <si>
    <t>Boring</t>
  </si>
  <si>
    <t>Vandværk</t>
  </si>
  <si>
    <t>Trykforøgere</t>
  </si>
  <si>
    <t>Rentvandsledning</t>
  </si>
  <si>
    <t>Stik</t>
  </si>
  <si>
    <t>målere</t>
  </si>
  <si>
    <t>Trykforøgere (sammenslåede kategorier)</t>
  </si>
  <si>
    <t>Netvolumen bidrag</t>
  </si>
  <si>
    <t>Alder rentvandsledning</t>
  </si>
  <si>
    <t>Total netvolumenmål og alderskorrigeret netvolumenmål</t>
  </si>
  <si>
    <t>Løftehøjde i alt (m)</t>
  </si>
  <si>
    <r>
      <t>Oppumpet vandmængde i alt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/år)</t>
    </r>
  </si>
  <si>
    <r>
      <t>Udpumpet vandmængde i alt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/år)</t>
    </r>
  </si>
  <si>
    <r>
      <t>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</si>
  <si>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51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</si>
  <si>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101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</si>
  <si>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201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</si>
  <si>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601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max</t>
    </r>
  </si>
  <si>
    <t>Land (længde i km)</t>
  </si>
  <si>
    <t>By (længde i km)</t>
  </si>
  <si>
    <t>City (længde i km)</t>
  </si>
  <si>
    <t>Indre city (længde i km)</t>
  </si>
  <si>
    <t>Land (stk)</t>
  </si>
  <si>
    <t>By (stk)</t>
  </si>
  <si>
    <t>City (stk)</t>
  </si>
  <si>
    <t>Indre city (stk)</t>
  </si>
  <si>
    <t>Antal målere (stk)</t>
  </si>
  <si>
    <r>
      <t>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</si>
  <si>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r>
      <t>101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- 600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 (stk)</t>
    </r>
  </si>
  <si>
    <t>Særlige forhold</t>
  </si>
  <si>
    <t>BORING</t>
  </si>
  <si>
    <t>VANDV.</t>
  </si>
  <si>
    <t>TRYKFOR</t>
  </si>
  <si>
    <t>RENTLED</t>
  </si>
  <si>
    <t>STIK</t>
  </si>
  <si>
    <t>KUNDER</t>
  </si>
  <si>
    <t>ALDER RENTVANDSLEDNINGER</t>
  </si>
  <si>
    <t>NETVOLUMENMÅL</t>
  </si>
  <si>
    <t>ALDERSKORRIGERET NETVOLUMENMÅL</t>
  </si>
  <si>
    <t>Haarlev Vandværk</t>
  </si>
  <si>
    <t>Ulfborg Vandværk AMBA</t>
  </si>
  <si>
    <t>Selskab</t>
  </si>
  <si>
    <t>Vandv</t>
  </si>
  <si>
    <t>Trykfor</t>
  </si>
  <si>
    <t>Rentled</t>
  </si>
  <si>
    <t>Kunder</t>
  </si>
  <si>
    <t>Varians</t>
  </si>
  <si>
    <t>Standardafvigelse</t>
  </si>
  <si>
    <t>Middelværdi</t>
  </si>
  <si>
    <t>Standardafvigelse med negativt fortegn</t>
  </si>
  <si>
    <t>Costdriverandel</t>
  </si>
  <si>
    <t>Costdriverafvigelser</t>
  </si>
  <si>
    <t>TILLÆG TIL NETVOLUMENMÅL</t>
  </si>
  <si>
    <t>Særlige forhold indsendt i 2012</t>
  </si>
  <si>
    <t>FADO_2012</t>
  </si>
  <si>
    <t>DOiPL_2012</t>
  </si>
  <si>
    <t>DOiPL_korrektion</t>
  </si>
  <si>
    <t>Prisudvikling fra 2011 til 2012(ny DOiPL)</t>
  </si>
  <si>
    <t>Prisudvikling fra 2010 til 2011(FADO 10)</t>
  </si>
  <si>
    <t>Prisudvikling fra 2011 til 2012(FADO 10)</t>
  </si>
  <si>
    <t>Prisudvikling fra 2011 til 2012(DOiPL)</t>
  </si>
  <si>
    <t>DOiPL_korrektion til effektive driftsomk.</t>
  </si>
  <si>
    <t>Sum af Stik og Kunder</t>
  </si>
  <si>
    <t>Sum</t>
  </si>
  <si>
    <t>Reduktion</t>
  </si>
  <si>
    <t>Rå potentiale 2012</t>
  </si>
  <si>
    <t>Rå potentiale + særlige forhold 2012</t>
  </si>
  <si>
    <t>Rå potentiale 2012 i kr.</t>
  </si>
  <si>
    <t>Rå potentiale + særlige forhold 2012 i kr.</t>
  </si>
  <si>
    <t>Korrigerede potentiale i pct.</t>
  </si>
  <si>
    <t>Korrigerede Potentiale i kr.</t>
  </si>
  <si>
    <t>Afvigelse fra standardafvigelse</t>
  </si>
  <si>
    <t>Korrigerede potentiale efter reduktion i pct.</t>
  </si>
  <si>
    <t>Borup Vandværk</t>
  </si>
  <si>
    <t>Fjerritslev Vand Amba</t>
  </si>
  <si>
    <t>Hæstrup Vandværk I/S</t>
  </si>
  <si>
    <t>Kvarmløse-Tølløse Vandværk</t>
  </si>
  <si>
    <t>Læsø Vand A/S</t>
  </si>
  <si>
    <t>Mørkøv Vandværk</t>
  </si>
  <si>
    <t>Tårs Vandværk Amba</t>
  </si>
  <si>
    <t>Ølgod Vandværk Amba</t>
  </si>
  <si>
    <t>Bramdrupdam Vandværk I/S</t>
  </si>
  <si>
    <t>Fensmark Vandværk A.m.b.a</t>
  </si>
  <si>
    <t>Juelsminde Grundejerforening</t>
  </si>
  <si>
    <t>Strandhuse Nr. Bjert Vandværk</t>
  </si>
  <si>
    <t>Søndersø Vandværk</t>
  </si>
  <si>
    <t>VSK</t>
  </si>
  <si>
    <t xml:space="preserve">Skønnet </t>
  </si>
  <si>
    <t>totalt skøn(12+13)</t>
  </si>
  <si>
    <t>Sdr. Felding Vandværk(front)</t>
  </si>
  <si>
    <t>Borup Vandværk(front)</t>
  </si>
  <si>
    <t>ingen</t>
  </si>
  <si>
    <t>potentialer</t>
  </si>
  <si>
    <t>krav</t>
  </si>
  <si>
    <t>netvolumenmål for ledninger</t>
  </si>
  <si>
    <t xml:space="preserve">  </t>
  </si>
  <si>
    <t>helle Vest Vandværk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</si>
</sst>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.000"/>
    <numFmt numFmtId="171" formatCode="#,##0.0000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3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0" fontId="0" fillId="0" borderId="0" xfId="55" applyNumberFormat="1" applyFont="1" applyFill="1" applyAlignment="1">
      <alignment/>
    </xf>
    <xf numFmtId="10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3" fontId="38" fillId="0" borderId="0" xfId="0" applyNumberFormat="1" applyFont="1" applyFill="1" applyAlignment="1">
      <alignment horizontal="center" wrapText="1"/>
    </xf>
    <xf numFmtId="0" fontId="38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2" fontId="3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0" fontId="3" fillId="0" borderId="0" xfId="49" applyFont="1" applyFill="1" applyBorder="1" applyAlignment="1">
      <alignment vertical="center"/>
      <protection/>
    </xf>
    <xf numFmtId="3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2" fillId="0" borderId="0" xfId="49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38" fillId="0" borderId="0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8"/>
  <sheetViews>
    <sheetView zoomScale="85" zoomScaleNormal="85" zoomScalePageLayoutView="0" workbookViewId="0" topLeftCell="A1">
      <pane xSplit="1" ySplit="1" topLeftCell="G10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46" sqref="H146"/>
    </sheetView>
  </sheetViews>
  <sheetFormatPr defaultColWidth="9.140625" defaultRowHeight="15"/>
  <cols>
    <col min="1" max="1" width="41.7109375" style="25" bestFit="1" customWidth="1"/>
    <col min="2" max="2" width="11.00390625" style="10" bestFit="1" customWidth="1"/>
    <col min="3" max="3" width="11.00390625" style="10" customWidth="1"/>
    <col min="4" max="5" width="12.00390625" style="10" bestFit="1" customWidth="1"/>
    <col min="6" max="6" width="12.00390625" style="10" customWidth="1"/>
    <col min="7" max="7" width="9.140625" style="25" customWidth="1"/>
    <col min="8" max="8" width="12.140625" style="10" customWidth="1"/>
    <col min="9" max="9" width="9.140625" style="25" customWidth="1"/>
    <col min="10" max="11" width="15.7109375" style="10" customWidth="1"/>
    <col min="12" max="12" width="9.140625" style="25" customWidth="1"/>
    <col min="13" max="14" width="15.7109375" style="10" customWidth="1"/>
    <col min="15" max="15" width="9.140625" style="25" customWidth="1"/>
    <col min="16" max="16" width="9.140625" style="10" customWidth="1"/>
    <col min="17" max="17" width="10.28125" style="25" customWidth="1"/>
    <col min="18" max="27" width="15.7109375" style="10" customWidth="1"/>
    <col min="28" max="28" width="9.140625" style="25" customWidth="1"/>
    <col min="29" max="29" width="39.8515625" style="13" bestFit="1" customWidth="1"/>
    <col min="30" max="30" width="16.421875" style="3" customWidth="1"/>
    <col min="31" max="31" width="31.57421875" style="3" customWidth="1"/>
    <col min="32" max="32" width="31.421875" style="3" customWidth="1"/>
    <col min="33" max="33" width="18.28125" style="3" customWidth="1"/>
    <col min="34" max="34" width="20.28125" style="3" customWidth="1"/>
    <col min="35" max="36" width="21.421875" style="3" customWidth="1"/>
    <col min="37" max="37" width="13.421875" style="3" customWidth="1"/>
    <col min="38" max="38" width="17.28125" style="3" customWidth="1"/>
    <col min="39" max="39" width="15.421875" style="3" customWidth="1"/>
    <col min="40" max="40" width="16.421875" style="3" customWidth="1"/>
    <col min="41" max="41" width="20.8515625" style="3" customWidth="1"/>
    <col min="42" max="42" width="9.421875" style="3" customWidth="1"/>
    <col min="43" max="43" width="7.57421875" style="3" customWidth="1"/>
    <col min="44" max="44" width="9.28125" style="3" customWidth="1"/>
    <col min="45" max="45" width="12.8515625" style="3" customWidth="1"/>
    <col min="46" max="46" width="15.8515625" style="3" customWidth="1"/>
    <col min="47" max="47" width="19.28125" style="3" customWidth="1"/>
    <col min="48" max="48" width="21.421875" style="3" customWidth="1"/>
    <col min="49" max="49" width="13.421875" style="3" customWidth="1"/>
    <col min="50" max="50" width="13.7109375" style="3" customWidth="1"/>
    <col min="51" max="51" width="10.28125" style="3" bestFit="1" customWidth="1"/>
    <col min="52" max="52" width="11.28125" style="3" bestFit="1" customWidth="1"/>
    <col min="53" max="53" width="9.7109375" style="3" bestFit="1" customWidth="1"/>
    <col min="54" max="55" width="10.28125" style="3" bestFit="1" customWidth="1"/>
    <col min="56" max="56" width="9.28125" style="3" bestFit="1" customWidth="1"/>
    <col min="57" max="57" width="30.28125" style="3" bestFit="1" customWidth="1"/>
    <col min="58" max="58" width="28.7109375" style="3" bestFit="1" customWidth="1"/>
    <col min="59" max="59" width="38.57421875" style="3" bestFit="1" customWidth="1"/>
    <col min="60" max="60" width="38.57421875" style="3" customWidth="1"/>
    <col min="61" max="61" width="11.7109375" style="25" bestFit="1" customWidth="1"/>
    <col min="62" max="62" width="9.140625" style="37" customWidth="1"/>
    <col min="63" max="63" width="43.57421875" style="25" bestFit="1" customWidth="1"/>
    <col min="64" max="64" width="11.8515625" style="10" bestFit="1" customWidth="1"/>
    <col min="65" max="65" width="10.7109375" style="10" bestFit="1" customWidth="1"/>
    <col min="66" max="69" width="9.7109375" style="10" bestFit="1" customWidth="1"/>
    <col min="70" max="70" width="9.140625" style="25" customWidth="1"/>
    <col min="71" max="71" width="9.7109375" style="10" bestFit="1" customWidth="1"/>
    <col min="72" max="78" width="9.140625" style="10" customWidth="1"/>
    <col min="79" max="79" width="9.140625" style="25" customWidth="1"/>
    <col min="80" max="80" width="9.140625" style="10" customWidth="1"/>
    <col min="81" max="81" width="10.140625" style="10" bestFit="1" customWidth="1"/>
    <col min="82" max="16384" width="9.140625" style="25" customWidth="1"/>
  </cols>
  <sheetData>
    <row r="1" spans="1:81" s="22" customFormat="1" ht="45">
      <c r="A1" s="22" t="s">
        <v>0</v>
      </c>
      <c r="B1" s="27" t="s">
        <v>10</v>
      </c>
      <c r="C1" s="27" t="s">
        <v>127</v>
      </c>
      <c r="D1" s="27" t="s">
        <v>11</v>
      </c>
      <c r="E1" s="27" t="s">
        <v>12</v>
      </c>
      <c r="F1" s="27" t="s">
        <v>13</v>
      </c>
      <c r="H1" s="27" t="s">
        <v>128</v>
      </c>
      <c r="J1" s="27" t="s">
        <v>123</v>
      </c>
      <c r="K1" s="27" t="s">
        <v>124</v>
      </c>
      <c r="M1" s="27" t="s">
        <v>129</v>
      </c>
      <c r="N1" s="27" t="s">
        <v>130</v>
      </c>
      <c r="P1" s="27" t="s">
        <v>138</v>
      </c>
      <c r="R1" s="27" t="s">
        <v>200</v>
      </c>
      <c r="S1" s="27" t="s">
        <v>201</v>
      </c>
      <c r="T1" s="27" t="s">
        <v>139</v>
      </c>
      <c r="U1" s="27" t="s">
        <v>199</v>
      </c>
      <c r="V1" s="27" t="s">
        <v>140</v>
      </c>
      <c r="W1" s="27" t="s">
        <v>196</v>
      </c>
      <c r="X1" s="27" t="s">
        <v>202</v>
      </c>
      <c r="Y1" s="27" t="s">
        <v>197</v>
      </c>
      <c r="Z1" s="27" t="s">
        <v>198</v>
      </c>
      <c r="AA1" s="27" t="s">
        <v>203</v>
      </c>
      <c r="AC1" s="28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4" t="s">
        <v>150</v>
      </c>
      <c r="BF1" s="5" t="s">
        <v>179</v>
      </c>
      <c r="BG1" s="5" t="s">
        <v>180</v>
      </c>
      <c r="BH1" s="4" t="s">
        <v>195</v>
      </c>
      <c r="BJ1" s="29"/>
      <c r="BK1" s="22" t="s">
        <v>183</v>
      </c>
      <c r="BL1" s="27" t="s">
        <v>142</v>
      </c>
      <c r="BM1" s="27" t="s">
        <v>184</v>
      </c>
      <c r="BN1" s="27" t="s">
        <v>185</v>
      </c>
      <c r="BO1" s="27" t="s">
        <v>186</v>
      </c>
      <c r="BP1" s="27" t="s">
        <v>146</v>
      </c>
      <c r="BQ1" s="27" t="s">
        <v>187</v>
      </c>
      <c r="BS1" s="27" t="s">
        <v>204</v>
      </c>
      <c r="BT1" s="27"/>
      <c r="BU1" s="27" t="s">
        <v>142</v>
      </c>
      <c r="BV1" s="27" t="s">
        <v>184</v>
      </c>
      <c r="BW1" s="27" t="s">
        <v>185</v>
      </c>
      <c r="BX1" s="27" t="s">
        <v>186</v>
      </c>
      <c r="BY1" s="27" t="s">
        <v>146</v>
      </c>
      <c r="BZ1" s="27" t="s">
        <v>187</v>
      </c>
      <c r="CB1" s="27" t="s">
        <v>204</v>
      </c>
      <c r="CC1" s="27" t="s">
        <v>206</v>
      </c>
    </row>
    <row r="2" spans="1:81" s="22" customFormat="1" ht="15" customHeight="1">
      <c r="A2" s="30" t="s">
        <v>132</v>
      </c>
      <c r="B2" s="23">
        <v>935221</v>
      </c>
      <c r="C2" s="23"/>
      <c r="D2" s="23"/>
      <c r="E2" s="23"/>
      <c r="F2" s="23"/>
      <c r="G2" s="23"/>
      <c r="H2" s="23">
        <f>B2</f>
        <v>935221</v>
      </c>
      <c r="I2" s="23"/>
      <c r="J2" s="23">
        <v>1564116.829971708</v>
      </c>
      <c r="K2" s="23">
        <v>1634500.2156043889</v>
      </c>
      <c r="L2" s="23"/>
      <c r="M2" s="23">
        <f aca="true" t="shared" si="0" ref="M2:N4">J2</f>
        <v>1564116.829971708</v>
      </c>
      <c r="N2" s="23">
        <f t="shared" si="0"/>
        <v>1634500.2156043889</v>
      </c>
      <c r="P2" s="23">
        <v>0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C2" s="1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J2" s="29"/>
      <c r="BL2" s="27"/>
      <c r="BM2" s="27"/>
      <c r="BN2" s="27"/>
      <c r="BO2" s="27"/>
      <c r="BP2" s="27"/>
      <c r="BQ2" s="27"/>
      <c r="BS2" s="27"/>
      <c r="BT2" s="27"/>
      <c r="BU2" s="27"/>
      <c r="BV2" s="27"/>
      <c r="BW2" s="27"/>
      <c r="BX2" s="27"/>
      <c r="BY2" s="27"/>
      <c r="BZ2" s="27"/>
      <c r="CB2" s="27"/>
      <c r="CC2" s="27"/>
    </row>
    <row r="3" spans="1:81" s="22" customFormat="1" ht="15" customHeight="1">
      <c r="A3" s="30" t="s">
        <v>133</v>
      </c>
      <c r="B3" s="23">
        <v>13716358</v>
      </c>
      <c r="C3" s="23"/>
      <c r="D3" s="23"/>
      <c r="E3" s="23"/>
      <c r="F3" s="23"/>
      <c r="G3" s="23"/>
      <c r="H3" s="23">
        <f>B3</f>
        <v>13716358</v>
      </c>
      <c r="I3" s="23"/>
      <c r="J3" s="23">
        <v>20169499.025422256</v>
      </c>
      <c r="K3" s="23">
        <v>27106180.957952816</v>
      </c>
      <c r="L3" s="23"/>
      <c r="M3" s="23">
        <f t="shared" si="0"/>
        <v>20169499.025422256</v>
      </c>
      <c r="N3" s="23">
        <f t="shared" si="0"/>
        <v>27106180.957952816</v>
      </c>
      <c r="P3" s="23">
        <v>0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C3" s="31" t="s">
        <v>141</v>
      </c>
      <c r="AD3" s="56" t="s">
        <v>142</v>
      </c>
      <c r="AE3" s="56"/>
      <c r="AF3" s="4" t="s">
        <v>143</v>
      </c>
      <c r="AG3" s="56" t="s">
        <v>144</v>
      </c>
      <c r="AH3" s="56"/>
      <c r="AI3" s="56"/>
      <c r="AJ3" s="56"/>
      <c r="AK3" s="56"/>
      <c r="AL3" s="56" t="s">
        <v>145</v>
      </c>
      <c r="AM3" s="56"/>
      <c r="AN3" s="56"/>
      <c r="AO3" s="56"/>
      <c r="AP3" s="56" t="s">
        <v>146</v>
      </c>
      <c r="AQ3" s="56"/>
      <c r="AR3" s="56"/>
      <c r="AS3" s="56"/>
      <c r="AT3" s="4" t="s">
        <v>147</v>
      </c>
      <c r="AU3" s="56" t="s">
        <v>148</v>
      </c>
      <c r="AV3" s="56"/>
      <c r="AW3" s="56"/>
      <c r="AX3" s="56" t="s">
        <v>149</v>
      </c>
      <c r="AY3" s="56"/>
      <c r="AZ3" s="56"/>
      <c r="BA3" s="56"/>
      <c r="BB3" s="56"/>
      <c r="BC3" s="56"/>
      <c r="BD3" s="56"/>
      <c r="BE3" s="4" t="s">
        <v>150</v>
      </c>
      <c r="BF3" s="56" t="s">
        <v>151</v>
      </c>
      <c r="BG3" s="56"/>
      <c r="BH3" s="4" t="s">
        <v>195</v>
      </c>
      <c r="BJ3" s="29"/>
      <c r="BL3" s="55" t="s">
        <v>192</v>
      </c>
      <c r="BM3" s="55"/>
      <c r="BN3" s="55"/>
      <c r="BO3" s="55"/>
      <c r="BP3" s="55"/>
      <c r="BQ3" s="55"/>
      <c r="BR3" s="15"/>
      <c r="BS3" s="54"/>
      <c r="BT3" s="27"/>
      <c r="BU3" s="55" t="s">
        <v>193</v>
      </c>
      <c r="BV3" s="55"/>
      <c r="BW3" s="55"/>
      <c r="BX3" s="55"/>
      <c r="BY3" s="55"/>
      <c r="BZ3" s="55"/>
      <c r="CA3" s="15"/>
      <c r="CB3" s="54"/>
      <c r="CC3" s="54"/>
    </row>
    <row r="4" spans="1:81" s="28" customFormat="1" ht="15" customHeight="1">
      <c r="A4" s="32" t="s">
        <v>134</v>
      </c>
      <c r="B4" s="24">
        <v>14982685</v>
      </c>
      <c r="C4" s="24"/>
      <c r="D4" s="24"/>
      <c r="E4" s="24"/>
      <c r="F4" s="24"/>
      <c r="G4" s="24"/>
      <c r="H4" s="24">
        <f>B4</f>
        <v>14982685</v>
      </c>
      <c r="I4" s="24"/>
      <c r="J4" s="24">
        <v>25283998.102670703</v>
      </c>
      <c r="K4" s="24">
        <v>25038015.741665874</v>
      </c>
      <c r="L4" s="24"/>
      <c r="M4" s="23">
        <f t="shared" si="0"/>
        <v>25283998.102670703</v>
      </c>
      <c r="N4" s="23">
        <f t="shared" si="0"/>
        <v>25038015.741665874</v>
      </c>
      <c r="P4" s="24">
        <v>0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C4" s="12" t="s">
        <v>141</v>
      </c>
      <c r="AD4" s="5" t="s">
        <v>152</v>
      </c>
      <c r="AE4" s="5" t="s">
        <v>153</v>
      </c>
      <c r="AF4" s="5" t="s">
        <v>154</v>
      </c>
      <c r="AG4" s="5" t="s">
        <v>155</v>
      </c>
      <c r="AH4" s="5" t="s">
        <v>156</v>
      </c>
      <c r="AI4" s="5" t="s">
        <v>157</v>
      </c>
      <c r="AJ4" s="5" t="s">
        <v>158</v>
      </c>
      <c r="AK4" s="5" t="s">
        <v>159</v>
      </c>
      <c r="AL4" s="5" t="s">
        <v>160</v>
      </c>
      <c r="AM4" s="5" t="s">
        <v>161</v>
      </c>
      <c r="AN4" s="5" t="s">
        <v>162</v>
      </c>
      <c r="AO4" s="5" t="s">
        <v>163</v>
      </c>
      <c r="AP4" s="5" t="s">
        <v>164</v>
      </c>
      <c r="AQ4" s="5" t="s">
        <v>165</v>
      </c>
      <c r="AR4" s="5" t="s">
        <v>166</v>
      </c>
      <c r="AS4" s="5" t="s">
        <v>167</v>
      </c>
      <c r="AT4" s="5" t="s">
        <v>168</v>
      </c>
      <c r="AU4" s="5" t="s">
        <v>169</v>
      </c>
      <c r="AV4" s="5" t="s">
        <v>170</v>
      </c>
      <c r="AW4" s="5" t="s">
        <v>159</v>
      </c>
      <c r="AX4" s="5" t="s">
        <v>171</v>
      </c>
      <c r="AY4" s="5" t="s">
        <v>172</v>
      </c>
      <c r="AZ4" s="5" t="s">
        <v>173</v>
      </c>
      <c r="BA4" s="5" t="s">
        <v>174</v>
      </c>
      <c r="BB4" s="5" t="s">
        <v>175</v>
      </c>
      <c r="BC4" s="5" t="s">
        <v>176</v>
      </c>
      <c r="BD4" s="5" t="s">
        <v>177</v>
      </c>
      <c r="BE4" s="5" t="s">
        <v>178</v>
      </c>
      <c r="BF4" s="5" t="s">
        <v>179</v>
      </c>
      <c r="BG4" s="5" t="s">
        <v>180</v>
      </c>
      <c r="BH4" s="5" t="s">
        <v>194</v>
      </c>
      <c r="BJ4" s="34"/>
      <c r="BK4" s="28" t="s">
        <v>183</v>
      </c>
      <c r="BL4" s="33" t="s">
        <v>142</v>
      </c>
      <c r="BM4" s="33" t="s">
        <v>184</v>
      </c>
      <c r="BN4" s="33" t="s">
        <v>185</v>
      </c>
      <c r="BO4" s="33" t="s">
        <v>186</v>
      </c>
      <c r="BP4" s="33" t="s">
        <v>146</v>
      </c>
      <c r="BQ4" s="33" t="s">
        <v>187</v>
      </c>
      <c r="BS4" s="33" t="s">
        <v>205</v>
      </c>
      <c r="BT4" s="33"/>
      <c r="BU4" s="33" t="s">
        <v>142</v>
      </c>
      <c r="BV4" s="33" t="s">
        <v>184</v>
      </c>
      <c r="BW4" s="33" t="s">
        <v>185</v>
      </c>
      <c r="BX4" s="33" t="s">
        <v>186</v>
      </c>
      <c r="BY4" s="33" t="s">
        <v>146</v>
      </c>
      <c r="BZ4" s="33" t="s">
        <v>187</v>
      </c>
      <c r="CB4" s="33" t="s">
        <v>205</v>
      </c>
      <c r="CC4" s="33" t="s">
        <v>206</v>
      </c>
    </row>
    <row r="5" spans="1:81" s="30" customFormat="1" ht="15" customHeight="1">
      <c r="A5" s="1" t="s">
        <v>14</v>
      </c>
      <c r="B5" s="10">
        <v>11395174</v>
      </c>
      <c r="C5" s="10">
        <f>B5*1.005</f>
        <v>11452149.87</v>
      </c>
      <c r="D5" s="10">
        <v>10423215.0288168</v>
      </c>
      <c r="E5" s="10">
        <v>8116399.1504816925</v>
      </c>
      <c r="F5" s="23" t="str">
        <f aca="true" t="shared" si="1" ref="F5:F46">IF(D5&gt;C5,D5-C5,"ingen")</f>
        <v>ingen</v>
      </c>
      <c r="G5" s="10"/>
      <c r="H5" s="10">
        <f aca="true" t="shared" si="2" ref="H5:H46">IF(F5="ingen",D5,IF(E5&lt;F5,D5-E5,C5))</f>
        <v>10423215.0288168</v>
      </c>
      <c r="I5" s="10"/>
      <c r="J5" s="10">
        <f>BF5</f>
        <v>3704011.8161766</v>
      </c>
      <c r="K5" s="10">
        <f>BG5</f>
        <v>4205899.024810856</v>
      </c>
      <c r="L5" s="10"/>
      <c r="M5" s="10">
        <f aca="true" t="shared" si="3" ref="M5:M46">J5+(0.3*H5)</f>
        <v>6830976.32482164</v>
      </c>
      <c r="N5" s="10">
        <f aca="true" t="shared" si="4" ref="N5:N46">K5+(0.3*H5)</f>
        <v>7332863.533455896</v>
      </c>
      <c r="P5" s="23">
        <f>'Potentialer og krav'!U5</f>
        <v>521160.7514408401</v>
      </c>
      <c r="R5" s="23">
        <f aca="true" t="shared" si="5" ref="R5:R46">B5*0.005</f>
        <v>56975.87</v>
      </c>
      <c r="S5" s="23">
        <f aca="true" t="shared" si="6" ref="S5:S46">C5*0.023</f>
        <v>263399.44701</v>
      </c>
      <c r="T5" s="23">
        <f aca="true" t="shared" si="7" ref="T5:T46">D5-E5</f>
        <v>2306815.878335108</v>
      </c>
      <c r="U5" s="23">
        <f aca="true" t="shared" si="8" ref="U5:U46">H5*0.023</f>
        <v>239733.9456627864</v>
      </c>
      <c r="V5" s="23">
        <f aca="true" t="shared" si="9" ref="V5:V46">H5*1.023</f>
        <v>10662948.974479586</v>
      </c>
      <c r="W5" s="23">
        <f aca="true" t="shared" si="10" ref="W5:W46">C5*1.023</f>
        <v>11715549.317009998</v>
      </c>
      <c r="X5" s="23">
        <f aca="true" t="shared" si="11" ref="X5:X46">D5*0.023</f>
        <v>239733.9456627864</v>
      </c>
      <c r="Y5" s="23">
        <f aca="true" t="shared" si="12" ref="Y5:Y46">D5*1.023</f>
        <v>10662948.974479586</v>
      </c>
      <c r="Z5" s="23">
        <f aca="true" t="shared" si="13" ref="Z5:Z46">W5-Y5</f>
        <v>1052600.3425304126</v>
      </c>
      <c r="AA5" s="23" t="str">
        <f>IF(F5="ingen","ingen",IF(H5&lt;=T5,V5-Y5,"tal til venstre"))</f>
        <v>ingen</v>
      </c>
      <c r="AB5" s="23"/>
      <c r="AC5" s="35" t="s">
        <v>14</v>
      </c>
      <c r="AD5" s="6">
        <v>34</v>
      </c>
      <c r="AE5" s="6">
        <v>444675</v>
      </c>
      <c r="AF5" s="6">
        <v>422589</v>
      </c>
      <c r="AG5" s="6">
        <v>0</v>
      </c>
      <c r="AH5" s="6">
        <v>0</v>
      </c>
      <c r="AI5" s="6">
        <v>0</v>
      </c>
      <c r="AJ5" s="6">
        <v>1</v>
      </c>
      <c r="AK5" s="6">
        <v>1</v>
      </c>
      <c r="AL5" s="6">
        <v>2</v>
      </c>
      <c r="AM5" s="6">
        <v>83</v>
      </c>
      <c r="AN5" s="6">
        <v>0</v>
      </c>
      <c r="AO5" s="6">
        <v>0</v>
      </c>
      <c r="AP5" s="6">
        <v>83</v>
      </c>
      <c r="AQ5" s="6">
        <v>2916</v>
      </c>
      <c r="AR5" s="6">
        <v>0</v>
      </c>
      <c r="AS5" s="6">
        <v>0</v>
      </c>
      <c r="AT5" s="6">
        <v>7963</v>
      </c>
      <c r="AU5" s="6">
        <f aca="true" t="shared" si="14" ref="AU5:AU46">SUM(AG5:AH5)</f>
        <v>0</v>
      </c>
      <c r="AV5" s="6">
        <f aca="true" t="shared" si="15" ref="AV5:AV46">SUM(AI5:AJ5)</f>
        <v>1</v>
      </c>
      <c r="AW5" s="6">
        <f aca="true" t="shared" si="16" ref="AW5:AW46">AK5</f>
        <v>1</v>
      </c>
      <c r="AX5" s="6"/>
      <c r="AY5" s="6">
        <f aca="true" t="shared" si="17" ref="AY5:AY46">1.428*AD5^(0.195)*AE5^(0.864)</f>
        <v>215414.78159369715</v>
      </c>
      <c r="AZ5" s="6">
        <f aca="true" t="shared" si="18" ref="AZ5:AZ46">1.27*AF5^(1.028)</f>
        <v>771343.1345829024</v>
      </c>
      <c r="BA5" s="6">
        <f aca="true" t="shared" si="19" ref="BA5:BA46">53204*AU5+125224*AV5+411776*AW5</f>
        <v>537000</v>
      </c>
      <c r="BB5" s="6">
        <f aca="true" t="shared" si="20" ref="BB5:BB46">6.04*(AL5+AM5)*1000+52.38*(AN5+AO5)*1000</f>
        <v>513400</v>
      </c>
      <c r="BC5" s="6">
        <f aca="true" t="shared" si="21" ref="BC5:BC46">170*(AP5+AQ5)+530*AR5+1398*AS5</f>
        <v>509830</v>
      </c>
      <c r="BD5" s="6">
        <f aca="true" t="shared" si="22" ref="BD5:BD46">145.3*AT5</f>
        <v>1157023.9000000001</v>
      </c>
      <c r="BE5" s="6">
        <v>36.13879301</v>
      </c>
      <c r="BF5" s="6">
        <f>SUM(AY5:BD5)+AX5+BH5</f>
        <v>3704011.8161766</v>
      </c>
      <c r="BG5" s="6">
        <f aca="true" t="shared" si="23" ref="BG5:BG46">(0.485+0.018*BE5)*BF5</f>
        <v>4205899.024810856</v>
      </c>
      <c r="BH5" s="6"/>
      <c r="BJ5" s="36"/>
      <c r="BK5" s="30" t="str">
        <f aca="true" t="shared" si="24" ref="BK5:BK46">AC5</f>
        <v>Albertslund Vand A/S</v>
      </c>
      <c r="BL5" s="23">
        <f aca="true" t="shared" si="25" ref="BL5:BL46">(AY5/SUM($AY5:$BD5))*100</f>
        <v>5.815715291536386</v>
      </c>
      <c r="BM5" s="23">
        <f aca="true" t="shared" si="26" ref="BM5:BM46">(AZ5/SUM($AY5:$BD5))*100</f>
        <v>20.824532233245076</v>
      </c>
      <c r="BN5" s="23">
        <f aca="true" t="shared" si="27" ref="BN5:BN46">(BA5/SUM($AY5:$BD5))*100</f>
        <v>14.497793923192953</v>
      </c>
      <c r="BO5" s="23">
        <f aca="true" t="shared" si="28" ref="BO5:BO46">(BB5/SUM($AY5:$BD5))*100</f>
        <v>13.860646927685776</v>
      </c>
      <c r="BP5" s="23">
        <f aca="true" t="shared" si="29" ref="BP5:BP46">(BC5/SUM($AY5:$BD5))*100</f>
        <v>13.764264945738292</v>
      </c>
      <c r="BQ5" s="23">
        <f aca="true" t="shared" si="30" ref="BQ5:BQ46">(BD5/SUM($AY5:$BD5))*100</f>
        <v>31.23704667860151</v>
      </c>
      <c r="BR5" s="23"/>
      <c r="BS5" s="23">
        <f>BP5+BQ5</f>
        <v>45.0013116243398</v>
      </c>
      <c r="BT5" s="23"/>
      <c r="BU5" s="23">
        <f aca="true" t="shared" si="31" ref="BU5:BU36">$BL$128-BL5</f>
        <v>5.319174013402789</v>
      </c>
      <c r="BV5" s="23">
        <f aca="true" t="shared" si="32" ref="BV5:BV36">$BM$128-BM5</f>
        <v>10.971457545511797</v>
      </c>
      <c r="BW5" s="23">
        <f aca="true" t="shared" si="33" ref="BW5:BW36">$BN$128-BN5</f>
        <v>-10.159528514201552</v>
      </c>
      <c r="BX5" s="23">
        <f aca="true" t="shared" si="34" ref="BX5:BX36">$BO$128-BO5</f>
        <v>9.944642099282431</v>
      </c>
      <c r="BY5" s="23">
        <f aca="true" t="shared" si="35" ref="BY5:BY36">$BP$128-BP5</f>
        <v>1.8221814650894625</v>
      </c>
      <c r="BZ5" s="23">
        <f aca="true" t="shared" si="36" ref="BZ5:BZ36">$BQ$128-BQ5</f>
        <v>-17.897926609084934</v>
      </c>
      <c r="CA5" s="23"/>
      <c r="CB5" s="23">
        <f aca="true" t="shared" si="37" ref="CB5:CB36">$BS$128-BS5</f>
        <v>-16.075745143995476</v>
      </c>
      <c r="CC5" s="23">
        <f aca="true" t="shared" si="38" ref="CC5:CC36">IF(CB5&lt;$BS$132,(CB5-$BS$132)*0.66*0.7,0)</f>
        <v>-2.861087255274017</v>
      </c>
    </row>
    <row r="6" spans="1:81" s="30" customFormat="1" ht="15" customHeight="1">
      <c r="A6" s="1" t="s">
        <v>15</v>
      </c>
      <c r="B6" s="10">
        <v>1593740</v>
      </c>
      <c r="C6" s="10">
        <f aca="true" t="shared" si="39" ref="C6:C46">B6*1.005</f>
        <v>1601708.6999999997</v>
      </c>
      <c r="D6" s="10">
        <v>1474331</v>
      </c>
      <c r="E6" s="10">
        <v>533037.4436943</v>
      </c>
      <c r="F6" s="23" t="str">
        <f t="shared" si="1"/>
        <v>ingen</v>
      </c>
      <c r="G6" s="10"/>
      <c r="H6" s="10">
        <f t="shared" si="2"/>
        <v>1474331</v>
      </c>
      <c r="I6" s="10"/>
      <c r="J6" s="10">
        <f aca="true" t="shared" si="40" ref="J6:J46">BF6</f>
        <v>1588478.0351862132</v>
      </c>
      <c r="K6" s="10">
        <f aca="true" t="shared" si="41" ref="K6:K46">BG6</f>
        <v>1572559.3824464243</v>
      </c>
      <c r="L6" s="10"/>
      <c r="M6" s="10">
        <f t="shared" si="3"/>
        <v>2030777.3351862133</v>
      </c>
      <c r="N6" s="10">
        <f t="shared" si="4"/>
        <v>2014858.6824464244</v>
      </c>
      <c r="P6" s="23">
        <f>'Potentialer og krav'!U6</f>
        <v>56635.75955267768</v>
      </c>
      <c r="R6" s="23">
        <f t="shared" si="5"/>
        <v>7968.7</v>
      </c>
      <c r="S6" s="23">
        <f t="shared" si="6"/>
        <v>36839.30009999999</v>
      </c>
      <c r="T6" s="23">
        <f t="shared" si="7"/>
        <v>941293.5563057</v>
      </c>
      <c r="U6" s="23">
        <f t="shared" si="8"/>
        <v>33909.613</v>
      </c>
      <c r="V6" s="23">
        <f t="shared" si="9"/>
        <v>1508240.613</v>
      </c>
      <c r="W6" s="23">
        <f t="shared" si="10"/>
        <v>1638548.0000999996</v>
      </c>
      <c r="X6" s="23">
        <f t="shared" si="11"/>
        <v>33909.613</v>
      </c>
      <c r="Y6" s="23">
        <f t="shared" si="12"/>
        <v>1508240.613</v>
      </c>
      <c r="Z6" s="23">
        <f t="shared" si="13"/>
        <v>130307.3870999997</v>
      </c>
      <c r="AA6" s="23" t="str">
        <f aca="true" t="shared" si="42" ref="AA6:AA46">IF(F6="ingen","ingen",IF(H6&lt;=T6,V6-Y6,"tal til venstre"))</f>
        <v>ingen</v>
      </c>
      <c r="AB6" s="23"/>
      <c r="AC6" s="35" t="s">
        <v>15</v>
      </c>
      <c r="AD6" s="6">
        <v>0</v>
      </c>
      <c r="AE6" s="6">
        <v>0</v>
      </c>
      <c r="AF6" s="6">
        <v>280930</v>
      </c>
      <c r="AG6" s="6"/>
      <c r="AH6" s="6"/>
      <c r="AI6" s="6"/>
      <c r="AJ6" s="6"/>
      <c r="AK6" s="6"/>
      <c r="AL6" s="6">
        <v>6</v>
      </c>
      <c r="AM6" s="6">
        <v>54</v>
      </c>
      <c r="AN6" s="6"/>
      <c r="AO6" s="6"/>
      <c r="AP6" s="6">
        <v>7</v>
      </c>
      <c r="AQ6" s="6">
        <v>2283</v>
      </c>
      <c r="AR6" s="6"/>
      <c r="AS6" s="6"/>
      <c r="AT6" s="6">
        <v>2270</v>
      </c>
      <c r="AU6" s="6">
        <f t="shared" si="14"/>
        <v>0</v>
      </c>
      <c r="AV6" s="6">
        <f t="shared" si="15"/>
        <v>0</v>
      </c>
      <c r="AW6" s="6">
        <f t="shared" si="16"/>
        <v>0</v>
      </c>
      <c r="AX6" s="6"/>
      <c r="AY6" s="6">
        <f t="shared" si="17"/>
        <v>0</v>
      </c>
      <c r="AZ6" s="6">
        <f t="shared" si="18"/>
        <v>506947.03518621315</v>
      </c>
      <c r="BA6" s="6">
        <f t="shared" si="19"/>
        <v>0</v>
      </c>
      <c r="BB6" s="6">
        <f t="shared" si="20"/>
        <v>362400</v>
      </c>
      <c r="BC6" s="6">
        <f t="shared" si="21"/>
        <v>389300</v>
      </c>
      <c r="BD6" s="6">
        <f t="shared" si="22"/>
        <v>329831</v>
      </c>
      <c r="BE6" s="6">
        <v>28.0543709</v>
      </c>
      <c r="BF6" s="6">
        <f aca="true" t="shared" si="43" ref="BF6:BF46">SUM(AY6:BD6)+AX6+BH6</f>
        <v>1588478.0351862132</v>
      </c>
      <c r="BG6" s="6">
        <f t="shared" si="23"/>
        <v>1572559.3824464243</v>
      </c>
      <c r="BH6" s="6"/>
      <c r="BJ6" s="36"/>
      <c r="BK6" s="30" t="str">
        <f t="shared" si="24"/>
        <v>Andelsselskaber Stenløse Vandværk</v>
      </c>
      <c r="BL6" s="23">
        <f t="shared" si="25"/>
        <v>0</v>
      </c>
      <c r="BM6" s="23">
        <f t="shared" si="26"/>
        <v>31.91400976008995</v>
      </c>
      <c r="BN6" s="23">
        <f t="shared" si="27"/>
        <v>0</v>
      </c>
      <c r="BO6" s="23">
        <f t="shared" si="28"/>
        <v>22.814290910702884</v>
      </c>
      <c r="BP6" s="23">
        <f t="shared" si="29"/>
        <v>24.50773579342338</v>
      </c>
      <c r="BQ6" s="23">
        <f t="shared" si="30"/>
        <v>20.763963535783784</v>
      </c>
      <c r="BR6" s="23"/>
      <c r="BS6" s="23">
        <f aca="true" t="shared" si="44" ref="BS6:BS46">BP6+BQ6</f>
        <v>45.271699329207166</v>
      </c>
      <c r="BT6" s="23"/>
      <c r="BU6" s="23">
        <f t="shared" si="31"/>
        <v>11.134889304939176</v>
      </c>
      <c r="BV6" s="23">
        <f t="shared" si="32"/>
        <v>-0.11801998133307734</v>
      </c>
      <c r="BW6" s="23">
        <f t="shared" si="33"/>
        <v>4.338265408991401</v>
      </c>
      <c r="BX6" s="23">
        <f t="shared" si="34"/>
        <v>0.9909981162653239</v>
      </c>
      <c r="BY6" s="23">
        <f t="shared" si="35"/>
        <v>-8.921289382595624</v>
      </c>
      <c r="BZ6" s="23">
        <f t="shared" si="36"/>
        <v>-7.424843466267211</v>
      </c>
      <c r="CA6" s="23"/>
      <c r="CB6" s="23">
        <f t="shared" si="37"/>
        <v>-16.346132848862844</v>
      </c>
      <c r="CC6" s="23">
        <f t="shared" si="38"/>
        <v>-2.986006374922741</v>
      </c>
    </row>
    <row r="7" spans="1:81" s="30" customFormat="1" ht="15" customHeight="1">
      <c r="A7" s="1" t="s">
        <v>16</v>
      </c>
      <c r="B7" s="10">
        <v>926869</v>
      </c>
      <c r="C7" s="10">
        <f t="shared" si="39"/>
        <v>931503.3449999999</v>
      </c>
      <c r="D7" s="10">
        <v>927933.6645698</v>
      </c>
      <c r="E7" s="10">
        <v>0</v>
      </c>
      <c r="F7" s="23" t="str">
        <f t="shared" si="1"/>
        <v>ingen</v>
      </c>
      <c r="G7" s="10"/>
      <c r="H7" s="10">
        <f t="shared" si="2"/>
        <v>927933.6645698</v>
      </c>
      <c r="I7" s="10"/>
      <c r="J7" s="10">
        <f t="shared" si="40"/>
        <v>1632281.8856207924</v>
      </c>
      <c r="K7" s="10">
        <f t="shared" si="41"/>
        <v>1723584.9352607445</v>
      </c>
      <c r="L7" s="10"/>
      <c r="M7" s="10">
        <f t="shared" si="3"/>
        <v>1910661.9849917325</v>
      </c>
      <c r="N7" s="10">
        <f t="shared" si="4"/>
        <v>2001965.0346316844</v>
      </c>
      <c r="P7" s="23">
        <f>'Potentialer og krav'!U7</f>
        <v>0</v>
      </c>
      <c r="R7" s="23">
        <f t="shared" si="5"/>
        <v>4634.345</v>
      </c>
      <c r="S7" s="23">
        <f t="shared" si="6"/>
        <v>21424.576934999997</v>
      </c>
      <c r="T7" s="23">
        <f t="shared" si="7"/>
        <v>927933.6645698</v>
      </c>
      <c r="U7" s="23">
        <f t="shared" si="8"/>
        <v>21342.4742851054</v>
      </c>
      <c r="V7" s="23">
        <f t="shared" si="9"/>
        <v>949276.1388549054</v>
      </c>
      <c r="W7" s="23">
        <f t="shared" si="10"/>
        <v>952927.9219349998</v>
      </c>
      <c r="X7" s="23">
        <f t="shared" si="11"/>
        <v>21342.4742851054</v>
      </c>
      <c r="Y7" s="23">
        <f t="shared" si="12"/>
        <v>949276.1388549054</v>
      </c>
      <c r="Z7" s="23">
        <f t="shared" si="13"/>
        <v>3651.7830800943775</v>
      </c>
      <c r="AA7" s="23" t="str">
        <f t="shared" si="42"/>
        <v>ingen</v>
      </c>
      <c r="AB7" s="23"/>
      <c r="AC7" s="35" t="s">
        <v>16</v>
      </c>
      <c r="AD7" s="6">
        <v>157</v>
      </c>
      <c r="AE7" s="6">
        <v>256524</v>
      </c>
      <c r="AF7" s="6">
        <v>249354</v>
      </c>
      <c r="AG7" s="6">
        <v>1</v>
      </c>
      <c r="AH7" s="6">
        <v>0</v>
      </c>
      <c r="AI7" s="6">
        <v>0</v>
      </c>
      <c r="AJ7" s="6">
        <v>0</v>
      </c>
      <c r="AK7" s="6">
        <v>0</v>
      </c>
      <c r="AL7" s="6">
        <v>28</v>
      </c>
      <c r="AM7" s="6">
        <v>36</v>
      </c>
      <c r="AN7" s="6">
        <v>0</v>
      </c>
      <c r="AO7" s="6">
        <v>0</v>
      </c>
      <c r="AP7" s="6">
        <v>195</v>
      </c>
      <c r="AQ7" s="6">
        <v>1621</v>
      </c>
      <c r="AR7" s="6">
        <v>0</v>
      </c>
      <c r="AS7" s="6">
        <v>0</v>
      </c>
      <c r="AT7" s="6">
        <v>1754</v>
      </c>
      <c r="AU7" s="6">
        <f t="shared" si="14"/>
        <v>1</v>
      </c>
      <c r="AV7" s="6">
        <f t="shared" si="15"/>
        <v>0</v>
      </c>
      <c r="AW7" s="6">
        <f t="shared" si="16"/>
        <v>0</v>
      </c>
      <c r="AX7" s="6"/>
      <c r="AY7" s="6">
        <f t="shared" si="17"/>
        <v>180474.2453527075</v>
      </c>
      <c r="AZ7" s="6">
        <f t="shared" si="18"/>
        <v>448467.44026808493</v>
      </c>
      <c r="BA7" s="6">
        <f t="shared" si="19"/>
        <v>53204</v>
      </c>
      <c r="BB7" s="6">
        <f t="shared" si="20"/>
        <v>386560</v>
      </c>
      <c r="BC7" s="6">
        <f t="shared" si="21"/>
        <v>308720</v>
      </c>
      <c r="BD7" s="6">
        <f t="shared" si="22"/>
        <v>254856.2</v>
      </c>
      <c r="BE7" s="6">
        <v>31.71865748</v>
      </c>
      <c r="BF7" s="6">
        <f t="shared" si="43"/>
        <v>1632281.8856207924</v>
      </c>
      <c r="BG7" s="6">
        <f t="shared" si="23"/>
        <v>1723584.9352607445</v>
      </c>
      <c r="BH7" s="6"/>
      <c r="BJ7" s="36"/>
      <c r="BK7" s="30" t="str">
        <f t="shared" si="24"/>
        <v>Andelsselskabet Ejby Vandværk</v>
      </c>
      <c r="BL7" s="23">
        <f t="shared" si="25"/>
        <v>11.056561182388496</v>
      </c>
      <c r="BM7" s="23">
        <f t="shared" si="26"/>
        <v>27.47487699390372</v>
      </c>
      <c r="BN7" s="23">
        <f t="shared" si="27"/>
        <v>3.2594860280376974</v>
      </c>
      <c r="BO7" s="23">
        <f t="shared" si="28"/>
        <v>23.68218402748388</v>
      </c>
      <c r="BP7" s="23">
        <f t="shared" si="29"/>
        <v>18.913399867976054</v>
      </c>
      <c r="BQ7" s="23">
        <f t="shared" si="30"/>
        <v>15.613491900210155</v>
      </c>
      <c r="BR7" s="23"/>
      <c r="BS7" s="23">
        <f t="shared" si="44"/>
        <v>34.52689176818621</v>
      </c>
      <c r="BT7" s="23"/>
      <c r="BU7" s="23">
        <f t="shared" si="31"/>
        <v>0.07832812255067978</v>
      </c>
      <c r="BV7" s="23">
        <f t="shared" si="32"/>
        <v>4.3211127848531525</v>
      </c>
      <c r="BW7" s="23">
        <f t="shared" si="33"/>
        <v>1.0787793809537032</v>
      </c>
      <c r="BX7" s="23">
        <f t="shared" si="34"/>
        <v>0.12310499948432607</v>
      </c>
      <c r="BY7" s="23">
        <f t="shared" si="35"/>
        <v>-3.3269534571482993</v>
      </c>
      <c r="BZ7" s="23">
        <f t="shared" si="36"/>
        <v>-2.274371830693582</v>
      </c>
      <c r="CA7" s="23"/>
      <c r="CB7" s="23">
        <f t="shared" si="37"/>
        <v>-5.601325287841888</v>
      </c>
      <c r="CC7" s="23">
        <f t="shared" si="38"/>
        <v>0</v>
      </c>
    </row>
    <row r="8" spans="1:81" ht="15" customHeight="1">
      <c r="A8" s="1" t="s">
        <v>17</v>
      </c>
      <c r="B8" s="10">
        <v>995067</v>
      </c>
      <c r="C8" s="10">
        <f t="shared" si="39"/>
        <v>1000042.3349999998</v>
      </c>
      <c r="D8" s="10">
        <v>907965.9136128</v>
      </c>
      <c r="E8" s="10">
        <v>0</v>
      </c>
      <c r="F8" s="23" t="str">
        <f t="shared" si="1"/>
        <v>ingen</v>
      </c>
      <c r="G8" s="10"/>
      <c r="H8" s="10">
        <f t="shared" si="2"/>
        <v>907965.9136128</v>
      </c>
      <c r="I8" s="10"/>
      <c r="J8" s="10">
        <f t="shared" si="40"/>
        <v>1675449.9950044088</v>
      </c>
      <c r="K8" s="10">
        <f t="shared" si="41"/>
        <v>1499448.6041070176</v>
      </c>
      <c r="L8" s="10"/>
      <c r="M8" s="10">
        <f t="shared" si="3"/>
        <v>1947839.7690882487</v>
      </c>
      <c r="N8" s="10">
        <f t="shared" si="4"/>
        <v>1771838.3781908576</v>
      </c>
      <c r="P8" s="23">
        <f>'Potentialer og krav'!U8</f>
        <v>0</v>
      </c>
      <c r="R8" s="23">
        <f t="shared" si="5"/>
        <v>4975.335</v>
      </c>
      <c r="S8" s="23">
        <f t="shared" si="6"/>
        <v>23000.973704999997</v>
      </c>
      <c r="T8" s="23">
        <f t="shared" si="7"/>
        <v>907965.9136128</v>
      </c>
      <c r="U8" s="23">
        <f t="shared" si="8"/>
        <v>20883.2160130944</v>
      </c>
      <c r="V8" s="23">
        <f t="shared" si="9"/>
        <v>928849.1296258942</v>
      </c>
      <c r="W8" s="23">
        <f t="shared" si="10"/>
        <v>1023043.3087049997</v>
      </c>
      <c r="X8" s="23">
        <f t="shared" si="11"/>
        <v>20883.2160130944</v>
      </c>
      <c r="Y8" s="23">
        <f t="shared" si="12"/>
        <v>928849.1296258942</v>
      </c>
      <c r="Z8" s="23">
        <f t="shared" si="13"/>
        <v>94194.1790791055</v>
      </c>
      <c r="AA8" s="23" t="str">
        <f t="shared" si="42"/>
        <v>ingen</v>
      </c>
      <c r="AB8" s="23"/>
      <c r="AC8" s="35" t="s">
        <v>17</v>
      </c>
      <c r="AD8" s="6">
        <v>425</v>
      </c>
      <c r="AE8" s="6">
        <v>319623</v>
      </c>
      <c r="AF8" s="6">
        <v>319653</v>
      </c>
      <c r="AG8" s="6">
        <v>1</v>
      </c>
      <c r="AH8" s="6"/>
      <c r="AI8" s="6"/>
      <c r="AJ8" s="6"/>
      <c r="AK8" s="6"/>
      <c r="AL8" s="6">
        <v>23</v>
      </c>
      <c r="AM8" s="6">
        <v>35</v>
      </c>
      <c r="AN8" s="6"/>
      <c r="AO8" s="6"/>
      <c r="AP8" s="6"/>
      <c r="AQ8" s="6">
        <v>1386</v>
      </c>
      <c r="AR8" s="6"/>
      <c r="AS8" s="6"/>
      <c r="AT8" s="6">
        <v>1324</v>
      </c>
      <c r="AU8" s="6">
        <f t="shared" si="14"/>
        <v>1</v>
      </c>
      <c r="AV8" s="6">
        <f t="shared" si="15"/>
        <v>0</v>
      </c>
      <c r="AW8" s="6">
        <f t="shared" si="16"/>
        <v>0</v>
      </c>
      <c r="AX8" s="6"/>
      <c r="AY8" s="6">
        <f t="shared" si="17"/>
        <v>265015.5157318696</v>
      </c>
      <c r="AZ8" s="6">
        <f t="shared" si="18"/>
        <v>578913.2792725392</v>
      </c>
      <c r="BA8" s="6">
        <f t="shared" si="19"/>
        <v>53204</v>
      </c>
      <c r="BB8" s="6">
        <f t="shared" si="20"/>
        <v>350320</v>
      </c>
      <c r="BC8" s="6">
        <f t="shared" si="21"/>
        <v>235620</v>
      </c>
      <c r="BD8" s="6">
        <f t="shared" si="22"/>
        <v>192377.2</v>
      </c>
      <c r="BE8" s="6">
        <v>22.77515356</v>
      </c>
      <c r="BF8" s="6">
        <f t="shared" si="43"/>
        <v>1675449.9950044088</v>
      </c>
      <c r="BG8" s="6">
        <f t="shared" si="23"/>
        <v>1499448.6041070176</v>
      </c>
      <c r="BH8" s="6"/>
      <c r="BK8" s="30" t="str">
        <f t="shared" si="24"/>
        <v>Andelsselskabet Gram Vandværk</v>
      </c>
      <c r="BL8" s="23">
        <f t="shared" si="25"/>
        <v>15.817572384854866</v>
      </c>
      <c r="BM8" s="23">
        <f t="shared" si="26"/>
        <v>34.552704109263246</v>
      </c>
      <c r="BN8" s="23">
        <f t="shared" si="27"/>
        <v>3.175505097653481</v>
      </c>
      <c r="BO8" s="23">
        <f t="shared" si="28"/>
        <v>20.909009582173663</v>
      </c>
      <c r="BP8" s="23">
        <f t="shared" si="29"/>
        <v>14.063087570654712</v>
      </c>
      <c r="BQ8" s="23">
        <f t="shared" si="30"/>
        <v>11.482121255400033</v>
      </c>
      <c r="BR8" s="23"/>
      <c r="BS8" s="23">
        <f t="shared" si="44"/>
        <v>25.545208826054747</v>
      </c>
      <c r="BT8" s="23"/>
      <c r="BU8" s="23">
        <f t="shared" si="31"/>
        <v>-4.682683079915691</v>
      </c>
      <c r="BV8" s="23">
        <f t="shared" si="32"/>
        <v>-2.756714330506373</v>
      </c>
      <c r="BW8" s="23">
        <f t="shared" si="33"/>
        <v>1.1627603113379195</v>
      </c>
      <c r="BX8" s="23">
        <f t="shared" si="34"/>
        <v>2.896279444794544</v>
      </c>
      <c r="BY8" s="23">
        <f t="shared" si="35"/>
        <v>1.5233588401730422</v>
      </c>
      <c r="BZ8" s="23">
        <f t="shared" si="36"/>
        <v>1.8569988141165403</v>
      </c>
      <c r="CA8" s="23"/>
      <c r="CB8" s="23">
        <f t="shared" si="37"/>
        <v>3.3803576542895755</v>
      </c>
      <c r="CC8" s="23">
        <f t="shared" si="38"/>
        <v>0</v>
      </c>
    </row>
    <row r="9" spans="1:81" ht="15" customHeight="1">
      <c r="A9" s="1" t="s">
        <v>18</v>
      </c>
      <c r="B9" s="10">
        <v>2542047</v>
      </c>
      <c r="C9" s="10">
        <f t="shared" si="39"/>
        <v>2554757.235</v>
      </c>
      <c r="D9" s="10">
        <v>2564658.8668078</v>
      </c>
      <c r="E9" s="10">
        <v>0</v>
      </c>
      <c r="F9" s="23">
        <f t="shared" si="1"/>
        <v>9901.631807799917</v>
      </c>
      <c r="G9" s="10"/>
      <c r="H9" s="10">
        <f t="shared" si="2"/>
        <v>2564658.8668078</v>
      </c>
      <c r="I9" s="10"/>
      <c r="J9" s="10">
        <f t="shared" si="40"/>
        <v>4272765.199220238</v>
      </c>
      <c r="K9" s="10">
        <f t="shared" si="41"/>
        <v>4502416.554156822</v>
      </c>
      <c r="L9" s="10"/>
      <c r="M9" s="10">
        <f t="shared" si="3"/>
        <v>5042162.859262578</v>
      </c>
      <c r="N9" s="10">
        <f t="shared" si="4"/>
        <v>5271814.214199162</v>
      </c>
      <c r="P9" s="23">
        <f>'Potentialer og krav'!U9</f>
        <v>0</v>
      </c>
      <c r="R9" s="23">
        <f t="shared" si="5"/>
        <v>12710.235</v>
      </c>
      <c r="S9" s="23">
        <f t="shared" si="6"/>
        <v>58759.416404999996</v>
      </c>
      <c r="T9" s="23">
        <f t="shared" si="7"/>
        <v>2564658.8668078</v>
      </c>
      <c r="U9" s="23">
        <f t="shared" si="8"/>
        <v>58987.153936579394</v>
      </c>
      <c r="V9" s="23">
        <f t="shared" si="9"/>
        <v>2623646.020744379</v>
      </c>
      <c r="W9" s="23">
        <f t="shared" si="10"/>
        <v>2613516.6514049997</v>
      </c>
      <c r="X9" s="23">
        <f t="shared" si="11"/>
        <v>58987.153936579394</v>
      </c>
      <c r="Y9" s="23">
        <f t="shared" si="12"/>
        <v>2623646.020744379</v>
      </c>
      <c r="Z9" s="23">
        <f t="shared" si="13"/>
        <v>-10129.369339379482</v>
      </c>
      <c r="AA9" s="23">
        <f t="shared" si="42"/>
        <v>0</v>
      </c>
      <c r="AB9" s="23"/>
      <c r="AC9" s="35" t="s">
        <v>18</v>
      </c>
      <c r="AD9" s="6">
        <v>466</v>
      </c>
      <c r="AE9" s="6">
        <v>825477</v>
      </c>
      <c r="AF9" s="6">
        <v>798725</v>
      </c>
      <c r="AG9" s="6">
        <v>2</v>
      </c>
      <c r="AH9" s="6"/>
      <c r="AI9" s="6"/>
      <c r="AJ9" s="6"/>
      <c r="AK9" s="6"/>
      <c r="AL9" s="6">
        <v>149.962</v>
      </c>
      <c r="AM9" s="6">
        <v>13.338</v>
      </c>
      <c r="AN9" s="6"/>
      <c r="AO9" s="6"/>
      <c r="AP9" s="6">
        <v>1667</v>
      </c>
      <c r="AQ9" s="6">
        <v>1724</v>
      </c>
      <c r="AR9" s="6"/>
      <c r="AS9" s="6"/>
      <c r="AT9" s="6">
        <v>3489</v>
      </c>
      <c r="AU9" s="6">
        <f t="shared" si="14"/>
        <v>2</v>
      </c>
      <c r="AV9" s="6">
        <f t="shared" si="15"/>
        <v>0</v>
      </c>
      <c r="AW9" s="6">
        <f t="shared" si="16"/>
        <v>0</v>
      </c>
      <c r="AX9" s="6"/>
      <c r="AY9" s="6">
        <f t="shared" si="17"/>
        <v>612486.5574483477</v>
      </c>
      <c r="AZ9" s="6">
        <f t="shared" si="18"/>
        <v>1484116.9417718903</v>
      </c>
      <c r="BA9" s="6">
        <f t="shared" si="19"/>
        <v>106408</v>
      </c>
      <c r="BB9" s="6">
        <f t="shared" si="20"/>
        <v>986331.9999999999</v>
      </c>
      <c r="BC9" s="6">
        <f t="shared" si="21"/>
        <v>576470</v>
      </c>
      <c r="BD9" s="6">
        <f t="shared" si="22"/>
        <v>506951.7</v>
      </c>
      <c r="BE9" s="6">
        <v>31.597095131463167</v>
      </c>
      <c r="BF9" s="6">
        <f t="shared" si="43"/>
        <v>4272765.199220238</v>
      </c>
      <c r="BG9" s="6">
        <f t="shared" si="23"/>
        <v>4502416.554156822</v>
      </c>
      <c r="BH9" s="6"/>
      <c r="BK9" s="30" t="str">
        <f t="shared" si="24"/>
        <v>Andelsselskabet Gørlev Vandforsyning</v>
      </c>
      <c r="BL9" s="23">
        <f t="shared" si="25"/>
        <v>14.334664529661586</v>
      </c>
      <c r="BM9" s="23">
        <f t="shared" si="26"/>
        <v>34.734343512316926</v>
      </c>
      <c r="BN9" s="23">
        <f t="shared" si="27"/>
        <v>2.490377894376668</v>
      </c>
      <c r="BO9" s="23">
        <f t="shared" si="28"/>
        <v>23.084161052893833</v>
      </c>
      <c r="BP9" s="23">
        <f t="shared" si="29"/>
        <v>13.491731305647297</v>
      </c>
      <c r="BQ9" s="23">
        <f t="shared" si="30"/>
        <v>11.864721705103678</v>
      </c>
      <c r="BR9" s="23"/>
      <c r="BS9" s="23">
        <f t="shared" si="44"/>
        <v>25.356453010750975</v>
      </c>
      <c r="BT9" s="23"/>
      <c r="BU9" s="23">
        <f t="shared" si="31"/>
        <v>-3.1997752247224103</v>
      </c>
      <c r="BV9" s="23">
        <f t="shared" si="32"/>
        <v>-2.938353733560053</v>
      </c>
      <c r="BW9" s="23">
        <f t="shared" si="33"/>
        <v>1.8478875146147327</v>
      </c>
      <c r="BX9" s="23">
        <f t="shared" si="34"/>
        <v>0.7211279740743741</v>
      </c>
      <c r="BY9" s="23">
        <f t="shared" si="35"/>
        <v>2.094715105180457</v>
      </c>
      <c r="BZ9" s="23">
        <f t="shared" si="36"/>
        <v>1.4743983644128953</v>
      </c>
      <c r="CA9" s="23"/>
      <c r="CB9" s="23">
        <f t="shared" si="37"/>
        <v>3.569113469593347</v>
      </c>
      <c r="CC9" s="23">
        <f t="shared" si="38"/>
        <v>0</v>
      </c>
    </row>
    <row r="10" spans="1:81" ht="15" customHeight="1">
      <c r="A10" s="1" t="s">
        <v>19</v>
      </c>
      <c r="B10" s="10">
        <v>1791113</v>
      </c>
      <c r="C10" s="10">
        <f t="shared" si="39"/>
        <v>1800068.5649999997</v>
      </c>
      <c r="D10" s="10">
        <v>1316103.007611</v>
      </c>
      <c r="E10" s="10">
        <v>324407.86821462796</v>
      </c>
      <c r="F10" s="23" t="str">
        <f t="shared" si="1"/>
        <v>ingen</v>
      </c>
      <c r="G10" s="10"/>
      <c r="H10" s="10">
        <f t="shared" si="2"/>
        <v>1316103.007611</v>
      </c>
      <c r="I10" s="10"/>
      <c r="J10" s="10">
        <f t="shared" si="40"/>
        <v>1673532.9405259832</v>
      </c>
      <c r="K10" s="10">
        <f t="shared" si="41"/>
        <v>1402688.3694312582</v>
      </c>
      <c r="L10" s="10"/>
      <c r="M10" s="10">
        <f t="shared" si="3"/>
        <v>2068363.8428092832</v>
      </c>
      <c r="N10" s="10">
        <f t="shared" si="4"/>
        <v>1797519.2717145581</v>
      </c>
      <c r="P10" s="23">
        <f>'Potentialer og krav'!U10</f>
        <v>22610.144128293523</v>
      </c>
      <c r="R10" s="23">
        <f t="shared" si="5"/>
        <v>8955.565</v>
      </c>
      <c r="S10" s="23">
        <f t="shared" si="6"/>
        <v>41401.576994999996</v>
      </c>
      <c r="T10" s="23">
        <f t="shared" si="7"/>
        <v>991695.139396372</v>
      </c>
      <c r="U10" s="23">
        <f t="shared" si="8"/>
        <v>30270.369175052998</v>
      </c>
      <c r="V10" s="23">
        <f t="shared" si="9"/>
        <v>1346373.376786053</v>
      </c>
      <c r="W10" s="23">
        <f t="shared" si="10"/>
        <v>1841470.1419949995</v>
      </c>
      <c r="X10" s="23">
        <f t="shared" si="11"/>
        <v>30270.369175052998</v>
      </c>
      <c r="Y10" s="23">
        <f t="shared" si="12"/>
        <v>1346373.376786053</v>
      </c>
      <c r="Z10" s="23">
        <f t="shared" si="13"/>
        <v>495096.76520894654</v>
      </c>
      <c r="AA10" s="23" t="str">
        <f>IF(F10="ingen","ingen",IF(H10&lt;=T10,V10-Y10,"tal til venstre"))</f>
        <v>ingen</v>
      </c>
      <c r="AB10" s="23"/>
      <c r="AC10" s="35" t="s">
        <v>19</v>
      </c>
      <c r="AD10" s="6">
        <v>28</v>
      </c>
      <c r="AE10" s="6">
        <v>252109</v>
      </c>
      <c r="AF10" s="6">
        <v>247041</v>
      </c>
      <c r="AG10" s="6">
        <v>1</v>
      </c>
      <c r="AH10" s="6">
        <v>1</v>
      </c>
      <c r="AI10" s="6">
        <v>0</v>
      </c>
      <c r="AJ10" s="6">
        <v>0</v>
      </c>
      <c r="AK10" s="6">
        <v>0</v>
      </c>
      <c r="AL10" s="6">
        <v>26.921</v>
      </c>
      <c r="AM10" s="6">
        <v>48.399</v>
      </c>
      <c r="AN10" s="6">
        <v>0</v>
      </c>
      <c r="AO10" s="6">
        <v>0</v>
      </c>
      <c r="AP10" s="6">
        <v>78</v>
      </c>
      <c r="AQ10" s="6">
        <v>1570</v>
      </c>
      <c r="AR10" s="6">
        <v>0</v>
      </c>
      <c r="AS10" s="6">
        <v>0</v>
      </c>
      <c r="AT10" s="6">
        <v>1795</v>
      </c>
      <c r="AU10" s="6">
        <f t="shared" si="14"/>
        <v>2</v>
      </c>
      <c r="AV10" s="6">
        <f t="shared" si="15"/>
        <v>0</v>
      </c>
      <c r="AW10" s="6">
        <f t="shared" si="16"/>
        <v>0</v>
      </c>
      <c r="AX10" s="6"/>
      <c r="AY10" s="6">
        <f t="shared" si="17"/>
        <v>127027.09250970684</v>
      </c>
      <c r="AZ10" s="6">
        <f t="shared" si="18"/>
        <v>444191.5480162763</v>
      </c>
      <c r="BA10" s="6">
        <f t="shared" si="19"/>
        <v>106408</v>
      </c>
      <c r="BB10" s="6">
        <f t="shared" si="20"/>
        <v>454932.8</v>
      </c>
      <c r="BC10" s="6">
        <f t="shared" si="21"/>
        <v>280160</v>
      </c>
      <c r="BD10" s="6">
        <f t="shared" si="22"/>
        <v>260813.50000000003</v>
      </c>
      <c r="BE10" s="6">
        <v>19.62</v>
      </c>
      <c r="BF10" s="6">
        <f t="shared" si="43"/>
        <v>1673532.9405259832</v>
      </c>
      <c r="BG10" s="6">
        <f t="shared" si="23"/>
        <v>1402688.3694312582</v>
      </c>
      <c r="BH10" s="6"/>
      <c r="BK10" s="30" t="str">
        <f t="shared" si="24"/>
        <v>Andelsselskabet Hammerum Vandværk</v>
      </c>
      <c r="BL10" s="23">
        <f t="shared" si="25"/>
        <v>7.590355076595197</v>
      </c>
      <c r="BM10" s="23">
        <f t="shared" si="26"/>
        <v>26.542145497098435</v>
      </c>
      <c r="BN10" s="23">
        <f t="shared" si="27"/>
        <v>6.358285362853778</v>
      </c>
      <c r="BO10" s="23">
        <f t="shared" si="28"/>
        <v>27.183976423972677</v>
      </c>
      <c r="BP10" s="23">
        <f t="shared" si="29"/>
        <v>16.7406325394436</v>
      </c>
      <c r="BQ10" s="23">
        <f t="shared" si="30"/>
        <v>15.584605100036311</v>
      </c>
      <c r="BR10" s="23"/>
      <c r="BS10" s="23">
        <f t="shared" si="44"/>
        <v>32.32523763947991</v>
      </c>
      <c r="BT10" s="23"/>
      <c r="BU10" s="23">
        <f t="shared" si="31"/>
        <v>3.544534228343979</v>
      </c>
      <c r="BV10" s="23">
        <f t="shared" si="32"/>
        <v>5.253844281658438</v>
      </c>
      <c r="BW10" s="23">
        <f t="shared" si="33"/>
        <v>-2.020019953862377</v>
      </c>
      <c r="BX10" s="23">
        <f t="shared" si="34"/>
        <v>-3.3786873970044695</v>
      </c>
      <c r="BY10" s="23">
        <f t="shared" si="35"/>
        <v>-1.1541861286158444</v>
      </c>
      <c r="BZ10" s="23">
        <f t="shared" si="36"/>
        <v>-2.2454850305197382</v>
      </c>
      <c r="CA10" s="23"/>
      <c r="CB10" s="23">
        <f t="shared" si="37"/>
        <v>-3.399671159135586</v>
      </c>
      <c r="CC10" s="23">
        <f t="shared" si="38"/>
        <v>0</v>
      </c>
    </row>
    <row r="11" spans="1:81" ht="15" customHeight="1">
      <c r="A11" s="1" t="s">
        <v>20</v>
      </c>
      <c r="B11" s="10">
        <v>1980819</v>
      </c>
      <c r="C11" s="10">
        <f t="shared" si="39"/>
        <v>1990723.0949999997</v>
      </c>
      <c r="D11" s="10">
        <v>2145584.745115</v>
      </c>
      <c r="E11" s="10">
        <v>0</v>
      </c>
      <c r="F11" s="23">
        <f t="shared" si="1"/>
        <v>154861.65011500008</v>
      </c>
      <c r="G11" s="10"/>
      <c r="H11" s="10">
        <f t="shared" si="2"/>
        <v>2145584.745115</v>
      </c>
      <c r="I11" s="10"/>
      <c r="J11" s="10">
        <f t="shared" si="40"/>
        <v>3880041.7717897776</v>
      </c>
      <c r="K11" s="10">
        <f t="shared" si="41"/>
        <v>4351848.295125516</v>
      </c>
      <c r="L11" s="10"/>
      <c r="M11" s="10">
        <f t="shared" si="3"/>
        <v>4523717.1953242775</v>
      </c>
      <c r="N11" s="10">
        <f t="shared" si="4"/>
        <v>4995523.718660016</v>
      </c>
      <c r="P11" s="23">
        <f>'Potentialer og krav'!U11</f>
        <v>0</v>
      </c>
      <c r="Q11" s="10"/>
      <c r="R11" s="23">
        <f t="shared" si="5"/>
        <v>9904.095</v>
      </c>
      <c r="S11" s="23">
        <f t="shared" si="6"/>
        <v>45786.63118499999</v>
      </c>
      <c r="T11" s="23">
        <f t="shared" si="7"/>
        <v>2145584.745115</v>
      </c>
      <c r="U11" s="23">
        <f t="shared" si="8"/>
        <v>49348.449137644995</v>
      </c>
      <c r="V11" s="23">
        <f t="shared" si="9"/>
        <v>2194933.1942526447</v>
      </c>
      <c r="W11" s="23">
        <f t="shared" si="10"/>
        <v>2036509.7261849996</v>
      </c>
      <c r="X11" s="23">
        <f t="shared" si="11"/>
        <v>49348.449137644995</v>
      </c>
      <c r="Y11" s="23">
        <f t="shared" si="12"/>
        <v>2194933.1942526447</v>
      </c>
      <c r="Z11" s="23">
        <f t="shared" si="13"/>
        <v>-158423.4680676451</v>
      </c>
      <c r="AA11" s="23">
        <f t="shared" si="42"/>
        <v>0</v>
      </c>
      <c r="AB11" s="23"/>
      <c r="AC11" s="35" t="s">
        <v>20</v>
      </c>
      <c r="AD11" s="6">
        <v>1055</v>
      </c>
      <c r="AE11" s="6">
        <v>691000</v>
      </c>
      <c r="AF11" s="6">
        <v>681955</v>
      </c>
      <c r="AG11" s="6"/>
      <c r="AH11" s="6"/>
      <c r="AI11" s="6"/>
      <c r="AJ11" s="6"/>
      <c r="AK11" s="6"/>
      <c r="AL11" s="6">
        <v>133</v>
      </c>
      <c r="AM11" s="6">
        <v>2</v>
      </c>
      <c r="AN11" s="6"/>
      <c r="AO11" s="6"/>
      <c r="AP11" s="6">
        <v>3465</v>
      </c>
      <c r="AQ11" s="6">
        <v>300</v>
      </c>
      <c r="AR11" s="6"/>
      <c r="AS11" s="6"/>
      <c r="AT11" s="6">
        <v>3765</v>
      </c>
      <c r="AU11" s="6">
        <f t="shared" si="14"/>
        <v>0</v>
      </c>
      <c r="AV11" s="6">
        <f t="shared" si="15"/>
        <v>0</v>
      </c>
      <c r="AW11" s="6">
        <f t="shared" si="16"/>
        <v>0</v>
      </c>
      <c r="AX11" s="6"/>
      <c r="AY11" s="6">
        <f t="shared" si="17"/>
        <v>615986.8911235962</v>
      </c>
      <c r="AZ11" s="6">
        <f t="shared" si="18"/>
        <v>1261550.3806661812</v>
      </c>
      <c r="BA11" s="6">
        <f t="shared" si="19"/>
        <v>0</v>
      </c>
      <c r="BB11" s="6">
        <f t="shared" si="20"/>
        <v>815400</v>
      </c>
      <c r="BC11" s="6">
        <f t="shared" si="21"/>
        <v>640050</v>
      </c>
      <c r="BD11" s="6">
        <f t="shared" si="22"/>
        <v>547054.5</v>
      </c>
      <c r="BE11" s="6">
        <v>35.36657279433969</v>
      </c>
      <c r="BF11" s="6">
        <f t="shared" si="43"/>
        <v>3880041.7717897776</v>
      </c>
      <c r="BG11" s="6">
        <f t="shared" si="23"/>
        <v>4351848.295125516</v>
      </c>
      <c r="BH11" s="6"/>
      <c r="BK11" s="30" t="str">
        <f t="shared" si="24"/>
        <v>Andelsselskabet Klinting Vandværk</v>
      </c>
      <c r="BL11" s="23">
        <f t="shared" si="25"/>
        <v>15.875779884695806</v>
      </c>
      <c r="BM11" s="23">
        <f t="shared" si="26"/>
        <v>32.51383502720013</v>
      </c>
      <c r="BN11" s="23">
        <f t="shared" si="27"/>
        <v>0</v>
      </c>
      <c r="BO11" s="23">
        <f t="shared" si="28"/>
        <v>21.015237669048958</v>
      </c>
      <c r="BP11" s="23">
        <f t="shared" si="29"/>
        <v>16.49595642638556</v>
      </c>
      <c r="BQ11" s="23">
        <f t="shared" si="30"/>
        <v>14.099190992669541</v>
      </c>
      <c r="BR11" s="23"/>
      <c r="BS11" s="23">
        <f t="shared" si="44"/>
        <v>30.595147419055102</v>
      </c>
      <c r="BT11" s="23"/>
      <c r="BU11" s="23">
        <f t="shared" si="31"/>
        <v>-4.7408905797566305</v>
      </c>
      <c r="BV11" s="23">
        <f t="shared" si="32"/>
        <v>-0.7178452484432576</v>
      </c>
      <c r="BW11" s="23">
        <f t="shared" si="33"/>
        <v>4.338265408991401</v>
      </c>
      <c r="BX11" s="23">
        <f t="shared" si="34"/>
        <v>2.79005135791925</v>
      </c>
      <c r="BY11" s="23">
        <f t="shared" si="35"/>
        <v>-0.9095100155578066</v>
      </c>
      <c r="BZ11" s="23">
        <f t="shared" si="36"/>
        <v>-0.7600709231529681</v>
      </c>
      <c r="CA11" s="23"/>
      <c r="CB11" s="23">
        <f t="shared" si="37"/>
        <v>-1.66958093871078</v>
      </c>
      <c r="CC11" s="23">
        <f t="shared" si="38"/>
        <v>0</v>
      </c>
    </row>
    <row r="12" spans="1:81" ht="15" customHeight="1">
      <c r="A12" s="1" t="s">
        <v>21</v>
      </c>
      <c r="B12" s="10">
        <v>869946</v>
      </c>
      <c r="C12" s="10">
        <f t="shared" si="39"/>
        <v>874295.7299999999</v>
      </c>
      <c r="D12" s="10">
        <v>805463.235549</v>
      </c>
      <c r="E12" s="10">
        <v>0</v>
      </c>
      <c r="F12" s="23" t="str">
        <f t="shared" si="1"/>
        <v>ingen</v>
      </c>
      <c r="G12" s="10"/>
      <c r="H12" s="10">
        <f t="shared" si="2"/>
        <v>805463.235549</v>
      </c>
      <c r="I12" s="10"/>
      <c r="J12" s="10">
        <f t="shared" si="40"/>
        <v>1600079.6656536595</v>
      </c>
      <c r="K12" s="10">
        <f t="shared" si="41"/>
        <v>1666670.1590180683</v>
      </c>
      <c r="L12" s="10"/>
      <c r="M12" s="10">
        <f t="shared" si="3"/>
        <v>1841718.6363183595</v>
      </c>
      <c r="N12" s="10">
        <f t="shared" si="4"/>
        <v>1908309.1296827684</v>
      </c>
      <c r="P12" s="23">
        <f>'Potentialer og krav'!U12</f>
        <v>0</v>
      </c>
      <c r="Q12" s="10"/>
      <c r="R12" s="23">
        <f t="shared" si="5"/>
        <v>4349.7300000000005</v>
      </c>
      <c r="S12" s="23">
        <f t="shared" si="6"/>
        <v>20108.801789999998</v>
      </c>
      <c r="T12" s="23">
        <f t="shared" si="7"/>
        <v>805463.235549</v>
      </c>
      <c r="U12" s="23">
        <f t="shared" si="8"/>
        <v>18525.654417627</v>
      </c>
      <c r="V12" s="23">
        <f t="shared" si="9"/>
        <v>823988.8899666269</v>
      </c>
      <c r="W12" s="23">
        <f t="shared" si="10"/>
        <v>894404.5317899998</v>
      </c>
      <c r="X12" s="23">
        <f t="shared" si="11"/>
        <v>18525.654417627</v>
      </c>
      <c r="Y12" s="23">
        <f t="shared" si="12"/>
        <v>823988.8899666269</v>
      </c>
      <c r="Z12" s="23">
        <f t="shared" si="13"/>
        <v>70415.64182337292</v>
      </c>
      <c r="AA12" s="23" t="str">
        <f t="shared" si="42"/>
        <v>ingen</v>
      </c>
      <c r="AB12" s="23"/>
      <c r="AC12" s="35" t="s">
        <v>21</v>
      </c>
      <c r="AD12" s="6">
        <v>58</v>
      </c>
      <c r="AE12" s="6">
        <v>471546</v>
      </c>
      <c r="AF12" s="6">
        <v>471546</v>
      </c>
      <c r="AG12" s="6">
        <v>1</v>
      </c>
      <c r="AH12" s="6"/>
      <c r="AI12" s="6"/>
      <c r="AJ12" s="6"/>
      <c r="AK12" s="6"/>
      <c r="AL12" s="6">
        <v>18</v>
      </c>
      <c r="AM12" s="6">
        <v>15</v>
      </c>
      <c r="AN12" s="6"/>
      <c r="AO12" s="6"/>
      <c r="AP12" s="6">
        <v>143</v>
      </c>
      <c r="AQ12" s="6">
        <v>596</v>
      </c>
      <c r="AR12" s="6"/>
      <c r="AS12" s="6"/>
      <c r="AT12" s="6">
        <v>737</v>
      </c>
      <c r="AU12" s="6">
        <f t="shared" si="14"/>
        <v>1</v>
      </c>
      <c r="AV12" s="6">
        <f t="shared" si="15"/>
        <v>0</v>
      </c>
      <c r="AW12" s="6">
        <f t="shared" si="16"/>
        <v>0</v>
      </c>
      <c r="AX12" s="6"/>
      <c r="AY12" s="6">
        <f t="shared" si="17"/>
        <v>251490.42715043607</v>
      </c>
      <c r="AZ12" s="6">
        <f t="shared" si="18"/>
        <v>863349.1385032234</v>
      </c>
      <c r="BA12" s="6">
        <f t="shared" si="19"/>
        <v>53204</v>
      </c>
      <c r="BB12" s="6">
        <f t="shared" si="20"/>
        <v>199320</v>
      </c>
      <c r="BC12" s="6">
        <f t="shared" si="21"/>
        <v>125630</v>
      </c>
      <c r="BD12" s="6">
        <f t="shared" si="22"/>
        <v>107086.1</v>
      </c>
      <c r="BE12" s="6">
        <v>30.9231659</v>
      </c>
      <c r="BF12" s="6">
        <f t="shared" si="43"/>
        <v>1600079.6656536595</v>
      </c>
      <c r="BG12" s="6">
        <f t="shared" si="23"/>
        <v>1666670.1590180683</v>
      </c>
      <c r="BH12" s="6"/>
      <c r="BK12" s="30" t="str">
        <f t="shared" si="24"/>
        <v>Andelsselskabet Ll. Skensved Vandværk</v>
      </c>
      <c r="BL12" s="23">
        <f t="shared" si="25"/>
        <v>15.71736911284964</v>
      </c>
      <c r="BM12" s="23">
        <f t="shared" si="26"/>
        <v>53.95663459984855</v>
      </c>
      <c r="BN12" s="23">
        <f t="shared" si="27"/>
        <v>3.325084440609104</v>
      </c>
      <c r="BO12" s="23">
        <f t="shared" si="28"/>
        <v>12.456879759082147</v>
      </c>
      <c r="BP12" s="23">
        <f t="shared" si="29"/>
        <v>7.851484066493529</v>
      </c>
      <c r="BQ12" s="23">
        <f t="shared" si="30"/>
        <v>6.692548021117031</v>
      </c>
      <c r="BR12" s="23"/>
      <c r="BS12" s="23">
        <f t="shared" si="44"/>
        <v>14.54403208761056</v>
      </c>
      <c r="BT12" s="23"/>
      <c r="BU12" s="23">
        <f t="shared" si="31"/>
        <v>-4.582479807910465</v>
      </c>
      <c r="BV12" s="23">
        <f t="shared" si="32"/>
        <v>-22.160644821091676</v>
      </c>
      <c r="BW12" s="23">
        <f t="shared" si="33"/>
        <v>1.0131809683822968</v>
      </c>
      <c r="BX12" s="23">
        <f t="shared" si="34"/>
        <v>11.34840926788606</v>
      </c>
      <c r="BY12" s="23">
        <f t="shared" si="35"/>
        <v>7.7349623443342255</v>
      </c>
      <c r="BZ12" s="23">
        <f t="shared" si="36"/>
        <v>6.646572048399542</v>
      </c>
      <c r="CA12" s="23"/>
      <c r="CB12" s="23">
        <f t="shared" si="37"/>
        <v>14.381534392733762</v>
      </c>
      <c r="CC12" s="23">
        <f t="shared" si="38"/>
        <v>0</v>
      </c>
    </row>
    <row r="13" spans="1:81" ht="15" customHeight="1">
      <c r="A13" s="1" t="s">
        <v>22</v>
      </c>
      <c r="B13" s="10">
        <v>8757413</v>
      </c>
      <c r="C13" s="10">
        <f t="shared" si="39"/>
        <v>8801200.065</v>
      </c>
      <c r="D13" s="10">
        <v>6291186.3540918</v>
      </c>
      <c r="E13" s="10">
        <v>1606161.1912417484</v>
      </c>
      <c r="F13" s="23" t="str">
        <f t="shared" si="1"/>
        <v>ingen</v>
      </c>
      <c r="G13" s="10"/>
      <c r="H13" s="10">
        <f t="shared" si="2"/>
        <v>6291186.3540918</v>
      </c>
      <c r="I13" s="10"/>
      <c r="J13" s="10">
        <f t="shared" si="40"/>
        <v>6769454.549148824</v>
      </c>
      <c r="K13" s="10">
        <f t="shared" si="41"/>
        <v>7090277.4289898835</v>
      </c>
      <c r="L13" s="10"/>
      <c r="M13" s="10">
        <f t="shared" si="3"/>
        <v>8656810.455376364</v>
      </c>
      <c r="N13" s="10">
        <f t="shared" si="4"/>
        <v>8977633.335217424</v>
      </c>
      <c r="P13" s="23">
        <f>'Potentialer og krav'!U13</f>
        <v>280449.30990453943</v>
      </c>
      <c r="Q13" s="10"/>
      <c r="R13" s="23">
        <f t="shared" si="5"/>
        <v>43787.065</v>
      </c>
      <c r="S13" s="23">
        <f t="shared" si="6"/>
        <v>202427.60149499998</v>
      </c>
      <c r="T13" s="23">
        <f t="shared" si="7"/>
        <v>4685025.162850051</v>
      </c>
      <c r="U13" s="23">
        <f t="shared" si="8"/>
        <v>144697.2861441114</v>
      </c>
      <c r="V13" s="23">
        <f t="shared" si="9"/>
        <v>6435883.64023591</v>
      </c>
      <c r="W13" s="23">
        <f t="shared" si="10"/>
        <v>9003627.666495</v>
      </c>
      <c r="X13" s="23">
        <f t="shared" si="11"/>
        <v>144697.2861441114</v>
      </c>
      <c r="Y13" s="23">
        <f t="shared" si="12"/>
        <v>6435883.64023591</v>
      </c>
      <c r="Z13" s="23">
        <f t="shared" si="13"/>
        <v>2567744.026259089</v>
      </c>
      <c r="AA13" s="23" t="str">
        <f t="shared" si="42"/>
        <v>ingen</v>
      </c>
      <c r="AB13" s="23"/>
      <c r="AC13" s="35" t="s">
        <v>22</v>
      </c>
      <c r="AD13" s="6">
        <v>1108</v>
      </c>
      <c r="AE13" s="38">
        <v>0</v>
      </c>
      <c r="AF13" s="6">
        <v>1371254</v>
      </c>
      <c r="AG13" s="6">
        <v>4</v>
      </c>
      <c r="AH13" s="6">
        <v>5</v>
      </c>
      <c r="AI13" s="6">
        <v>0</v>
      </c>
      <c r="AJ13" s="6">
        <v>0</v>
      </c>
      <c r="AK13" s="6">
        <v>0</v>
      </c>
      <c r="AL13" s="6">
        <v>112</v>
      </c>
      <c r="AM13" s="6">
        <v>136</v>
      </c>
      <c r="AN13" s="6">
        <v>0</v>
      </c>
      <c r="AO13" s="6">
        <v>0</v>
      </c>
      <c r="AP13" s="6">
        <v>5589</v>
      </c>
      <c r="AQ13" s="6">
        <v>1404</v>
      </c>
      <c r="AR13" s="6">
        <v>0</v>
      </c>
      <c r="AS13" s="6">
        <v>0</v>
      </c>
      <c r="AT13" s="6">
        <v>7000</v>
      </c>
      <c r="AU13" s="6">
        <f t="shared" si="14"/>
        <v>9</v>
      </c>
      <c r="AV13" s="6">
        <f t="shared" si="15"/>
        <v>0</v>
      </c>
      <c r="AW13" s="6">
        <f t="shared" si="16"/>
        <v>0</v>
      </c>
      <c r="AX13" s="6"/>
      <c r="AY13" s="6">
        <f t="shared" si="17"/>
        <v>0</v>
      </c>
      <c r="AZ13" s="6">
        <f t="shared" si="18"/>
        <v>2586788.549148824</v>
      </c>
      <c r="BA13" s="6">
        <f t="shared" si="19"/>
        <v>478836</v>
      </c>
      <c r="BB13" s="6">
        <f t="shared" si="20"/>
        <v>1497920</v>
      </c>
      <c r="BC13" s="6">
        <f t="shared" si="21"/>
        <v>1188810</v>
      </c>
      <c r="BD13" s="6">
        <f t="shared" si="22"/>
        <v>1017100.0000000001</v>
      </c>
      <c r="BE13" s="6">
        <v>31.24404013</v>
      </c>
      <c r="BF13" s="6">
        <f t="shared" si="43"/>
        <v>6769454.549148824</v>
      </c>
      <c r="BG13" s="6">
        <f t="shared" si="23"/>
        <v>7090277.4289898835</v>
      </c>
      <c r="BH13" s="6"/>
      <c r="BK13" s="30" t="str">
        <f t="shared" si="24"/>
        <v>Arwos Vand A/S</v>
      </c>
      <c r="BL13" s="23">
        <f t="shared" si="25"/>
        <v>0</v>
      </c>
      <c r="BM13" s="23">
        <f t="shared" si="26"/>
        <v>38.212658499554905</v>
      </c>
      <c r="BN13" s="23">
        <f t="shared" si="27"/>
        <v>7.073479798460392</v>
      </c>
      <c r="BO13" s="23">
        <f t="shared" si="28"/>
        <v>22.12763213231626</v>
      </c>
      <c r="BP13" s="23">
        <f t="shared" si="29"/>
        <v>17.561385357842134</v>
      </c>
      <c r="BQ13" s="23">
        <f t="shared" si="30"/>
        <v>15.024844211826313</v>
      </c>
      <c r="BR13" s="23"/>
      <c r="BS13" s="23">
        <f t="shared" si="44"/>
        <v>32.58622956966845</v>
      </c>
      <c r="BT13" s="23"/>
      <c r="BU13" s="23">
        <f t="shared" si="31"/>
        <v>11.134889304939176</v>
      </c>
      <c r="BV13" s="23">
        <f t="shared" si="32"/>
        <v>-6.416668720798032</v>
      </c>
      <c r="BW13" s="23">
        <f t="shared" si="33"/>
        <v>-2.7352143894689913</v>
      </c>
      <c r="BX13" s="23">
        <f t="shared" si="34"/>
        <v>1.6776568946519461</v>
      </c>
      <c r="BY13" s="23">
        <f t="shared" si="35"/>
        <v>-1.9749389470143797</v>
      </c>
      <c r="BZ13" s="23">
        <f t="shared" si="36"/>
        <v>-1.6857241423097395</v>
      </c>
      <c r="CA13" s="23"/>
      <c r="CB13" s="23">
        <f t="shared" si="37"/>
        <v>-3.6606630893241245</v>
      </c>
      <c r="CC13" s="23">
        <f t="shared" si="38"/>
        <v>0</v>
      </c>
    </row>
    <row r="14" spans="1:81" ht="15" customHeight="1">
      <c r="A14" s="1" t="s">
        <v>23</v>
      </c>
      <c r="B14" s="10">
        <v>3745293</v>
      </c>
      <c r="C14" s="10">
        <f t="shared" si="39"/>
        <v>3764019.4649999994</v>
      </c>
      <c r="D14" s="10">
        <v>3437257.1714908</v>
      </c>
      <c r="E14" s="10">
        <v>811192.6924718288</v>
      </c>
      <c r="F14" s="23" t="str">
        <f t="shared" si="1"/>
        <v>ingen</v>
      </c>
      <c r="G14" s="10"/>
      <c r="H14" s="10">
        <f t="shared" si="2"/>
        <v>3437257.1714908</v>
      </c>
      <c r="I14" s="10"/>
      <c r="J14" s="10">
        <f t="shared" si="40"/>
        <v>4378111.1884022895</v>
      </c>
      <c r="K14" s="10">
        <f t="shared" si="41"/>
        <v>4573032.062580541</v>
      </c>
      <c r="L14" s="10"/>
      <c r="M14" s="10">
        <f t="shared" si="3"/>
        <v>5409288.33984953</v>
      </c>
      <c r="N14" s="10">
        <f t="shared" si="4"/>
        <v>5604209.214027781</v>
      </c>
      <c r="P14" s="23">
        <f>'Potentialer og krav'!U14</f>
        <v>51914.633377935825</v>
      </c>
      <c r="Q14" s="10"/>
      <c r="R14" s="23">
        <f t="shared" si="5"/>
        <v>18726.465</v>
      </c>
      <c r="S14" s="23">
        <f t="shared" si="6"/>
        <v>86572.44769499998</v>
      </c>
      <c r="T14" s="23">
        <f t="shared" si="7"/>
        <v>2626064.4790189713</v>
      </c>
      <c r="U14" s="23">
        <f t="shared" si="8"/>
        <v>79056.91494428841</v>
      </c>
      <c r="V14" s="23">
        <f t="shared" si="9"/>
        <v>3516314.0864350884</v>
      </c>
      <c r="W14" s="23">
        <f t="shared" si="10"/>
        <v>3850591.912694999</v>
      </c>
      <c r="X14" s="23">
        <f t="shared" si="11"/>
        <v>79056.91494428841</v>
      </c>
      <c r="Y14" s="23">
        <f t="shared" si="12"/>
        <v>3516314.0864350884</v>
      </c>
      <c r="Z14" s="23">
        <f t="shared" si="13"/>
        <v>334277.8262599106</v>
      </c>
      <c r="AA14" s="23" t="str">
        <f t="shared" si="42"/>
        <v>ingen</v>
      </c>
      <c r="AB14" s="23"/>
      <c r="AC14" s="35" t="s">
        <v>23</v>
      </c>
      <c r="AD14" s="6">
        <v>537</v>
      </c>
      <c r="AE14" s="6">
        <v>757363</v>
      </c>
      <c r="AF14" s="6">
        <v>749967</v>
      </c>
      <c r="AG14" s="6">
        <v>4</v>
      </c>
      <c r="AH14" s="6">
        <v>3</v>
      </c>
      <c r="AI14" s="6"/>
      <c r="AJ14" s="6"/>
      <c r="AK14" s="6"/>
      <c r="AL14" s="6">
        <v>62.6</v>
      </c>
      <c r="AM14" s="6">
        <v>65.4</v>
      </c>
      <c r="AN14" s="6"/>
      <c r="AO14" s="6"/>
      <c r="AP14" s="6">
        <v>876</v>
      </c>
      <c r="AQ14" s="6">
        <v>2930</v>
      </c>
      <c r="AR14" s="6"/>
      <c r="AS14" s="6"/>
      <c r="AT14" s="6">
        <v>4198</v>
      </c>
      <c r="AU14" s="6">
        <f t="shared" si="14"/>
        <v>7</v>
      </c>
      <c r="AV14" s="6">
        <f t="shared" si="15"/>
        <v>0</v>
      </c>
      <c r="AW14" s="6">
        <f t="shared" si="16"/>
        <v>0</v>
      </c>
      <c r="AX14" s="6"/>
      <c r="AY14" s="6">
        <f t="shared" si="17"/>
        <v>584509.9683080846</v>
      </c>
      <c r="AZ14" s="6">
        <f t="shared" si="18"/>
        <v>1391063.8200942047</v>
      </c>
      <c r="BA14" s="6">
        <f t="shared" si="19"/>
        <v>372428</v>
      </c>
      <c r="BB14" s="6">
        <f t="shared" si="20"/>
        <v>773120</v>
      </c>
      <c r="BC14" s="6">
        <f t="shared" si="21"/>
        <v>647020</v>
      </c>
      <c r="BD14" s="6">
        <f t="shared" si="22"/>
        <v>609969.4</v>
      </c>
      <c r="BE14" s="6">
        <v>31.08453789</v>
      </c>
      <c r="BF14" s="6">
        <f t="shared" si="43"/>
        <v>4378111.1884022895</v>
      </c>
      <c r="BG14" s="6">
        <f t="shared" si="23"/>
        <v>4573032.062580541</v>
      </c>
      <c r="BH14" s="6"/>
      <c r="BK14" s="30" t="str">
        <f t="shared" si="24"/>
        <v>Assens Vandværk A/S</v>
      </c>
      <c r="BL14" s="23">
        <f t="shared" si="25"/>
        <v>13.350733756065036</v>
      </c>
      <c r="BM14" s="23">
        <f t="shared" si="26"/>
        <v>31.773149658217054</v>
      </c>
      <c r="BN14" s="23">
        <f t="shared" si="27"/>
        <v>8.506590718540217</v>
      </c>
      <c r="BO14" s="23">
        <f t="shared" si="28"/>
        <v>17.65875663569284</v>
      </c>
      <c r="BP14" s="23">
        <f t="shared" si="29"/>
        <v>14.778519141175991</v>
      </c>
      <c r="BQ14" s="23">
        <f t="shared" si="30"/>
        <v>13.932250090308854</v>
      </c>
      <c r="BR14" s="23"/>
      <c r="BS14" s="23">
        <f t="shared" si="44"/>
        <v>28.710769231484846</v>
      </c>
      <c r="BT14" s="23"/>
      <c r="BU14" s="23">
        <f t="shared" si="31"/>
        <v>-2.215844451125861</v>
      </c>
      <c r="BV14" s="23">
        <f t="shared" si="32"/>
        <v>0.022840120539818543</v>
      </c>
      <c r="BW14" s="23">
        <f t="shared" si="33"/>
        <v>-4.168325309548816</v>
      </c>
      <c r="BX14" s="23">
        <f t="shared" si="34"/>
        <v>6.146532391275368</v>
      </c>
      <c r="BY14" s="23">
        <f t="shared" si="35"/>
        <v>0.8079272696517634</v>
      </c>
      <c r="BZ14" s="23">
        <f t="shared" si="36"/>
        <v>-0.5931300207922803</v>
      </c>
      <c r="CA14" s="23"/>
      <c r="CB14" s="23">
        <f t="shared" si="37"/>
        <v>0.21479724885947604</v>
      </c>
      <c r="CC14" s="23">
        <f t="shared" si="38"/>
        <v>0</v>
      </c>
    </row>
    <row r="15" spans="1:81" ht="15" customHeight="1">
      <c r="A15" s="1" t="s">
        <v>24</v>
      </c>
      <c r="B15" s="10">
        <v>3664313.57</v>
      </c>
      <c r="C15" s="10">
        <f t="shared" si="39"/>
        <v>3682635.1378499996</v>
      </c>
      <c r="D15" s="10">
        <v>1993297.5201314</v>
      </c>
      <c r="E15" s="10">
        <v>0</v>
      </c>
      <c r="F15" s="23" t="str">
        <f t="shared" si="1"/>
        <v>ingen</v>
      </c>
      <c r="G15" s="3"/>
      <c r="H15" s="10">
        <f t="shared" si="2"/>
        <v>1993297.5201314</v>
      </c>
      <c r="I15" s="10"/>
      <c r="J15" s="10">
        <f t="shared" si="40"/>
        <v>4425812.766720963</v>
      </c>
      <c r="K15" s="10">
        <f t="shared" si="41"/>
        <v>3946979.7954964647</v>
      </c>
      <c r="L15" s="10"/>
      <c r="M15" s="10">
        <f t="shared" si="3"/>
        <v>5023802.022760383</v>
      </c>
      <c r="N15" s="10">
        <f t="shared" si="4"/>
        <v>4544969.051535885</v>
      </c>
      <c r="P15" s="23">
        <f>'Potentialer og krav'!U15</f>
        <v>0</v>
      </c>
      <c r="Q15" s="10"/>
      <c r="R15" s="23">
        <f t="shared" si="5"/>
        <v>18321.56785</v>
      </c>
      <c r="S15" s="23">
        <f t="shared" si="6"/>
        <v>84700.60817055</v>
      </c>
      <c r="T15" s="23">
        <f t="shared" si="7"/>
        <v>1993297.5201314</v>
      </c>
      <c r="U15" s="23">
        <f t="shared" si="8"/>
        <v>45845.8429630222</v>
      </c>
      <c r="V15" s="23">
        <f t="shared" si="9"/>
        <v>2039143.363094422</v>
      </c>
      <c r="W15" s="23">
        <f t="shared" si="10"/>
        <v>3767335.7460205494</v>
      </c>
      <c r="X15" s="23">
        <f t="shared" si="11"/>
        <v>45845.8429630222</v>
      </c>
      <c r="Y15" s="23">
        <f t="shared" si="12"/>
        <v>2039143.363094422</v>
      </c>
      <c r="Z15" s="23">
        <f t="shared" si="13"/>
        <v>1728192.3829261274</v>
      </c>
      <c r="AA15" s="23" t="str">
        <f t="shared" si="42"/>
        <v>ingen</v>
      </c>
      <c r="AB15" s="23"/>
      <c r="AC15" s="35" t="s">
        <v>24</v>
      </c>
      <c r="AD15" s="6">
        <v>596</v>
      </c>
      <c r="AE15" s="6">
        <v>864466</v>
      </c>
      <c r="AF15" s="6">
        <v>841789</v>
      </c>
      <c r="AG15" s="6"/>
      <c r="AH15" s="6">
        <v>3</v>
      </c>
      <c r="AI15" s="6"/>
      <c r="AJ15" s="6"/>
      <c r="AK15" s="6"/>
      <c r="AL15" s="6">
        <v>66</v>
      </c>
      <c r="AM15" s="6">
        <v>86</v>
      </c>
      <c r="AN15" s="6"/>
      <c r="AO15" s="6"/>
      <c r="AP15" s="6">
        <v>153</v>
      </c>
      <c r="AQ15" s="6">
        <v>3363</v>
      </c>
      <c r="AR15" s="6"/>
      <c r="AS15" s="6"/>
      <c r="AT15" s="6">
        <v>3546</v>
      </c>
      <c r="AU15" s="6">
        <f t="shared" si="14"/>
        <v>3</v>
      </c>
      <c r="AV15" s="6">
        <f t="shared" si="15"/>
        <v>0</v>
      </c>
      <c r="AW15" s="6">
        <f t="shared" si="16"/>
        <v>0</v>
      </c>
      <c r="AX15" s="6"/>
      <c r="AY15" s="6">
        <f t="shared" si="17"/>
        <v>668730.9572579254</v>
      </c>
      <c r="AZ15" s="6">
        <f t="shared" si="18"/>
        <v>1566436.009463037</v>
      </c>
      <c r="BA15" s="6">
        <f t="shared" si="19"/>
        <v>159612</v>
      </c>
      <c r="BB15" s="6">
        <f t="shared" si="20"/>
        <v>918080</v>
      </c>
      <c r="BC15" s="6">
        <f t="shared" si="21"/>
        <v>597720</v>
      </c>
      <c r="BD15" s="6">
        <f t="shared" si="22"/>
        <v>515233.80000000005</v>
      </c>
      <c r="BE15" s="6">
        <v>22.60050173</v>
      </c>
      <c r="BF15" s="6">
        <f t="shared" si="43"/>
        <v>4425812.766720963</v>
      </c>
      <c r="BG15" s="6">
        <f t="shared" si="23"/>
        <v>3946979.7954964647</v>
      </c>
      <c r="BH15" s="6"/>
      <c r="BK15" s="30" t="str">
        <f t="shared" si="24"/>
        <v>Billund Drikkevand A/S</v>
      </c>
      <c r="BL15" s="23">
        <f t="shared" si="25"/>
        <v>15.109788698842339</v>
      </c>
      <c r="BM15" s="23">
        <f t="shared" si="26"/>
        <v>35.393182948034934</v>
      </c>
      <c r="BN15" s="23">
        <f t="shared" si="27"/>
        <v>3.6063884401114152</v>
      </c>
      <c r="BO15" s="23">
        <f t="shared" si="28"/>
        <v>20.74376048854402</v>
      </c>
      <c r="BP15" s="23">
        <f t="shared" si="29"/>
        <v>13.50531600646189</v>
      </c>
      <c r="BQ15" s="23">
        <f t="shared" si="30"/>
        <v>11.641563418005395</v>
      </c>
      <c r="BR15" s="23"/>
      <c r="BS15" s="23">
        <f t="shared" si="44"/>
        <v>25.146879424467286</v>
      </c>
      <c r="BT15" s="23"/>
      <c r="BU15" s="23">
        <f t="shared" si="31"/>
        <v>-3.974899393903163</v>
      </c>
      <c r="BV15" s="23">
        <f t="shared" si="32"/>
        <v>-3.5971931692780608</v>
      </c>
      <c r="BW15" s="23">
        <f t="shared" si="33"/>
        <v>0.7318769688799853</v>
      </c>
      <c r="BX15" s="23">
        <f t="shared" si="34"/>
        <v>3.061528538424188</v>
      </c>
      <c r="BY15" s="23">
        <f t="shared" si="35"/>
        <v>2.081130404365865</v>
      </c>
      <c r="BZ15" s="23">
        <f t="shared" si="36"/>
        <v>1.697556651511178</v>
      </c>
      <c r="CA15" s="23"/>
      <c r="CB15" s="23">
        <f t="shared" si="37"/>
        <v>3.778687055877036</v>
      </c>
      <c r="CC15" s="23">
        <f t="shared" si="38"/>
        <v>0</v>
      </c>
    </row>
    <row r="16" spans="1:81" ht="15" customHeight="1">
      <c r="A16" s="1" t="s">
        <v>25</v>
      </c>
      <c r="B16" s="10">
        <v>3155495</v>
      </c>
      <c r="C16" s="10">
        <f t="shared" si="39"/>
        <v>3171272.4749999996</v>
      </c>
      <c r="D16" s="10">
        <v>2179137</v>
      </c>
      <c r="E16" s="10">
        <v>340690.1329302607</v>
      </c>
      <c r="F16" s="23" t="str">
        <f t="shared" si="1"/>
        <v>ingen</v>
      </c>
      <c r="G16" s="10"/>
      <c r="H16" s="10">
        <f t="shared" si="2"/>
        <v>2179137</v>
      </c>
      <c r="I16" s="10"/>
      <c r="J16" s="10">
        <f t="shared" si="40"/>
        <v>3060176.5341072595</v>
      </c>
      <c r="K16" s="10">
        <f t="shared" si="41"/>
        <v>3229535.7131541</v>
      </c>
      <c r="L16" s="10"/>
      <c r="M16" s="10">
        <f t="shared" si="3"/>
        <v>3713917.6341072596</v>
      </c>
      <c r="N16" s="10">
        <f t="shared" si="4"/>
        <v>3883276.8131541</v>
      </c>
      <c r="P16" s="23">
        <f>'Potentialer og krav'!U16</f>
        <v>0</v>
      </c>
      <c r="Q16" s="10"/>
      <c r="R16" s="23">
        <f t="shared" si="5"/>
        <v>15777.475</v>
      </c>
      <c r="S16" s="23">
        <f t="shared" si="6"/>
        <v>72939.26692499999</v>
      </c>
      <c r="T16" s="23">
        <f t="shared" si="7"/>
        <v>1838446.8670697394</v>
      </c>
      <c r="U16" s="23">
        <f t="shared" si="8"/>
        <v>50120.151</v>
      </c>
      <c r="V16" s="23">
        <f t="shared" si="9"/>
        <v>2229257.1509999996</v>
      </c>
      <c r="W16" s="23">
        <f t="shared" si="10"/>
        <v>3244211.7419249993</v>
      </c>
      <c r="X16" s="23">
        <f t="shared" si="11"/>
        <v>50120.151</v>
      </c>
      <c r="Y16" s="23">
        <f t="shared" si="12"/>
        <v>2229257.1509999996</v>
      </c>
      <c r="Z16" s="23">
        <f t="shared" si="13"/>
        <v>1014954.5909249997</v>
      </c>
      <c r="AA16" s="23" t="str">
        <f t="shared" si="42"/>
        <v>ingen</v>
      </c>
      <c r="AB16" s="23"/>
      <c r="AC16" s="35" t="s">
        <v>25</v>
      </c>
      <c r="AD16" s="6">
        <v>420</v>
      </c>
      <c r="AE16" s="6">
        <v>572538</v>
      </c>
      <c r="AF16" s="6">
        <v>546362</v>
      </c>
      <c r="AG16" s="6">
        <v>3</v>
      </c>
      <c r="AH16" s="6">
        <v>0</v>
      </c>
      <c r="AI16" s="6">
        <v>0</v>
      </c>
      <c r="AJ16" s="6">
        <v>0</v>
      </c>
      <c r="AK16" s="6">
        <v>0</v>
      </c>
      <c r="AL16" s="6"/>
      <c r="AM16" s="6">
        <v>82</v>
      </c>
      <c r="AN16" s="6"/>
      <c r="AO16" s="6"/>
      <c r="AP16" s="6">
        <v>96</v>
      </c>
      <c r="AQ16" s="6">
        <v>2920</v>
      </c>
      <c r="AR16" s="6"/>
      <c r="AS16" s="6"/>
      <c r="AT16" s="6">
        <v>3101</v>
      </c>
      <c r="AU16" s="6">
        <f t="shared" si="14"/>
        <v>3</v>
      </c>
      <c r="AV16" s="6">
        <f t="shared" si="15"/>
        <v>0</v>
      </c>
      <c r="AW16" s="6">
        <f t="shared" si="16"/>
        <v>0</v>
      </c>
      <c r="AX16" s="6"/>
      <c r="AY16" s="6">
        <f t="shared" si="17"/>
        <v>437526.8890756953</v>
      </c>
      <c r="AZ16" s="6">
        <f t="shared" si="18"/>
        <v>1004462.3450315639</v>
      </c>
      <c r="BA16" s="6">
        <f t="shared" si="19"/>
        <v>159612</v>
      </c>
      <c r="BB16" s="6">
        <f t="shared" si="20"/>
        <v>495280.00000000006</v>
      </c>
      <c r="BC16" s="6">
        <f t="shared" si="21"/>
        <v>512720</v>
      </c>
      <c r="BD16" s="6">
        <f t="shared" si="22"/>
        <v>450575.30000000005</v>
      </c>
      <c r="BE16" s="6">
        <v>31.68571912</v>
      </c>
      <c r="BF16" s="6">
        <f t="shared" si="43"/>
        <v>3060176.5341072595</v>
      </c>
      <c r="BG16" s="6">
        <f t="shared" si="23"/>
        <v>3229535.7131541</v>
      </c>
      <c r="BH16" s="6"/>
      <c r="BK16" s="30" t="str">
        <f t="shared" si="24"/>
        <v>Bjerringbro Fællesvandværk</v>
      </c>
      <c r="BL16" s="23">
        <f t="shared" si="25"/>
        <v>14.297439516943891</v>
      </c>
      <c r="BM16" s="23">
        <f t="shared" si="26"/>
        <v>32.82367320434977</v>
      </c>
      <c r="BN16" s="23">
        <f t="shared" si="27"/>
        <v>5.215777528552397</v>
      </c>
      <c r="BO16" s="23">
        <f t="shared" si="28"/>
        <v>16.18468720610876</v>
      </c>
      <c r="BP16" s="23">
        <f t="shared" si="29"/>
        <v>16.754588968494755</v>
      </c>
      <c r="BQ16" s="23">
        <f t="shared" si="30"/>
        <v>14.723833575550426</v>
      </c>
      <c r="BR16" s="23"/>
      <c r="BS16" s="23">
        <f t="shared" si="44"/>
        <v>31.47842254404518</v>
      </c>
      <c r="BT16" s="23"/>
      <c r="BU16" s="23">
        <f t="shared" si="31"/>
        <v>-3.1625502120047155</v>
      </c>
      <c r="BV16" s="23">
        <f t="shared" si="32"/>
        <v>-1.027683425592894</v>
      </c>
      <c r="BW16" s="23">
        <f t="shared" si="33"/>
        <v>-0.8775121195609961</v>
      </c>
      <c r="BX16" s="23">
        <f t="shared" si="34"/>
        <v>7.620601820859449</v>
      </c>
      <c r="BY16" s="23">
        <f t="shared" si="35"/>
        <v>-1.1681425576670001</v>
      </c>
      <c r="BZ16" s="23">
        <f t="shared" si="36"/>
        <v>-1.3847135060338527</v>
      </c>
      <c r="CA16" s="23"/>
      <c r="CB16" s="23">
        <f t="shared" si="37"/>
        <v>-2.552856063700858</v>
      </c>
      <c r="CC16" s="23">
        <f t="shared" si="38"/>
        <v>0</v>
      </c>
    </row>
    <row r="17" spans="1:81" ht="15" customHeight="1">
      <c r="A17" s="1" t="s">
        <v>26</v>
      </c>
      <c r="B17" s="10">
        <v>701235</v>
      </c>
      <c r="C17" s="10">
        <f t="shared" si="39"/>
        <v>704741.1749999999</v>
      </c>
      <c r="D17" s="10">
        <v>372213.82009000005</v>
      </c>
      <c r="E17" s="10">
        <v>0</v>
      </c>
      <c r="F17" s="23" t="str">
        <f t="shared" si="1"/>
        <v>ingen</v>
      </c>
      <c r="G17" s="10"/>
      <c r="H17" s="10">
        <f t="shared" si="2"/>
        <v>372213.82009000005</v>
      </c>
      <c r="I17" s="10"/>
      <c r="J17" s="10">
        <f t="shared" si="40"/>
        <v>1346355.0300687114</v>
      </c>
      <c r="K17" s="10">
        <f t="shared" si="41"/>
        <v>871091.7044544563</v>
      </c>
      <c r="L17" s="10"/>
      <c r="M17" s="10">
        <f t="shared" si="3"/>
        <v>1458019.1760957113</v>
      </c>
      <c r="N17" s="10">
        <f t="shared" si="4"/>
        <v>982755.8504814564</v>
      </c>
      <c r="P17" s="23">
        <f>'Potentialer og krav'!U17</f>
        <v>0</v>
      </c>
      <c r="Q17" s="10"/>
      <c r="R17" s="23">
        <f t="shared" si="5"/>
        <v>3506.175</v>
      </c>
      <c r="S17" s="23">
        <f t="shared" si="6"/>
        <v>16209.047024999998</v>
      </c>
      <c r="T17" s="23">
        <f t="shared" si="7"/>
        <v>372213.82009000005</v>
      </c>
      <c r="U17" s="23">
        <f t="shared" si="8"/>
        <v>8560.91786207</v>
      </c>
      <c r="V17" s="23">
        <f t="shared" si="9"/>
        <v>380774.73795207</v>
      </c>
      <c r="W17" s="23">
        <f t="shared" si="10"/>
        <v>720950.2220249999</v>
      </c>
      <c r="X17" s="23">
        <f t="shared" si="11"/>
        <v>8560.91786207</v>
      </c>
      <c r="Y17" s="23">
        <f t="shared" si="12"/>
        <v>380774.73795207</v>
      </c>
      <c r="Z17" s="23">
        <f t="shared" si="13"/>
        <v>340175.4840729299</v>
      </c>
      <c r="AA17" s="23" t="str">
        <f t="shared" si="42"/>
        <v>ingen</v>
      </c>
      <c r="AB17" s="23"/>
      <c r="AC17" s="35" t="s">
        <v>26</v>
      </c>
      <c r="AD17" s="6">
        <v>280</v>
      </c>
      <c r="AE17" s="6">
        <v>421681</v>
      </c>
      <c r="AF17" s="6">
        <v>410636</v>
      </c>
      <c r="AG17" s="6">
        <v>4</v>
      </c>
      <c r="AH17" s="6"/>
      <c r="AI17" s="6"/>
      <c r="AJ17" s="6"/>
      <c r="AK17" s="6"/>
      <c r="AL17" s="6">
        <v>12</v>
      </c>
      <c r="AM17" s="6"/>
      <c r="AN17" s="6"/>
      <c r="AO17" s="6"/>
      <c r="AP17" s="6">
        <v>0</v>
      </c>
      <c r="AQ17" s="6"/>
      <c r="AR17" s="6"/>
      <c r="AS17" s="6"/>
      <c r="AT17" s="6">
        <v>12</v>
      </c>
      <c r="AU17" s="6">
        <f t="shared" si="14"/>
        <v>4</v>
      </c>
      <c r="AV17" s="6">
        <f t="shared" si="15"/>
        <v>0</v>
      </c>
      <c r="AW17" s="6">
        <f t="shared" si="16"/>
        <v>0</v>
      </c>
      <c r="AX17" s="6"/>
      <c r="AY17" s="6">
        <f t="shared" si="17"/>
        <v>310391.79193747684</v>
      </c>
      <c r="AZ17" s="6">
        <f t="shared" si="18"/>
        <v>748923.6381312344</v>
      </c>
      <c r="BA17" s="6">
        <f t="shared" si="19"/>
        <v>212816</v>
      </c>
      <c r="BB17" s="6">
        <f t="shared" si="20"/>
        <v>72480</v>
      </c>
      <c r="BC17" s="6">
        <f t="shared" si="21"/>
        <v>0</v>
      </c>
      <c r="BD17" s="6">
        <f t="shared" si="22"/>
        <v>1743.6000000000001</v>
      </c>
      <c r="BE17" s="6">
        <v>9</v>
      </c>
      <c r="BF17" s="6">
        <f t="shared" si="43"/>
        <v>1346355.0300687114</v>
      </c>
      <c r="BG17" s="6">
        <f t="shared" si="23"/>
        <v>871091.7044544563</v>
      </c>
      <c r="BH17" s="6"/>
      <c r="BK17" s="30" t="str">
        <f t="shared" si="24"/>
        <v>Bjøvlund Vandværk</v>
      </c>
      <c r="BL17" s="23">
        <f t="shared" si="25"/>
        <v>23.054230496813013</v>
      </c>
      <c r="BM17" s="23">
        <f t="shared" si="26"/>
        <v>55.62601404571667</v>
      </c>
      <c r="BN17" s="23">
        <f t="shared" si="27"/>
        <v>15.806826226893431</v>
      </c>
      <c r="BO17" s="23">
        <f t="shared" si="28"/>
        <v>5.383424013820558</v>
      </c>
      <c r="BP17" s="23">
        <f t="shared" si="29"/>
        <v>0</v>
      </c>
      <c r="BQ17" s="23">
        <f t="shared" si="30"/>
        <v>0.12950521675631244</v>
      </c>
      <c r="BR17" s="23"/>
      <c r="BS17" s="23">
        <f t="shared" si="44"/>
        <v>0.12950521675631244</v>
      </c>
      <c r="BT17" s="23"/>
      <c r="BU17" s="23">
        <f t="shared" si="31"/>
        <v>-11.919341191873837</v>
      </c>
      <c r="BV17" s="23">
        <f t="shared" si="32"/>
        <v>-23.8300242669598</v>
      </c>
      <c r="BW17" s="23">
        <f t="shared" si="33"/>
        <v>-11.46856081790203</v>
      </c>
      <c r="BX17" s="23">
        <f t="shared" si="34"/>
        <v>18.42186501314765</v>
      </c>
      <c r="BY17" s="23">
        <f t="shared" si="35"/>
        <v>15.586446410827755</v>
      </c>
      <c r="BZ17" s="23">
        <f t="shared" si="36"/>
        <v>13.20961485276026</v>
      </c>
      <c r="CA17" s="23"/>
      <c r="CB17" s="23">
        <f t="shared" si="37"/>
        <v>28.796061263588008</v>
      </c>
      <c r="CC17" s="23">
        <f t="shared" si="38"/>
        <v>0</v>
      </c>
    </row>
    <row r="18" spans="1:81" ht="15" customHeight="1">
      <c r="A18" s="1" t="s">
        <v>27</v>
      </c>
      <c r="B18" s="10">
        <v>2591396</v>
      </c>
      <c r="C18" s="10">
        <f t="shared" si="39"/>
        <v>2604352.9799999995</v>
      </c>
      <c r="D18" s="10">
        <v>2091310.5185588</v>
      </c>
      <c r="E18" s="10">
        <v>1142696.8089012352</v>
      </c>
      <c r="F18" s="23" t="str">
        <f t="shared" si="1"/>
        <v>ingen</v>
      </c>
      <c r="G18" s="10"/>
      <c r="H18" s="10">
        <f t="shared" si="2"/>
        <v>2091310.5185588</v>
      </c>
      <c r="I18" s="10"/>
      <c r="J18" s="10">
        <f t="shared" si="40"/>
        <v>1546397.3252809888</v>
      </c>
      <c r="K18" s="10">
        <f t="shared" si="41"/>
        <v>1703288.0551786683</v>
      </c>
      <c r="L18" s="10"/>
      <c r="M18" s="10">
        <f t="shared" si="3"/>
        <v>2173790.480848629</v>
      </c>
      <c r="N18" s="10">
        <f t="shared" si="4"/>
        <v>2330681.2107463083</v>
      </c>
      <c r="P18" s="23">
        <f>'Potentialer og krav'!U18</f>
        <v>104565.52592794</v>
      </c>
      <c r="Q18" s="10"/>
      <c r="R18" s="23">
        <f t="shared" si="5"/>
        <v>12956.98</v>
      </c>
      <c r="S18" s="23">
        <f t="shared" si="6"/>
        <v>59900.11853999999</v>
      </c>
      <c r="T18" s="23">
        <f t="shared" si="7"/>
        <v>948613.7096575648</v>
      </c>
      <c r="U18" s="23">
        <f t="shared" si="8"/>
        <v>48100.1419268524</v>
      </c>
      <c r="V18" s="23">
        <f t="shared" si="9"/>
        <v>2139410.6604856523</v>
      </c>
      <c r="W18" s="23">
        <f t="shared" si="10"/>
        <v>2664253.098539999</v>
      </c>
      <c r="X18" s="23">
        <f t="shared" si="11"/>
        <v>48100.1419268524</v>
      </c>
      <c r="Y18" s="23">
        <f t="shared" si="12"/>
        <v>2139410.6604856523</v>
      </c>
      <c r="Z18" s="23">
        <f t="shared" si="13"/>
        <v>524842.438054347</v>
      </c>
      <c r="AA18" s="23" t="str">
        <f t="shared" si="42"/>
        <v>ingen</v>
      </c>
      <c r="AB18" s="23"/>
      <c r="AC18" s="35" t="s">
        <v>27</v>
      </c>
      <c r="AD18" s="6">
        <v>45</v>
      </c>
      <c r="AE18" s="6">
        <v>264200</v>
      </c>
      <c r="AF18" s="6">
        <v>259200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29</v>
      </c>
      <c r="AM18" s="6">
        <v>30</v>
      </c>
      <c r="AN18" s="6">
        <v>0</v>
      </c>
      <c r="AO18" s="6">
        <v>0</v>
      </c>
      <c r="AP18" s="6">
        <v>301</v>
      </c>
      <c r="AQ18" s="6">
        <v>1533</v>
      </c>
      <c r="AR18" s="6">
        <v>0</v>
      </c>
      <c r="AS18" s="6">
        <v>0</v>
      </c>
      <c r="AT18" s="6">
        <v>1834</v>
      </c>
      <c r="AU18" s="6">
        <f t="shared" si="14"/>
        <v>0</v>
      </c>
      <c r="AV18" s="6">
        <f t="shared" si="15"/>
        <v>0</v>
      </c>
      <c r="AW18" s="6">
        <f t="shared" si="16"/>
        <v>0</v>
      </c>
      <c r="AX18" s="6"/>
      <c r="AY18" s="6">
        <f t="shared" si="17"/>
        <v>145095.7187940879</v>
      </c>
      <c r="AZ18" s="6">
        <f t="shared" si="18"/>
        <v>466681.40648690093</v>
      </c>
      <c r="BA18" s="6">
        <f t="shared" si="19"/>
        <v>0</v>
      </c>
      <c r="BB18" s="6">
        <f t="shared" si="20"/>
        <v>356360</v>
      </c>
      <c r="BC18" s="6">
        <f t="shared" si="21"/>
        <v>311780</v>
      </c>
      <c r="BD18" s="6">
        <f t="shared" si="22"/>
        <v>266480.2</v>
      </c>
      <c r="BE18" s="6">
        <v>34.24753554</v>
      </c>
      <c r="BF18" s="6">
        <f t="shared" si="43"/>
        <v>1546397.3252809888</v>
      </c>
      <c r="BG18" s="6">
        <f t="shared" si="23"/>
        <v>1703288.0551786683</v>
      </c>
      <c r="BH18" s="6"/>
      <c r="BK18" s="30" t="str">
        <f t="shared" si="24"/>
        <v>Bogense Forsyningsselskab A.m.b.a</v>
      </c>
      <c r="BL18" s="23">
        <f t="shared" si="25"/>
        <v>9.382822669311281</v>
      </c>
      <c r="BM18" s="23">
        <f t="shared" si="26"/>
        <v>30.178622198670862</v>
      </c>
      <c r="BN18" s="23">
        <f t="shared" si="27"/>
        <v>0</v>
      </c>
      <c r="BO18" s="23">
        <f t="shared" si="28"/>
        <v>23.044530288181107</v>
      </c>
      <c r="BP18" s="23">
        <f t="shared" si="29"/>
        <v>20.16170067698144</v>
      </c>
      <c r="BQ18" s="23">
        <f t="shared" si="30"/>
        <v>17.232324166855314</v>
      </c>
      <c r="BR18" s="23"/>
      <c r="BS18" s="23">
        <f t="shared" si="44"/>
        <v>37.39402484383675</v>
      </c>
      <c r="BT18" s="23"/>
      <c r="BU18" s="23">
        <f t="shared" si="31"/>
        <v>1.7520666356278944</v>
      </c>
      <c r="BV18" s="23">
        <f t="shared" si="32"/>
        <v>1.617367580086011</v>
      </c>
      <c r="BW18" s="23">
        <f t="shared" si="33"/>
        <v>4.338265408991401</v>
      </c>
      <c r="BX18" s="23">
        <f t="shared" si="34"/>
        <v>0.7607587387871</v>
      </c>
      <c r="BY18" s="23">
        <f t="shared" si="35"/>
        <v>-4.575254266153685</v>
      </c>
      <c r="BZ18" s="23">
        <f t="shared" si="36"/>
        <v>-3.8932040973387405</v>
      </c>
      <c r="CA18" s="23"/>
      <c r="CB18" s="23">
        <f t="shared" si="37"/>
        <v>-8.46845836349243</v>
      </c>
      <c r="CC18" s="23">
        <f t="shared" si="38"/>
        <v>0</v>
      </c>
    </row>
    <row r="19" spans="1:81" ht="15" customHeight="1">
      <c r="A19" s="1" t="s">
        <v>28</v>
      </c>
      <c r="B19" s="10">
        <v>497131</v>
      </c>
      <c r="C19" s="10">
        <f t="shared" si="39"/>
        <v>499616.65499999997</v>
      </c>
      <c r="D19" s="10">
        <v>575814.8380474</v>
      </c>
      <c r="E19" s="10">
        <v>0</v>
      </c>
      <c r="F19" s="23">
        <f t="shared" si="1"/>
        <v>76198.18304740003</v>
      </c>
      <c r="G19" s="10"/>
      <c r="H19" s="10">
        <f t="shared" si="2"/>
        <v>575814.8380474</v>
      </c>
      <c r="I19" s="10"/>
      <c r="J19" s="10">
        <f t="shared" si="40"/>
        <v>1246431.932415638</v>
      </c>
      <c r="K19" s="10">
        <f t="shared" si="41"/>
        <v>1121285.015521147</v>
      </c>
      <c r="L19" s="10"/>
      <c r="M19" s="10">
        <f t="shared" si="3"/>
        <v>1419176.383829858</v>
      </c>
      <c r="N19" s="10">
        <f t="shared" si="4"/>
        <v>1294029.466935367</v>
      </c>
      <c r="P19" s="23">
        <f>'Potentialer og krav'!U19</f>
        <v>0</v>
      </c>
      <c r="Q19" s="10"/>
      <c r="R19" s="23">
        <f t="shared" si="5"/>
        <v>2485.655</v>
      </c>
      <c r="S19" s="23">
        <f t="shared" si="6"/>
        <v>11491.183065</v>
      </c>
      <c r="T19" s="23">
        <f t="shared" si="7"/>
        <v>575814.8380474</v>
      </c>
      <c r="U19" s="23">
        <f t="shared" si="8"/>
        <v>13243.7412750902</v>
      </c>
      <c r="V19" s="23">
        <f t="shared" si="9"/>
        <v>589058.5793224901</v>
      </c>
      <c r="W19" s="23">
        <f t="shared" si="10"/>
        <v>511107.8380649999</v>
      </c>
      <c r="X19" s="23">
        <f t="shared" si="11"/>
        <v>13243.7412750902</v>
      </c>
      <c r="Y19" s="23">
        <f t="shared" si="12"/>
        <v>589058.5793224901</v>
      </c>
      <c r="Z19" s="23">
        <f t="shared" si="13"/>
        <v>-77950.74125749024</v>
      </c>
      <c r="AA19" s="23">
        <f t="shared" si="42"/>
        <v>0</v>
      </c>
      <c r="AB19" s="23"/>
      <c r="AC19" s="35" t="s">
        <v>28</v>
      </c>
      <c r="AD19" s="6">
        <v>22</v>
      </c>
      <c r="AE19" s="6">
        <v>273664</v>
      </c>
      <c r="AF19" s="6">
        <v>273664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39</v>
      </c>
      <c r="AM19" s="6">
        <v>25</v>
      </c>
      <c r="AN19" s="6">
        <v>0</v>
      </c>
      <c r="AO19" s="6">
        <v>0</v>
      </c>
      <c r="AP19" s="6">
        <v>112</v>
      </c>
      <c r="AQ19" s="6">
        <v>637</v>
      </c>
      <c r="AR19" s="6">
        <v>0</v>
      </c>
      <c r="AS19" s="6">
        <v>0</v>
      </c>
      <c r="AT19" s="6">
        <v>750</v>
      </c>
      <c r="AU19" s="6">
        <f t="shared" si="14"/>
        <v>0</v>
      </c>
      <c r="AV19" s="6">
        <f t="shared" si="15"/>
        <v>0</v>
      </c>
      <c r="AW19" s="6">
        <f t="shared" si="16"/>
        <v>0</v>
      </c>
      <c r="AX19" s="6"/>
      <c r="AY19" s="6">
        <f t="shared" si="17"/>
        <v>130093.82937033288</v>
      </c>
      <c r="AZ19" s="6">
        <f t="shared" si="18"/>
        <v>493473.10304530506</v>
      </c>
      <c r="BA19" s="6">
        <f t="shared" si="19"/>
        <v>0</v>
      </c>
      <c r="BB19" s="6">
        <f t="shared" si="20"/>
        <v>386560</v>
      </c>
      <c r="BC19" s="6">
        <f t="shared" si="21"/>
        <v>127330</v>
      </c>
      <c r="BD19" s="6">
        <f t="shared" si="22"/>
        <v>108975.00000000001</v>
      </c>
      <c r="BE19" s="6">
        <v>23.03310375</v>
      </c>
      <c r="BF19" s="6">
        <f t="shared" si="43"/>
        <v>1246431.932415638</v>
      </c>
      <c r="BG19" s="6">
        <f t="shared" si="23"/>
        <v>1121285.015521147</v>
      </c>
      <c r="BH19" s="6"/>
      <c r="BK19" s="30" t="str">
        <f t="shared" si="24"/>
        <v>Bolderslev Vandværk</v>
      </c>
      <c r="BL19" s="23">
        <f t="shared" si="25"/>
        <v>10.437299140612158</v>
      </c>
      <c r="BM19" s="23">
        <f t="shared" si="26"/>
        <v>39.590858530793035</v>
      </c>
      <c r="BN19" s="23">
        <f t="shared" si="27"/>
        <v>0</v>
      </c>
      <c r="BO19" s="23">
        <f t="shared" si="28"/>
        <v>31.01332611487499</v>
      </c>
      <c r="BP19" s="23">
        <f t="shared" si="29"/>
        <v>10.215559846355113</v>
      </c>
      <c r="BQ19" s="23">
        <f t="shared" si="30"/>
        <v>8.74295636736471</v>
      </c>
      <c r="BR19" s="23"/>
      <c r="BS19" s="23">
        <f t="shared" si="44"/>
        <v>18.958516213719825</v>
      </c>
      <c r="BT19" s="23"/>
      <c r="BU19" s="23">
        <f t="shared" si="31"/>
        <v>0.6975901643270177</v>
      </c>
      <c r="BV19" s="23">
        <f t="shared" si="32"/>
        <v>-7.794868752036162</v>
      </c>
      <c r="BW19" s="23">
        <f t="shared" si="33"/>
        <v>4.338265408991401</v>
      </c>
      <c r="BX19" s="23">
        <f t="shared" si="34"/>
        <v>-7.208037087906781</v>
      </c>
      <c r="BY19" s="23">
        <f t="shared" si="35"/>
        <v>5.370886564472642</v>
      </c>
      <c r="BZ19" s="23">
        <f t="shared" si="36"/>
        <v>4.596163702151863</v>
      </c>
      <c r="CA19" s="23"/>
      <c r="CB19" s="23">
        <f t="shared" si="37"/>
        <v>9.967050266624497</v>
      </c>
      <c r="CC19" s="23">
        <f t="shared" si="38"/>
        <v>0</v>
      </c>
    </row>
    <row r="20" spans="1:81" ht="15" customHeight="1">
      <c r="A20" s="1" t="s">
        <v>29</v>
      </c>
      <c r="B20" s="10">
        <v>1222826</v>
      </c>
      <c r="C20" s="10">
        <f t="shared" si="39"/>
        <v>1228940.13</v>
      </c>
      <c r="D20" s="10">
        <v>1154751</v>
      </c>
      <c r="E20" s="10">
        <v>0</v>
      </c>
      <c r="F20" s="23" t="str">
        <f t="shared" si="1"/>
        <v>ingen</v>
      </c>
      <c r="G20" s="10"/>
      <c r="H20" s="10">
        <f t="shared" si="2"/>
        <v>1154751</v>
      </c>
      <c r="I20" s="10"/>
      <c r="J20" s="10">
        <f t="shared" si="40"/>
        <v>2154511.844572341</v>
      </c>
      <c r="K20" s="10">
        <f t="shared" si="41"/>
        <v>1929458.8879656452</v>
      </c>
      <c r="L20" s="10"/>
      <c r="M20" s="10">
        <f t="shared" si="3"/>
        <v>2500937.144572341</v>
      </c>
      <c r="N20" s="10">
        <f t="shared" si="4"/>
        <v>2275884.187965645</v>
      </c>
      <c r="P20" s="23">
        <f>'Potentialer og krav'!U20</f>
        <v>0</v>
      </c>
      <c r="Q20" s="10"/>
      <c r="R20" s="23">
        <f t="shared" si="5"/>
        <v>6114.13</v>
      </c>
      <c r="S20" s="23">
        <f t="shared" si="6"/>
        <v>28265.622989999996</v>
      </c>
      <c r="T20" s="23">
        <f t="shared" si="7"/>
        <v>1154751</v>
      </c>
      <c r="U20" s="23">
        <f t="shared" si="8"/>
        <v>26559.273</v>
      </c>
      <c r="V20" s="23">
        <f t="shared" si="9"/>
        <v>1181310.2729999998</v>
      </c>
      <c r="W20" s="23">
        <f t="shared" si="10"/>
        <v>1257205.7529899997</v>
      </c>
      <c r="X20" s="23">
        <f t="shared" si="11"/>
        <v>26559.273</v>
      </c>
      <c r="Y20" s="23">
        <f t="shared" si="12"/>
        <v>1181310.2729999998</v>
      </c>
      <c r="Z20" s="23">
        <f t="shared" si="13"/>
        <v>75895.4799899999</v>
      </c>
      <c r="AA20" s="23" t="str">
        <f t="shared" si="42"/>
        <v>ingen</v>
      </c>
      <c r="AB20" s="23"/>
      <c r="AC20" s="35" t="s">
        <v>29</v>
      </c>
      <c r="AD20" s="6">
        <v>150</v>
      </c>
      <c r="AE20" s="6">
        <v>309736</v>
      </c>
      <c r="AF20" s="6">
        <v>300715</v>
      </c>
      <c r="AG20" s="6">
        <v>2</v>
      </c>
      <c r="AH20" s="6"/>
      <c r="AI20" s="6"/>
      <c r="AJ20" s="6"/>
      <c r="AK20" s="6"/>
      <c r="AL20" s="6">
        <v>105</v>
      </c>
      <c r="AM20" s="6">
        <v>22</v>
      </c>
      <c r="AN20" s="6"/>
      <c r="AO20" s="6"/>
      <c r="AP20" s="6">
        <v>596</v>
      </c>
      <c r="AQ20" s="6">
        <v>1038</v>
      </c>
      <c r="AR20" s="6"/>
      <c r="AS20" s="6"/>
      <c r="AT20" s="6">
        <v>1714</v>
      </c>
      <c r="AU20" s="6">
        <f t="shared" si="14"/>
        <v>2</v>
      </c>
      <c r="AV20" s="6">
        <f t="shared" si="15"/>
        <v>0</v>
      </c>
      <c r="AW20" s="6">
        <f t="shared" si="16"/>
        <v>0</v>
      </c>
      <c r="AX20" s="6"/>
      <c r="AY20" s="6">
        <f t="shared" si="17"/>
        <v>210514.88986354717</v>
      </c>
      <c r="AZ20" s="6">
        <f t="shared" si="18"/>
        <v>543684.754708794</v>
      </c>
      <c r="BA20" s="6">
        <f t="shared" si="19"/>
        <v>106408</v>
      </c>
      <c r="BB20" s="6">
        <f t="shared" si="20"/>
        <v>767080</v>
      </c>
      <c r="BC20" s="6">
        <f t="shared" si="21"/>
        <v>277780</v>
      </c>
      <c r="BD20" s="6">
        <f t="shared" si="22"/>
        <v>249044.2</v>
      </c>
      <c r="BE20" s="6">
        <v>22.80796732</v>
      </c>
      <c r="BF20" s="6">
        <f t="shared" si="43"/>
        <v>2154511.844572341</v>
      </c>
      <c r="BG20" s="6">
        <f t="shared" si="23"/>
        <v>1929458.8879656452</v>
      </c>
      <c r="BH20" s="6"/>
      <c r="BK20" s="30" t="str">
        <f t="shared" si="24"/>
        <v>Bording Vandværk A.m.b.a</v>
      </c>
      <c r="BL20" s="23">
        <f t="shared" si="25"/>
        <v>9.770885706378339</v>
      </c>
      <c r="BM20" s="23">
        <f t="shared" si="26"/>
        <v>25.2347071601601</v>
      </c>
      <c r="BN20" s="23">
        <f t="shared" si="27"/>
        <v>4.93884497632555</v>
      </c>
      <c r="BO20" s="23">
        <f t="shared" si="28"/>
        <v>35.6034245962691</v>
      </c>
      <c r="BP20" s="23">
        <f t="shared" si="29"/>
        <v>12.892943740355154</v>
      </c>
      <c r="BQ20" s="23">
        <f t="shared" si="30"/>
        <v>11.55919382051176</v>
      </c>
      <c r="BR20" s="23"/>
      <c r="BS20" s="23">
        <f t="shared" si="44"/>
        <v>24.452137560866916</v>
      </c>
      <c r="BT20" s="23"/>
      <c r="BU20" s="23">
        <f t="shared" si="31"/>
        <v>1.3640035985608367</v>
      </c>
      <c r="BV20" s="23">
        <f t="shared" si="32"/>
        <v>6.561282618596774</v>
      </c>
      <c r="BW20" s="23">
        <f t="shared" si="33"/>
        <v>-0.6005795673341492</v>
      </c>
      <c r="BX20" s="23">
        <f t="shared" si="34"/>
        <v>-11.798135569300893</v>
      </c>
      <c r="BY20" s="23">
        <f t="shared" si="35"/>
        <v>2.6935026704726006</v>
      </c>
      <c r="BZ20" s="23">
        <f t="shared" si="36"/>
        <v>1.7799262490048129</v>
      </c>
      <c r="CA20" s="23"/>
      <c r="CB20" s="23">
        <f t="shared" si="37"/>
        <v>4.473428919477406</v>
      </c>
      <c r="CC20" s="23">
        <f t="shared" si="38"/>
        <v>0</v>
      </c>
    </row>
    <row r="21" spans="1:81" ht="15" customHeight="1">
      <c r="A21" s="1" t="s">
        <v>30</v>
      </c>
      <c r="B21" s="10">
        <v>743153</v>
      </c>
      <c r="C21" s="10">
        <f t="shared" si="39"/>
        <v>746868.7649999999</v>
      </c>
      <c r="D21" s="10">
        <v>314762.030359</v>
      </c>
      <c r="E21" s="10">
        <v>0</v>
      </c>
      <c r="F21" s="23" t="str">
        <f t="shared" si="1"/>
        <v>ingen</v>
      </c>
      <c r="G21" s="10"/>
      <c r="H21" s="10">
        <f t="shared" si="2"/>
        <v>314762.030359</v>
      </c>
      <c r="I21" s="10"/>
      <c r="J21" s="10">
        <f t="shared" si="40"/>
        <v>1109994.0716117055</v>
      </c>
      <c r="K21" s="10">
        <f t="shared" si="41"/>
        <v>1034427.2090949882</v>
      </c>
      <c r="L21" s="10"/>
      <c r="M21" s="10">
        <f t="shared" si="3"/>
        <v>1204422.6807194054</v>
      </c>
      <c r="N21" s="10">
        <f t="shared" si="4"/>
        <v>1128855.8182026881</v>
      </c>
      <c r="P21" s="23">
        <f>'Potentialer og krav'!U21</f>
        <v>0</v>
      </c>
      <c r="Q21" s="10"/>
      <c r="R21" s="23">
        <f t="shared" si="5"/>
        <v>3715.765</v>
      </c>
      <c r="S21" s="23">
        <f t="shared" si="6"/>
        <v>17177.981594999997</v>
      </c>
      <c r="T21" s="23">
        <f t="shared" si="7"/>
        <v>314762.030359</v>
      </c>
      <c r="U21" s="23">
        <f t="shared" si="8"/>
        <v>7239.526698257</v>
      </c>
      <c r="V21" s="23">
        <f t="shared" si="9"/>
        <v>322001.557057257</v>
      </c>
      <c r="W21" s="23">
        <f t="shared" si="10"/>
        <v>764046.7465949998</v>
      </c>
      <c r="X21" s="23">
        <f t="shared" si="11"/>
        <v>7239.526698257</v>
      </c>
      <c r="Y21" s="23">
        <f t="shared" si="12"/>
        <v>322001.557057257</v>
      </c>
      <c r="Z21" s="23">
        <f t="shared" si="13"/>
        <v>442045.1895377428</v>
      </c>
      <c r="AA21" s="23" t="str">
        <f t="shared" si="42"/>
        <v>ingen</v>
      </c>
      <c r="AB21" s="23"/>
      <c r="AC21" s="35" t="s">
        <v>30</v>
      </c>
      <c r="AD21" s="6">
        <v>52</v>
      </c>
      <c r="AE21" s="6">
        <v>358266</v>
      </c>
      <c r="AF21" s="6">
        <v>365431</v>
      </c>
      <c r="AG21" s="6"/>
      <c r="AH21" s="6"/>
      <c r="AI21" s="6"/>
      <c r="AJ21" s="6"/>
      <c r="AK21" s="6"/>
      <c r="AL21" s="6">
        <v>21.9</v>
      </c>
      <c r="AM21" s="6">
        <v>6.9</v>
      </c>
      <c r="AN21" s="6"/>
      <c r="AO21" s="6"/>
      <c r="AP21" s="6">
        <v>111</v>
      </c>
      <c r="AQ21" s="6">
        <v>141</v>
      </c>
      <c r="AR21" s="6"/>
      <c r="AS21" s="6"/>
      <c r="AT21" s="6">
        <v>239</v>
      </c>
      <c r="AU21" s="6">
        <f t="shared" si="14"/>
        <v>0</v>
      </c>
      <c r="AV21" s="6">
        <f t="shared" si="15"/>
        <v>0</v>
      </c>
      <c r="AW21" s="6">
        <f t="shared" si="16"/>
        <v>0</v>
      </c>
      <c r="AX21" s="6"/>
      <c r="AY21" s="6">
        <f t="shared" si="17"/>
        <v>194170.1622185465</v>
      </c>
      <c r="AZ21" s="6">
        <f t="shared" si="18"/>
        <v>664305.2093931591</v>
      </c>
      <c r="BA21" s="6">
        <f t="shared" si="19"/>
        <v>0</v>
      </c>
      <c r="BB21" s="6">
        <f t="shared" si="20"/>
        <v>173951.99999999997</v>
      </c>
      <c r="BC21" s="6">
        <f t="shared" si="21"/>
        <v>42840</v>
      </c>
      <c r="BD21" s="6">
        <f t="shared" si="22"/>
        <v>34726.700000000004</v>
      </c>
      <c r="BE21" s="6">
        <v>24.82896566</v>
      </c>
      <c r="BF21" s="6">
        <f t="shared" si="43"/>
        <v>1109994.0716117055</v>
      </c>
      <c r="BG21" s="6">
        <f t="shared" si="23"/>
        <v>1034427.2090949882</v>
      </c>
      <c r="BH21" s="6"/>
      <c r="BK21" s="30" t="str">
        <f t="shared" si="24"/>
        <v>Branderup Vandværk</v>
      </c>
      <c r="BL21" s="23">
        <f t="shared" si="25"/>
        <v>17.49290083474162</v>
      </c>
      <c r="BM21" s="23">
        <f t="shared" si="26"/>
        <v>59.847635801206714</v>
      </c>
      <c r="BN21" s="23">
        <f t="shared" si="27"/>
        <v>0</v>
      </c>
      <c r="BO21" s="23">
        <f t="shared" si="28"/>
        <v>15.671435050767668</v>
      </c>
      <c r="BP21" s="23">
        <f t="shared" si="29"/>
        <v>3.8594800725193554</v>
      </c>
      <c r="BQ21" s="23">
        <f t="shared" si="30"/>
        <v>3.1285482407646574</v>
      </c>
      <c r="BR21" s="23"/>
      <c r="BS21" s="23">
        <f t="shared" si="44"/>
        <v>6.988028313284013</v>
      </c>
      <c r="BT21" s="23"/>
      <c r="BU21" s="23">
        <f t="shared" si="31"/>
        <v>-6.358011529802443</v>
      </c>
      <c r="BV21" s="23">
        <f t="shared" si="32"/>
        <v>-28.05164602244984</v>
      </c>
      <c r="BW21" s="23">
        <f t="shared" si="33"/>
        <v>4.338265408991401</v>
      </c>
      <c r="BX21" s="23">
        <f t="shared" si="34"/>
        <v>8.13385397620054</v>
      </c>
      <c r="BY21" s="23">
        <f t="shared" si="35"/>
        <v>11.726966338308399</v>
      </c>
      <c r="BZ21" s="23">
        <f t="shared" si="36"/>
        <v>10.210571828751917</v>
      </c>
      <c r="CA21" s="23"/>
      <c r="CB21" s="23">
        <f t="shared" si="37"/>
        <v>21.93753816706031</v>
      </c>
      <c r="CC21" s="23">
        <f t="shared" si="38"/>
        <v>0</v>
      </c>
    </row>
    <row r="22" spans="1:81" ht="15" customHeight="1">
      <c r="A22" s="1" t="s">
        <v>31</v>
      </c>
      <c r="B22" s="10">
        <v>1372190</v>
      </c>
      <c r="C22" s="10">
        <f t="shared" si="39"/>
        <v>1379050.95</v>
      </c>
      <c r="D22" s="10">
        <v>517347.4421584</v>
      </c>
      <c r="E22" s="10">
        <v>0</v>
      </c>
      <c r="F22" s="23" t="str">
        <f t="shared" si="1"/>
        <v>ingen</v>
      </c>
      <c r="G22" s="10"/>
      <c r="H22" s="10">
        <f t="shared" si="2"/>
        <v>517347.4421584</v>
      </c>
      <c r="I22" s="10"/>
      <c r="J22" s="10">
        <f t="shared" si="40"/>
        <v>1215252.1590571231</v>
      </c>
      <c r="K22" s="10">
        <f t="shared" si="41"/>
        <v>1211999.577850455</v>
      </c>
      <c r="L22" s="10"/>
      <c r="M22" s="10">
        <f t="shared" si="3"/>
        <v>1370456.3917046431</v>
      </c>
      <c r="N22" s="10">
        <f t="shared" si="4"/>
        <v>1367203.810497975</v>
      </c>
      <c r="P22" s="23">
        <f>'Potentialer og krav'!U22</f>
        <v>0</v>
      </c>
      <c r="Q22" s="10"/>
      <c r="R22" s="23">
        <f t="shared" si="5"/>
        <v>6860.95</v>
      </c>
      <c r="S22" s="23">
        <f t="shared" si="6"/>
        <v>31718.17185</v>
      </c>
      <c r="T22" s="23">
        <f t="shared" si="7"/>
        <v>517347.4421584</v>
      </c>
      <c r="U22" s="23">
        <f t="shared" si="8"/>
        <v>11898.991169643201</v>
      </c>
      <c r="V22" s="23">
        <f t="shared" si="9"/>
        <v>529246.4333280432</v>
      </c>
      <c r="W22" s="23">
        <f t="shared" si="10"/>
        <v>1410769.1218499998</v>
      </c>
      <c r="X22" s="23">
        <f t="shared" si="11"/>
        <v>11898.991169643201</v>
      </c>
      <c r="Y22" s="23">
        <f t="shared" si="12"/>
        <v>529246.4333280432</v>
      </c>
      <c r="Z22" s="23">
        <f t="shared" si="13"/>
        <v>881522.6885219566</v>
      </c>
      <c r="AA22" s="23" t="str">
        <f t="shared" si="42"/>
        <v>ingen</v>
      </c>
      <c r="AB22" s="23"/>
      <c r="AC22" s="35" t="s">
        <v>31</v>
      </c>
      <c r="AD22" s="6">
        <v>151</v>
      </c>
      <c r="AE22" s="6">
        <v>250500</v>
      </c>
      <c r="AF22" s="6">
        <v>234077</v>
      </c>
      <c r="AG22" s="6"/>
      <c r="AH22" s="6"/>
      <c r="AI22" s="6"/>
      <c r="AJ22" s="6"/>
      <c r="AK22" s="6"/>
      <c r="AL22" s="6">
        <v>36.745</v>
      </c>
      <c r="AM22" s="6">
        <v>16.98</v>
      </c>
      <c r="AN22" s="6"/>
      <c r="AO22" s="6"/>
      <c r="AP22" s="6">
        <v>232</v>
      </c>
      <c r="AQ22" s="6">
        <v>683</v>
      </c>
      <c r="AR22" s="6"/>
      <c r="AS22" s="6"/>
      <c r="AT22" s="6">
        <v>960</v>
      </c>
      <c r="AU22" s="6">
        <f t="shared" si="14"/>
        <v>0</v>
      </c>
      <c r="AV22" s="6">
        <f t="shared" si="15"/>
        <v>0</v>
      </c>
      <c r="AW22" s="6">
        <f t="shared" si="16"/>
        <v>0</v>
      </c>
      <c r="AX22" s="6"/>
      <c r="AY22" s="6">
        <f t="shared" si="17"/>
        <v>175468.2687101358</v>
      </c>
      <c r="AZ22" s="6">
        <f t="shared" si="18"/>
        <v>420246.8903469873</v>
      </c>
      <c r="BA22" s="6">
        <f t="shared" si="19"/>
        <v>0</v>
      </c>
      <c r="BB22" s="6">
        <f t="shared" si="20"/>
        <v>324498.99999999994</v>
      </c>
      <c r="BC22" s="6">
        <f t="shared" si="21"/>
        <v>155550</v>
      </c>
      <c r="BD22" s="6">
        <f t="shared" si="22"/>
        <v>139488</v>
      </c>
      <c r="BE22" s="6">
        <v>28.46241855</v>
      </c>
      <c r="BF22" s="6">
        <f t="shared" si="43"/>
        <v>1215252.1590571231</v>
      </c>
      <c r="BG22" s="6">
        <f t="shared" si="23"/>
        <v>1211999.577850455</v>
      </c>
      <c r="BH22" s="6"/>
      <c r="BK22" s="30" t="str">
        <f t="shared" si="24"/>
        <v>Bredebro Andelsvandværk</v>
      </c>
      <c r="BL22" s="23">
        <f t="shared" si="25"/>
        <v>14.438836203860461</v>
      </c>
      <c r="BM22" s="23">
        <f t="shared" si="26"/>
        <v>34.58104453589648</v>
      </c>
      <c r="BN22" s="23">
        <f t="shared" si="27"/>
        <v>0</v>
      </c>
      <c r="BO22" s="23">
        <f t="shared" si="28"/>
        <v>26.70219489688204</v>
      </c>
      <c r="BP22" s="23">
        <f t="shared" si="29"/>
        <v>12.799812684199342</v>
      </c>
      <c r="BQ22" s="23">
        <f t="shared" si="30"/>
        <v>11.47811167916167</v>
      </c>
      <c r="BR22" s="23"/>
      <c r="BS22" s="23">
        <f t="shared" si="44"/>
        <v>24.27792436336101</v>
      </c>
      <c r="BT22" s="23"/>
      <c r="BU22" s="23">
        <f t="shared" si="31"/>
        <v>-3.3039468989212857</v>
      </c>
      <c r="BV22" s="23">
        <f t="shared" si="32"/>
        <v>-2.7850547571396085</v>
      </c>
      <c r="BW22" s="23">
        <f t="shared" si="33"/>
        <v>4.338265408991401</v>
      </c>
      <c r="BX22" s="23">
        <f t="shared" si="34"/>
        <v>-2.8969058699138337</v>
      </c>
      <c r="BY22" s="23">
        <f t="shared" si="35"/>
        <v>2.7866337266284127</v>
      </c>
      <c r="BZ22" s="23">
        <f t="shared" si="36"/>
        <v>1.861008390354904</v>
      </c>
      <c r="CA22" s="23"/>
      <c r="CB22" s="23">
        <f t="shared" si="37"/>
        <v>4.647642116983313</v>
      </c>
      <c r="CC22" s="23">
        <f t="shared" si="38"/>
        <v>0</v>
      </c>
    </row>
    <row r="23" spans="1:81" ht="15" customHeight="1">
      <c r="A23" s="1" t="s">
        <v>32</v>
      </c>
      <c r="B23" s="10">
        <v>2750835</v>
      </c>
      <c r="C23" s="10">
        <f t="shared" si="39"/>
        <v>2764589.175</v>
      </c>
      <c r="D23" s="10">
        <v>1446822</v>
      </c>
      <c r="E23" s="10">
        <v>436346.8946354813</v>
      </c>
      <c r="F23" s="23" t="str">
        <f t="shared" si="1"/>
        <v>ingen</v>
      </c>
      <c r="G23" s="10"/>
      <c r="H23" s="10">
        <f t="shared" si="2"/>
        <v>1446822</v>
      </c>
      <c r="I23" s="10"/>
      <c r="J23" s="10">
        <f t="shared" si="40"/>
        <v>1698553.8341271498</v>
      </c>
      <c r="K23" s="10">
        <f t="shared" si="41"/>
        <v>1722490.8071368043</v>
      </c>
      <c r="L23" s="10"/>
      <c r="M23" s="10">
        <f t="shared" si="3"/>
        <v>2132600.4341271496</v>
      </c>
      <c r="N23" s="10">
        <f t="shared" si="4"/>
        <v>2156537.4071368044</v>
      </c>
      <c r="P23" s="23">
        <f>'Potentialer og krav'!U23</f>
        <v>44682.29569566312</v>
      </c>
      <c r="Q23" s="10"/>
      <c r="R23" s="23">
        <f t="shared" si="5"/>
        <v>13754.175000000001</v>
      </c>
      <c r="S23" s="23">
        <f t="shared" si="6"/>
        <v>63585.55102499999</v>
      </c>
      <c r="T23" s="23">
        <f t="shared" si="7"/>
        <v>1010475.1053645187</v>
      </c>
      <c r="U23" s="23">
        <f t="shared" si="8"/>
        <v>33276.906</v>
      </c>
      <c r="V23" s="23">
        <f t="shared" si="9"/>
        <v>1480098.906</v>
      </c>
      <c r="W23" s="23">
        <f t="shared" si="10"/>
        <v>2828174.7260249997</v>
      </c>
      <c r="X23" s="23">
        <f t="shared" si="11"/>
        <v>33276.906</v>
      </c>
      <c r="Y23" s="23">
        <f t="shared" si="12"/>
        <v>1480098.906</v>
      </c>
      <c r="Z23" s="23">
        <f t="shared" si="13"/>
        <v>1348075.8200249998</v>
      </c>
      <c r="AA23" s="23" t="str">
        <f t="shared" si="42"/>
        <v>ingen</v>
      </c>
      <c r="AB23" s="23"/>
      <c r="AC23" s="35" t="s">
        <v>32</v>
      </c>
      <c r="AD23" s="6">
        <v>178</v>
      </c>
      <c r="AE23" s="6">
        <v>292049</v>
      </c>
      <c r="AF23" s="6">
        <v>279362</v>
      </c>
      <c r="AG23" s="6"/>
      <c r="AH23" s="6"/>
      <c r="AI23" s="6"/>
      <c r="AJ23" s="6">
        <v>1</v>
      </c>
      <c r="AK23" s="6"/>
      <c r="AL23" s="6">
        <v>25.957</v>
      </c>
      <c r="AM23" s="6">
        <v>28.786</v>
      </c>
      <c r="AN23" s="6">
        <v>0</v>
      </c>
      <c r="AO23" s="6">
        <v>0</v>
      </c>
      <c r="AP23" s="6">
        <v>243</v>
      </c>
      <c r="AQ23" s="6">
        <v>1444</v>
      </c>
      <c r="AR23" s="6">
        <v>0</v>
      </c>
      <c r="AS23" s="6">
        <v>0</v>
      </c>
      <c r="AT23" s="6">
        <v>1686</v>
      </c>
      <c r="AU23" s="6">
        <f t="shared" si="14"/>
        <v>0</v>
      </c>
      <c r="AV23" s="6">
        <f t="shared" si="15"/>
        <v>1</v>
      </c>
      <c r="AW23" s="6">
        <f t="shared" si="16"/>
        <v>0</v>
      </c>
      <c r="AX23" s="6"/>
      <c r="AY23" s="6">
        <f t="shared" si="17"/>
        <v>206877.78278723414</v>
      </c>
      <c r="AZ23" s="6">
        <f t="shared" si="18"/>
        <v>504038.5313399155</v>
      </c>
      <c r="BA23" s="6">
        <f t="shared" si="19"/>
        <v>125224</v>
      </c>
      <c r="BB23" s="6">
        <f t="shared" si="20"/>
        <v>330647.72</v>
      </c>
      <c r="BC23" s="6">
        <f t="shared" si="21"/>
        <v>286790</v>
      </c>
      <c r="BD23" s="6">
        <f t="shared" si="22"/>
        <v>244975.80000000002</v>
      </c>
      <c r="BE23" s="6">
        <v>29.39403115</v>
      </c>
      <c r="BF23" s="6">
        <f t="shared" si="43"/>
        <v>1698553.8341271498</v>
      </c>
      <c r="BG23" s="6">
        <f t="shared" si="23"/>
        <v>1722490.8071368043</v>
      </c>
      <c r="BH23" s="6"/>
      <c r="BK23" s="30" t="str">
        <f t="shared" si="24"/>
        <v>Brædstrup Vandværk Amba</v>
      </c>
      <c r="BL23" s="23">
        <f t="shared" si="25"/>
        <v>12.179642389347299</v>
      </c>
      <c r="BM23" s="23">
        <f t="shared" si="26"/>
        <v>29.67456910772157</v>
      </c>
      <c r="BN23" s="23">
        <f t="shared" si="27"/>
        <v>7.372389233947943</v>
      </c>
      <c r="BO23" s="23">
        <f t="shared" si="28"/>
        <v>19.46642569441508</v>
      </c>
      <c r="BP23" s="23">
        <f t="shared" si="29"/>
        <v>16.884363288218957</v>
      </c>
      <c r="BQ23" s="23">
        <f t="shared" si="30"/>
        <v>14.42261028634914</v>
      </c>
      <c r="BR23" s="23"/>
      <c r="BS23" s="23">
        <f t="shared" si="44"/>
        <v>31.306973574568097</v>
      </c>
      <c r="BT23" s="23"/>
      <c r="BU23" s="23">
        <f t="shared" si="31"/>
        <v>-1.0447530844081232</v>
      </c>
      <c r="BV23" s="23">
        <f t="shared" si="32"/>
        <v>2.1214206710353025</v>
      </c>
      <c r="BW23" s="23">
        <f t="shared" si="33"/>
        <v>-3.0341238249565423</v>
      </c>
      <c r="BX23" s="23">
        <f t="shared" si="34"/>
        <v>4.338863332553128</v>
      </c>
      <c r="BY23" s="23">
        <f t="shared" si="35"/>
        <v>-1.2979168773912022</v>
      </c>
      <c r="BZ23" s="23">
        <f t="shared" si="36"/>
        <v>-1.0834902168325673</v>
      </c>
      <c r="CA23" s="23"/>
      <c r="CB23" s="23">
        <f t="shared" si="37"/>
        <v>-2.381407094223775</v>
      </c>
      <c r="CC23" s="23">
        <f t="shared" si="38"/>
        <v>0</v>
      </c>
    </row>
    <row r="24" spans="1:81" ht="15" customHeight="1">
      <c r="A24" s="1" t="s">
        <v>33</v>
      </c>
      <c r="B24" s="10">
        <v>7148642</v>
      </c>
      <c r="C24" s="10">
        <f t="shared" si="39"/>
        <v>7184385.209999999</v>
      </c>
      <c r="D24" s="10">
        <v>5550133.5615012</v>
      </c>
      <c r="E24" s="10">
        <v>1921203.8798891995</v>
      </c>
      <c r="F24" s="23" t="str">
        <f t="shared" si="1"/>
        <v>ingen</v>
      </c>
      <c r="G24" s="10"/>
      <c r="H24" s="10">
        <f t="shared" si="2"/>
        <v>5550133.5615012</v>
      </c>
      <c r="I24" s="10"/>
      <c r="J24" s="10">
        <f t="shared" si="40"/>
        <v>6123993.185706909</v>
      </c>
      <c r="K24" s="10">
        <f t="shared" si="41"/>
        <v>5562857.051166699</v>
      </c>
      <c r="L24" s="10"/>
      <c r="M24" s="10">
        <f t="shared" si="3"/>
        <v>7789033.254157269</v>
      </c>
      <c r="N24" s="10">
        <f t="shared" si="4"/>
        <v>7227897.11961706</v>
      </c>
      <c r="P24" s="23">
        <f>'Potentialer og krav'!U24</f>
        <v>233635.39258385243</v>
      </c>
      <c r="Q24" s="10"/>
      <c r="R24" s="23">
        <f t="shared" si="5"/>
        <v>35743.21</v>
      </c>
      <c r="S24" s="23">
        <f t="shared" si="6"/>
        <v>165240.85982999997</v>
      </c>
      <c r="T24" s="23">
        <f t="shared" si="7"/>
        <v>3628929.681612001</v>
      </c>
      <c r="U24" s="23">
        <f t="shared" si="8"/>
        <v>127653.07191452761</v>
      </c>
      <c r="V24" s="23">
        <f t="shared" si="9"/>
        <v>5677786.633415728</v>
      </c>
      <c r="W24" s="23">
        <f t="shared" si="10"/>
        <v>7349626.069829999</v>
      </c>
      <c r="X24" s="23">
        <f t="shared" si="11"/>
        <v>127653.07191452761</v>
      </c>
      <c r="Y24" s="23">
        <f t="shared" si="12"/>
        <v>5677786.633415728</v>
      </c>
      <c r="Z24" s="23">
        <f t="shared" si="13"/>
        <v>1671839.4364142707</v>
      </c>
      <c r="AA24" s="23" t="str">
        <f t="shared" si="42"/>
        <v>ingen</v>
      </c>
      <c r="AB24" s="23"/>
      <c r="AC24" s="35" t="s">
        <v>33</v>
      </c>
      <c r="AD24" s="6">
        <v>768</v>
      </c>
      <c r="AE24" s="6">
        <v>1018392</v>
      </c>
      <c r="AF24" s="6">
        <v>1005586</v>
      </c>
      <c r="AG24" s="6">
        <v>4</v>
      </c>
      <c r="AH24" s="6">
        <v>1</v>
      </c>
      <c r="AI24" s="6"/>
      <c r="AJ24" s="6"/>
      <c r="AK24" s="6"/>
      <c r="AL24" s="6">
        <v>148</v>
      </c>
      <c r="AM24" s="6">
        <v>104</v>
      </c>
      <c r="AN24" s="6">
        <v>0</v>
      </c>
      <c r="AO24" s="6">
        <v>0</v>
      </c>
      <c r="AP24" s="6">
        <v>687</v>
      </c>
      <c r="AQ24" s="6">
        <v>4502</v>
      </c>
      <c r="AR24" s="6">
        <v>0</v>
      </c>
      <c r="AS24" s="6">
        <v>0</v>
      </c>
      <c r="AT24" s="6">
        <v>5256</v>
      </c>
      <c r="AU24" s="6">
        <f t="shared" si="14"/>
        <v>5</v>
      </c>
      <c r="AV24" s="6">
        <f t="shared" si="15"/>
        <v>0</v>
      </c>
      <c r="AW24" s="6">
        <f t="shared" si="16"/>
        <v>0</v>
      </c>
      <c r="AX24" s="6"/>
      <c r="AY24" s="6">
        <f t="shared" si="17"/>
        <v>809491.3031805083</v>
      </c>
      <c r="AZ24" s="6">
        <f t="shared" si="18"/>
        <v>1880575.0825264007</v>
      </c>
      <c r="BA24" s="6">
        <f t="shared" si="19"/>
        <v>266020</v>
      </c>
      <c r="BB24" s="6">
        <f t="shared" si="20"/>
        <v>1522080</v>
      </c>
      <c r="BC24" s="6">
        <f t="shared" si="21"/>
        <v>882130</v>
      </c>
      <c r="BD24" s="6">
        <f t="shared" si="22"/>
        <v>763696.8</v>
      </c>
      <c r="BE24" s="6">
        <v>23.52060419</v>
      </c>
      <c r="BF24" s="6">
        <f t="shared" si="43"/>
        <v>6123993.185706909</v>
      </c>
      <c r="BG24" s="6">
        <f t="shared" si="23"/>
        <v>5562857.051166699</v>
      </c>
      <c r="BH24" s="6"/>
      <c r="BK24" s="30" t="str">
        <f t="shared" si="24"/>
        <v>Brønderslev Vand A/S</v>
      </c>
      <c r="BL24" s="23">
        <f t="shared" si="25"/>
        <v>13.218357346801431</v>
      </c>
      <c r="BM24" s="23">
        <f t="shared" si="26"/>
        <v>30.708314420002424</v>
      </c>
      <c r="BN24" s="23">
        <f t="shared" si="27"/>
        <v>4.343897714009174</v>
      </c>
      <c r="BO24" s="23">
        <f t="shared" si="28"/>
        <v>24.854371222235482</v>
      </c>
      <c r="BP24" s="23">
        <f t="shared" si="29"/>
        <v>14.404490228023882</v>
      </c>
      <c r="BQ24" s="23">
        <f t="shared" si="30"/>
        <v>12.470569068927604</v>
      </c>
      <c r="BR24" s="23"/>
      <c r="BS24" s="23">
        <f t="shared" si="44"/>
        <v>26.875059296951484</v>
      </c>
      <c r="BT24" s="23"/>
      <c r="BU24" s="23">
        <f t="shared" si="31"/>
        <v>-2.0834680418622558</v>
      </c>
      <c r="BV24" s="23">
        <f t="shared" si="32"/>
        <v>1.0876753587544492</v>
      </c>
      <c r="BW24" s="23">
        <f t="shared" si="33"/>
        <v>-0.00563230501777312</v>
      </c>
      <c r="BX24" s="23">
        <f t="shared" si="34"/>
        <v>-1.0490821952672746</v>
      </c>
      <c r="BY24" s="23">
        <f t="shared" si="35"/>
        <v>1.181956182803873</v>
      </c>
      <c r="BZ24" s="23">
        <f t="shared" si="36"/>
        <v>0.868551000588969</v>
      </c>
      <c r="CA24" s="23"/>
      <c r="CB24" s="23">
        <f t="shared" si="37"/>
        <v>2.0505071833928383</v>
      </c>
      <c r="CC24" s="23">
        <f t="shared" si="38"/>
        <v>0</v>
      </c>
    </row>
    <row r="25" spans="1:81" ht="15" customHeight="1">
      <c r="A25" s="1" t="s">
        <v>34</v>
      </c>
      <c r="B25" s="10">
        <v>1503146</v>
      </c>
      <c r="C25" s="10">
        <f t="shared" si="39"/>
        <v>1510661.7299999997</v>
      </c>
      <c r="D25" s="10">
        <v>1318232.2784526001</v>
      </c>
      <c r="E25" s="10">
        <v>0</v>
      </c>
      <c r="F25" s="23" t="str">
        <f t="shared" si="1"/>
        <v>ingen</v>
      </c>
      <c r="G25" s="10"/>
      <c r="H25" s="10">
        <f t="shared" si="2"/>
        <v>1318232.2784526001</v>
      </c>
      <c r="I25" s="10"/>
      <c r="J25" s="10">
        <f t="shared" si="40"/>
        <v>2335195.8151918845</v>
      </c>
      <c r="K25" s="10">
        <f t="shared" si="41"/>
        <v>2103394.76152618</v>
      </c>
      <c r="L25" s="10"/>
      <c r="M25" s="10">
        <f t="shared" si="3"/>
        <v>2730665.4987276644</v>
      </c>
      <c r="N25" s="10">
        <f t="shared" si="4"/>
        <v>2498864.44506196</v>
      </c>
      <c r="P25" s="23">
        <f>'Potentialer og krav'!U25</f>
        <v>0</v>
      </c>
      <c r="Q25" s="10"/>
      <c r="R25" s="23">
        <f t="shared" si="5"/>
        <v>7515.7300000000005</v>
      </c>
      <c r="S25" s="23">
        <f t="shared" si="6"/>
        <v>34745.219789999996</v>
      </c>
      <c r="T25" s="23">
        <f t="shared" si="7"/>
        <v>1318232.2784526001</v>
      </c>
      <c r="U25" s="23">
        <f t="shared" si="8"/>
        <v>30319.342404409803</v>
      </c>
      <c r="V25" s="23">
        <f t="shared" si="9"/>
        <v>1348551.62085701</v>
      </c>
      <c r="W25" s="23">
        <f t="shared" si="10"/>
        <v>1545406.9497899995</v>
      </c>
      <c r="X25" s="23">
        <f t="shared" si="11"/>
        <v>30319.342404409803</v>
      </c>
      <c r="Y25" s="23">
        <f t="shared" si="12"/>
        <v>1348551.62085701</v>
      </c>
      <c r="Z25" s="23">
        <f t="shared" si="13"/>
        <v>196855.32893298962</v>
      </c>
      <c r="AA25" s="23" t="str">
        <f t="shared" si="42"/>
        <v>ingen</v>
      </c>
      <c r="AB25" s="23"/>
      <c r="AC25" s="35" t="s">
        <v>34</v>
      </c>
      <c r="AD25" s="6">
        <v>522</v>
      </c>
      <c r="AE25" s="6">
        <v>451428</v>
      </c>
      <c r="AF25" s="6">
        <v>451428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25</v>
      </c>
      <c r="AM25" s="6">
        <v>46</v>
      </c>
      <c r="AN25" s="6">
        <v>0</v>
      </c>
      <c r="AO25" s="6">
        <v>0</v>
      </c>
      <c r="AP25" s="6">
        <v>153</v>
      </c>
      <c r="AQ25" s="6">
        <v>2096</v>
      </c>
      <c r="AR25" s="6">
        <v>0</v>
      </c>
      <c r="AS25" s="6">
        <v>0</v>
      </c>
      <c r="AT25" s="6">
        <v>2249</v>
      </c>
      <c r="AU25" s="6">
        <f t="shared" si="14"/>
        <v>0</v>
      </c>
      <c r="AV25" s="6">
        <f t="shared" si="15"/>
        <v>0</v>
      </c>
      <c r="AW25" s="6">
        <f t="shared" si="16"/>
        <v>0</v>
      </c>
      <c r="AX25" s="6"/>
      <c r="AY25" s="6">
        <f t="shared" si="17"/>
        <v>371739.2456894915</v>
      </c>
      <c r="AZ25" s="6">
        <f t="shared" si="18"/>
        <v>825506.869502393</v>
      </c>
      <c r="BA25" s="6">
        <f t="shared" si="19"/>
        <v>0</v>
      </c>
      <c r="BB25" s="6">
        <f t="shared" si="20"/>
        <v>428840</v>
      </c>
      <c r="BC25" s="6">
        <f t="shared" si="21"/>
        <v>382330</v>
      </c>
      <c r="BD25" s="6">
        <f t="shared" si="22"/>
        <v>326779.7</v>
      </c>
      <c r="BE25" s="6">
        <v>23.096440250970332</v>
      </c>
      <c r="BF25" s="6">
        <f t="shared" si="43"/>
        <v>2335195.8151918845</v>
      </c>
      <c r="BG25" s="6">
        <f t="shared" si="23"/>
        <v>2103394.76152618</v>
      </c>
      <c r="BH25" s="6"/>
      <c r="BK25" s="30" t="str">
        <f t="shared" si="24"/>
        <v>Brørup Vandværk A.m.b.a.</v>
      </c>
      <c r="BL25" s="23">
        <f t="shared" si="25"/>
        <v>15.918975328368573</v>
      </c>
      <c r="BM25" s="23">
        <f t="shared" si="26"/>
        <v>35.35064871784898</v>
      </c>
      <c r="BN25" s="23">
        <f t="shared" si="27"/>
        <v>0</v>
      </c>
      <c r="BO25" s="23">
        <f t="shared" si="28"/>
        <v>18.364198719873173</v>
      </c>
      <c r="BP25" s="23">
        <f t="shared" si="29"/>
        <v>16.37250279024604</v>
      </c>
      <c r="BQ25" s="23">
        <f t="shared" si="30"/>
        <v>13.993674443663231</v>
      </c>
      <c r="BR25" s="23"/>
      <c r="BS25" s="23">
        <f t="shared" si="44"/>
        <v>30.36617723390927</v>
      </c>
      <c r="BT25" s="23"/>
      <c r="BU25" s="23">
        <f t="shared" si="31"/>
        <v>-4.784086023429397</v>
      </c>
      <c r="BV25" s="23">
        <f t="shared" si="32"/>
        <v>-3.5546589390921106</v>
      </c>
      <c r="BW25" s="23">
        <f t="shared" si="33"/>
        <v>4.338265408991401</v>
      </c>
      <c r="BX25" s="23">
        <f t="shared" si="34"/>
        <v>5.441090307095035</v>
      </c>
      <c r="BY25" s="23">
        <f t="shared" si="35"/>
        <v>-0.7860563794182838</v>
      </c>
      <c r="BZ25" s="23">
        <f t="shared" si="36"/>
        <v>-0.6545543741466577</v>
      </c>
      <c r="CA25" s="23"/>
      <c r="CB25" s="23">
        <f t="shared" si="37"/>
        <v>-1.4406107535649468</v>
      </c>
      <c r="CC25" s="23">
        <f t="shared" si="38"/>
        <v>0</v>
      </c>
    </row>
    <row r="26" spans="1:81" ht="15" customHeight="1">
      <c r="A26" s="1" t="s">
        <v>35</v>
      </c>
      <c r="B26" s="10">
        <v>1207265</v>
      </c>
      <c r="C26" s="10">
        <f t="shared" si="39"/>
        <v>1213301.325</v>
      </c>
      <c r="D26" s="10">
        <v>949400.3101324</v>
      </c>
      <c r="E26" s="10">
        <v>0</v>
      </c>
      <c r="F26" s="23" t="str">
        <f t="shared" si="1"/>
        <v>ingen</v>
      </c>
      <c r="G26" s="10"/>
      <c r="H26" s="10">
        <f t="shared" si="2"/>
        <v>949400.3101324</v>
      </c>
      <c r="I26" s="10"/>
      <c r="J26" s="10">
        <f t="shared" si="40"/>
        <v>1792158.7526807361</v>
      </c>
      <c r="K26" s="10">
        <f t="shared" si="41"/>
        <v>1831367.686589282</v>
      </c>
      <c r="L26" s="10"/>
      <c r="M26" s="10">
        <f t="shared" si="3"/>
        <v>2076978.845720456</v>
      </c>
      <c r="N26" s="10">
        <f t="shared" si="4"/>
        <v>2116187.779629002</v>
      </c>
      <c r="P26" s="23">
        <f>'Potentialer og krav'!U26</f>
        <v>0</v>
      </c>
      <c r="Q26" s="10"/>
      <c r="R26" s="23">
        <f t="shared" si="5"/>
        <v>6036.325</v>
      </c>
      <c r="S26" s="23">
        <f t="shared" si="6"/>
        <v>27905.930474999997</v>
      </c>
      <c r="T26" s="23">
        <f t="shared" si="7"/>
        <v>949400.3101324</v>
      </c>
      <c r="U26" s="23">
        <f t="shared" si="8"/>
        <v>21836.2071330452</v>
      </c>
      <c r="V26" s="23">
        <f t="shared" si="9"/>
        <v>971236.5172654451</v>
      </c>
      <c r="W26" s="23">
        <f t="shared" si="10"/>
        <v>1241207.2554749998</v>
      </c>
      <c r="X26" s="23">
        <f t="shared" si="11"/>
        <v>21836.2071330452</v>
      </c>
      <c r="Y26" s="23">
        <f t="shared" si="12"/>
        <v>971236.5172654451</v>
      </c>
      <c r="Z26" s="23">
        <f t="shared" si="13"/>
        <v>269970.7382095547</v>
      </c>
      <c r="AA26" s="23" t="str">
        <f t="shared" si="42"/>
        <v>ingen</v>
      </c>
      <c r="AB26" s="23"/>
      <c r="AC26" s="35" t="s">
        <v>35</v>
      </c>
      <c r="AD26" s="6">
        <v>24</v>
      </c>
      <c r="AE26" s="6">
        <v>363364</v>
      </c>
      <c r="AF26" s="6">
        <v>352210</v>
      </c>
      <c r="AG26" s="6"/>
      <c r="AH26" s="6"/>
      <c r="AI26" s="6"/>
      <c r="AJ26" s="6"/>
      <c r="AK26" s="6"/>
      <c r="AL26" s="6">
        <v>20</v>
      </c>
      <c r="AM26" s="6">
        <v>39</v>
      </c>
      <c r="AN26" s="6"/>
      <c r="AO26" s="6"/>
      <c r="AP26" s="6">
        <v>71</v>
      </c>
      <c r="AQ26" s="6">
        <v>1889</v>
      </c>
      <c r="AR26" s="6"/>
      <c r="AS26" s="6"/>
      <c r="AT26" s="6">
        <v>2023</v>
      </c>
      <c r="AU26" s="6">
        <f t="shared" si="14"/>
        <v>0</v>
      </c>
      <c r="AV26" s="6">
        <f t="shared" si="15"/>
        <v>0</v>
      </c>
      <c r="AW26" s="6">
        <f t="shared" si="16"/>
        <v>0</v>
      </c>
      <c r="AX26" s="6"/>
      <c r="AY26" s="6">
        <f t="shared" si="17"/>
        <v>169045.96120988595</v>
      </c>
      <c r="AZ26" s="6">
        <f t="shared" si="18"/>
        <v>639610.8914708501</v>
      </c>
      <c r="BA26" s="6">
        <f t="shared" si="19"/>
        <v>0</v>
      </c>
      <c r="BB26" s="6">
        <f t="shared" si="20"/>
        <v>356360</v>
      </c>
      <c r="BC26" s="6">
        <f t="shared" si="21"/>
        <v>333200</v>
      </c>
      <c r="BD26" s="6">
        <f t="shared" si="22"/>
        <v>293941.9</v>
      </c>
      <c r="BE26" s="6">
        <v>29.826558181730288</v>
      </c>
      <c r="BF26" s="6">
        <f t="shared" si="43"/>
        <v>1792158.7526807361</v>
      </c>
      <c r="BG26" s="6">
        <f t="shared" si="23"/>
        <v>1831367.686589282</v>
      </c>
      <c r="BH26" s="6"/>
      <c r="BK26" s="30" t="str">
        <f t="shared" si="24"/>
        <v>Dianalund Vandværk</v>
      </c>
      <c r="BL26" s="23">
        <f t="shared" si="25"/>
        <v>9.432532746165743</v>
      </c>
      <c r="BM26" s="23">
        <f t="shared" si="26"/>
        <v>35.68941035575733</v>
      </c>
      <c r="BN26" s="23">
        <f t="shared" si="27"/>
        <v>0</v>
      </c>
      <c r="BO26" s="23">
        <f t="shared" si="28"/>
        <v>19.884399162013505</v>
      </c>
      <c r="BP26" s="23">
        <f t="shared" si="29"/>
        <v>18.592102931818665</v>
      </c>
      <c r="BQ26" s="23">
        <f t="shared" si="30"/>
        <v>16.401554804244746</v>
      </c>
      <c r="BR26" s="23"/>
      <c r="BS26" s="23">
        <f t="shared" si="44"/>
        <v>34.99365773606341</v>
      </c>
      <c r="BT26" s="23"/>
      <c r="BU26" s="23">
        <f t="shared" si="31"/>
        <v>1.7023565587734328</v>
      </c>
      <c r="BV26" s="23">
        <f t="shared" si="32"/>
        <v>-3.893420577000459</v>
      </c>
      <c r="BW26" s="23">
        <f t="shared" si="33"/>
        <v>4.338265408991401</v>
      </c>
      <c r="BX26" s="23">
        <f t="shared" si="34"/>
        <v>3.9208898649547024</v>
      </c>
      <c r="BY26" s="23">
        <f t="shared" si="35"/>
        <v>-3.005656520990911</v>
      </c>
      <c r="BZ26" s="23">
        <f t="shared" si="36"/>
        <v>-3.062434734728173</v>
      </c>
      <c r="CA26" s="23"/>
      <c r="CB26" s="23">
        <f t="shared" si="37"/>
        <v>-6.068091255719089</v>
      </c>
      <c r="CC26" s="23">
        <f t="shared" si="38"/>
        <v>0</v>
      </c>
    </row>
    <row r="27" spans="1:81" ht="15" customHeight="1">
      <c r="A27" s="1" t="s">
        <v>36</v>
      </c>
      <c r="B27" s="10">
        <v>2019214</v>
      </c>
      <c r="C27" s="10">
        <f t="shared" si="39"/>
        <v>2029310.0699999998</v>
      </c>
      <c r="D27" s="10">
        <v>1225126.8757588002</v>
      </c>
      <c r="E27" s="10">
        <v>0</v>
      </c>
      <c r="F27" s="23" t="str">
        <f t="shared" si="1"/>
        <v>ingen</v>
      </c>
      <c r="G27" s="2"/>
      <c r="H27" s="10">
        <f t="shared" si="2"/>
        <v>1225126.8757588002</v>
      </c>
      <c r="I27" s="10"/>
      <c r="J27" s="10">
        <f t="shared" si="40"/>
        <v>2478827.208290745</v>
      </c>
      <c r="K27" s="10">
        <f t="shared" si="41"/>
        <v>2529956.1479399847</v>
      </c>
      <c r="L27" s="10"/>
      <c r="M27" s="10">
        <f t="shared" si="3"/>
        <v>2846365.271018385</v>
      </c>
      <c r="N27" s="10">
        <f t="shared" si="4"/>
        <v>2897494.2106676246</v>
      </c>
      <c r="P27" s="23">
        <f>'Potentialer og krav'!U27</f>
        <v>0</v>
      </c>
      <c r="Q27" s="10"/>
      <c r="R27" s="23">
        <f t="shared" si="5"/>
        <v>10096.07</v>
      </c>
      <c r="S27" s="23">
        <f t="shared" si="6"/>
        <v>46674.13161</v>
      </c>
      <c r="T27" s="23">
        <f t="shared" si="7"/>
        <v>1225126.8757588002</v>
      </c>
      <c r="U27" s="23">
        <f t="shared" si="8"/>
        <v>28177.918142452403</v>
      </c>
      <c r="V27" s="23">
        <f t="shared" si="9"/>
        <v>1253304.7939012526</v>
      </c>
      <c r="W27" s="23">
        <f t="shared" si="10"/>
        <v>2075984.2016099996</v>
      </c>
      <c r="X27" s="23">
        <f t="shared" si="11"/>
        <v>28177.918142452403</v>
      </c>
      <c r="Y27" s="23">
        <f t="shared" si="12"/>
        <v>1253304.7939012526</v>
      </c>
      <c r="Z27" s="23">
        <f t="shared" si="13"/>
        <v>822679.4077087471</v>
      </c>
      <c r="AA27" s="23" t="str">
        <f t="shared" si="42"/>
        <v>ingen</v>
      </c>
      <c r="AB27" s="23"/>
      <c r="AC27" s="35" t="s">
        <v>36</v>
      </c>
      <c r="AD27" s="6">
        <v>0</v>
      </c>
      <c r="AE27" s="6">
        <v>0</v>
      </c>
      <c r="AF27" s="6">
        <v>391956</v>
      </c>
      <c r="AG27" s="6">
        <v>4</v>
      </c>
      <c r="AH27" s="6"/>
      <c r="AI27" s="6"/>
      <c r="AJ27" s="6"/>
      <c r="AK27" s="6"/>
      <c r="AL27" s="6">
        <v>106</v>
      </c>
      <c r="AM27" s="6">
        <v>56</v>
      </c>
      <c r="AN27" s="6"/>
      <c r="AO27" s="6"/>
      <c r="AP27" s="6">
        <v>261</v>
      </c>
      <c r="AQ27" s="6">
        <v>1567</v>
      </c>
      <c r="AR27" s="6"/>
      <c r="AS27" s="6"/>
      <c r="AT27" s="6">
        <v>1809</v>
      </c>
      <c r="AU27" s="6">
        <f t="shared" si="14"/>
        <v>4</v>
      </c>
      <c r="AV27" s="6">
        <f t="shared" si="15"/>
        <v>0</v>
      </c>
      <c r="AW27" s="6">
        <f t="shared" si="16"/>
        <v>0</v>
      </c>
      <c r="AX27" s="6"/>
      <c r="AY27" s="6">
        <f t="shared" si="17"/>
        <v>0</v>
      </c>
      <c r="AZ27" s="6">
        <f t="shared" si="18"/>
        <v>713923.5082907447</v>
      </c>
      <c r="BA27" s="6">
        <f t="shared" si="19"/>
        <v>212816</v>
      </c>
      <c r="BB27" s="6">
        <f t="shared" si="20"/>
        <v>978480</v>
      </c>
      <c r="BC27" s="6">
        <f t="shared" si="21"/>
        <v>310760</v>
      </c>
      <c r="BD27" s="6">
        <f t="shared" si="22"/>
        <v>262847.7</v>
      </c>
      <c r="BE27" s="6">
        <v>29.75701456</v>
      </c>
      <c r="BF27" s="6">
        <f t="shared" si="43"/>
        <v>2478827.208290745</v>
      </c>
      <c r="BG27" s="6">
        <f t="shared" si="23"/>
        <v>2529956.1479399847</v>
      </c>
      <c r="BH27" s="6"/>
      <c r="BK27" s="30" t="str">
        <f t="shared" si="24"/>
        <v>Dronninglund Vandværk I/S</v>
      </c>
      <c r="BL27" s="23">
        <f t="shared" si="25"/>
        <v>0</v>
      </c>
      <c r="BM27" s="23">
        <f t="shared" si="26"/>
        <v>28.800858159977388</v>
      </c>
      <c r="BN27" s="23">
        <f t="shared" si="27"/>
        <v>8.585350333746963</v>
      </c>
      <c r="BO27" s="23">
        <f t="shared" si="28"/>
        <v>39.473505725907486</v>
      </c>
      <c r="BP27" s="23">
        <f t="shared" si="29"/>
        <v>12.53657370552593</v>
      </c>
      <c r="BQ27" s="23">
        <f t="shared" si="30"/>
        <v>10.603712074842218</v>
      </c>
      <c r="BR27" s="23"/>
      <c r="BS27" s="23">
        <f t="shared" si="44"/>
        <v>23.140285780368146</v>
      </c>
      <c r="BT27" s="23"/>
      <c r="BU27" s="23">
        <f t="shared" si="31"/>
        <v>11.134889304939176</v>
      </c>
      <c r="BV27" s="23">
        <f t="shared" si="32"/>
        <v>2.995131618779485</v>
      </c>
      <c r="BW27" s="23">
        <f t="shared" si="33"/>
        <v>-4.247084924755562</v>
      </c>
      <c r="BX27" s="23">
        <f t="shared" si="34"/>
        <v>-15.668216698939279</v>
      </c>
      <c r="BY27" s="23">
        <f t="shared" si="35"/>
        <v>3.0498727053018246</v>
      </c>
      <c r="BZ27" s="23">
        <f t="shared" si="36"/>
        <v>2.7354079946743557</v>
      </c>
      <c r="CA27" s="23"/>
      <c r="CB27" s="23">
        <f t="shared" si="37"/>
        <v>5.785280699976177</v>
      </c>
      <c r="CC27" s="23">
        <f t="shared" si="38"/>
        <v>0</v>
      </c>
    </row>
    <row r="28" spans="1:81" ht="15" customHeight="1">
      <c r="A28" s="1" t="s">
        <v>37</v>
      </c>
      <c r="B28" s="10">
        <v>4481111</v>
      </c>
      <c r="C28" s="10">
        <f t="shared" si="39"/>
        <v>4503516.555</v>
      </c>
      <c r="D28" s="10">
        <v>3084967.909912</v>
      </c>
      <c r="E28" s="10">
        <v>440359.22187941306</v>
      </c>
      <c r="F28" s="23" t="str">
        <f t="shared" si="1"/>
        <v>ingen</v>
      </c>
      <c r="G28" s="3"/>
      <c r="H28" s="10">
        <f t="shared" si="2"/>
        <v>3084967.909912</v>
      </c>
      <c r="I28" s="10"/>
      <c r="J28" s="10">
        <f t="shared" si="40"/>
        <v>4431886.43600046</v>
      </c>
      <c r="K28" s="10">
        <f t="shared" si="41"/>
        <v>4576900.033832774</v>
      </c>
      <c r="L28" s="10"/>
      <c r="M28" s="10">
        <f t="shared" si="3"/>
        <v>5357376.808974059</v>
      </c>
      <c r="N28" s="10">
        <f t="shared" si="4"/>
        <v>5502390.406806374</v>
      </c>
      <c r="P28" s="23">
        <f>'Potentialer og krav'!U28</f>
        <v>0</v>
      </c>
      <c r="Q28" s="10"/>
      <c r="R28" s="23">
        <f t="shared" si="5"/>
        <v>22405.555</v>
      </c>
      <c r="S28" s="23">
        <f t="shared" si="6"/>
        <v>103580.880765</v>
      </c>
      <c r="T28" s="23">
        <f t="shared" si="7"/>
        <v>2644608.688032587</v>
      </c>
      <c r="U28" s="23">
        <f t="shared" si="8"/>
        <v>70954.261927976</v>
      </c>
      <c r="V28" s="23">
        <f t="shared" si="9"/>
        <v>3155922.1718399758</v>
      </c>
      <c r="W28" s="23">
        <f t="shared" si="10"/>
        <v>4607097.435764999</v>
      </c>
      <c r="X28" s="23">
        <f t="shared" si="11"/>
        <v>70954.261927976</v>
      </c>
      <c r="Y28" s="23">
        <f t="shared" si="12"/>
        <v>3155922.1718399758</v>
      </c>
      <c r="Z28" s="23">
        <f t="shared" si="13"/>
        <v>1451175.2639250234</v>
      </c>
      <c r="AA28" s="23" t="str">
        <f t="shared" si="42"/>
        <v>ingen</v>
      </c>
      <c r="AB28" s="23"/>
      <c r="AC28" s="35" t="s">
        <v>37</v>
      </c>
      <c r="AD28" s="6">
        <v>206</v>
      </c>
      <c r="AE28" s="6">
        <v>676018</v>
      </c>
      <c r="AF28" s="6">
        <v>654018</v>
      </c>
      <c r="AG28" s="6">
        <v>1</v>
      </c>
      <c r="AH28" s="6"/>
      <c r="AI28" s="6"/>
      <c r="AJ28" s="6"/>
      <c r="AK28" s="6"/>
      <c r="AL28" s="6">
        <v>47</v>
      </c>
      <c r="AM28" s="6">
        <v>110</v>
      </c>
      <c r="AN28" s="6"/>
      <c r="AO28" s="6"/>
      <c r="AP28" s="6"/>
      <c r="AQ28" s="6">
        <v>5653</v>
      </c>
      <c r="AR28" s="6"/>
      <c r="AS28" s="6"/>
      <c r="AT28" s="6">
        <v>5653</v>
      </c>
      <c r="AU28" s="6">
        <f t="shared" si="14"/>
        <v>1</v>
      </c>
      <c r="AV28" s="6">
        <f t="shared" si="15"/>
        <v>0</v>
      </c>
      <c r="AW28" s="6">
        <f t="shared" si="16"/>
        <v>0</v>
      </c>
      <c r="AX28" s="6"/>
      <c r="AY28" s="6">
        <f t="shared" si="17"/>
        <v>439558.06401633617</v>
      </c>
      <c r="AZ28" s="6">
        <f t="shared" si="18"/>
        <v>1208453.4719841233</v>
      </c>
      <c r="BA28" s="6">
        <f t="shared" si="19"/>
        <v>53204</v>
      </c>
      <c r="BB28" s="6">
        <f t="shared" si="20"/>
        <v>948280</v>
      </c>
      <c r="BC28" s="6">
        <f t="shared" si="21"/>
        <v>961010</v>
      </c>
      <c r="BD28" s="6">
        <f t="shared" si="22"/>
        <v>821380.9</v>
      </c>
      <c r="BE28" s="6">
        <v>30.42891739</v>
      </c>
      <c r="BF28" s="6">
        <f t="shared" si="43"/>
        <v>4431886.43600046</v>
      </c>
      <c r="BG28" s="6">
        <f t="shared" si="23"/>
        <v>4576900.033832774</v>
      </c>
      <c r="BH28" s="6"/>
      <c r="BK28" s="30" t="str">
        <f t="shared" si="24"/>
        <v>Egedal Vandforsyning A/S</v>
      </c>
      <c r="BL28" s="23">
        <f t="shared" si="25"/>
        <v>9.918080491543773</v>
      </c>
      <c r="BM28" s="23">
        <f t="shared" si="26"/>
        <v>27.267248144442252</v>
      </c>
      <c r="BN28" s="23">
        <f t="shared" si="27"/>
        <v>1.200482024264452</v>
      </c>
      <c r="BO28" s="23">
        <f t="shared" si="28"/>
        <v>21.3967576492274</v>
      </c>
      <c r="BP28" s="23">
        <f t="shared" si="29"/>
        <v>21.683994251153692</v>
      </c>
      <c r="BQ28" s="23">
        <f t="shared" si="30"/>
        <v>18.533437439368424</v>
      </c>
      <c r="BR28" s="23"/>
      <c r="BS28" s="23">
        <f t="shared" si="44"/>
        <v>40.21743169052212</v>
      </c>
      <c r="BT28" s="23"/>
      <c r="BU28" s="23">
        <f t="shared" si="31"/>
        <v>1.216808813395403</v>
      </c>
      <c r="BV28" s="23">
        <f t="shared" si="32"/>
        <v>4.5287416343146205</v>
      </c>
      <c r="BW28" s="23">
        <f t="shared" si="33"/>
        <v>3.1377833847269487</v>
      </c>
      <c r="BX28" s="23">
        <f t="shared" si="34"/>
        <v>2.4085313777408075</v>
      </c>
      <c r="BY28" s="23">
        <f t="shared" si="35"/>
        <v>-6.097547840325937</v>
      </c>
      <c r="BZ28" s="23">
        <f t="shared" si="36"/>
        <v>-5.19431736985185</v>
      </c>
      <c r="CA28" s="23"/>
      <c r="CB28" s="23">
        <f t="shared" si="37"/>
        <v>-11.291865210177797</v>
      </c>
      <c r="CC28" s="23">
        <f t="shared" si="38"/>
        <v>-0.6509347258502493</v>
      </c>
    </row>
    <row r="29" spans="1:81" ht="15" customHeight="1">
      <c r="A29" s="1" t="s">
        <v>38</v>
      </c>
      <c r="B29" s="10">
        <v>1743226</v>
      </c>
      <c r="C29" s="10">
        <f t="shared" si="39"/>
        <v>1751942.13</v>
      </c>
      <c r="D29" s="10">
        <v>1315429</v>
      </c>
      <c r="E29" s="10">
        <v>504741.76927198394</v>
      </c>
      <c r="F29" s="23" t="str">
        <f t="shared" si="1"/>
        <v>ingen</v>
      </c>
      <c r="G29" s="3"/>
      <c r="H29" s="10">
        <f t="shared" si="2"/>
        <v>1315429</v>
      </c>
      <c r="I29" s="10"/>
      <c r="J29" s="10">
        <f t="shared" si="40"/>
        <v>1360714.6170273959</v>
      </c>
      <c r="K29" s="10">
        <f t="shared" si="41"/>
        <v>1392108.2569309103</v>
      </c>
      <c r="L29" s="10"/>
      <c r="M29" s="10">
        <f t="shared" si="3"/>
        <v>1755343.3170273958</v>
      </c>
      <c r="N29" s="10">
        <f t="shared" si="4"/>
        <v>1786736.9569309102</v>
      </c>
      <c r="P29" s="23">
        <f>'Potentialer og krav'!U29</f>
        <v>65771.45</v>
      </c>
      <c r="Q29" s="10"/>
      <c r="R29" s="23">
        <f t="shared" si="5"/>
        <v>8716.130000000001</v>
      </c>
      <c r="S29" s="23">
        <f t="shared" si="6"/>
        <v>40294.66899</v>
      </c>
      <c r="T29" s="23">
        <f t="shared" si="7"/>
        <v>810687.230728016</v>
      </c>
      <c r="U29" s="23">
        <f t="shared" si="8"/>
        <v>30254.867</v>
      </c>
      <c r="V29" s="23">
        <f t="shared" si="9"/>
        <v>1345683.8669999999</v>
      </c>
      <c r="W29" s="23">
        <f t="shared" si="10"/>
        <v>1792236.7989899998</v>
      </c>
      <c r="X29" s="23">
        <f t="shared" si="11"/>
        <v>30254.867</v>
      </c>
      <c r="Y29" s="23">
        <f t="shared" si="12"/>
        <v>1345683.8669999999</v>
      </c>
      <c r="Z29" s="23">
        <f t="shared" si="13"/>
        <v>446552.93198999995</v>
      </c>
      <c r="AA29" s="23" t="str">
        <f t="shared" si="42"/>
        <v>ingen</v>
      </c>
      <c r="AB29" s="23"/>
      <c r="AC29" s="35" t="s">
        <v>38</v>
      </c>
      <c r="AD29" s="6">
        <v>257</v>
      </c>
      <c r="AE29" s="6">
        <v>238636</v>
      </c>
      <c r="AF29" s="6">
        <v>210708</v>
      </c>
      <c r="AG29" s="6"/>
      <c r="AH29" s="6">
        <v>1</v>
      </c>
      <c r="AI29" s="6"/>
      <c r="AJ29" s="6"/>
      <c r="AK29" s="6"/>
      <c r="AL29" s="6">
        <v>4</v>
      </c>
      <c r="AM29" s="6">
        <v>38</v>
      </c>
      <c r="AN29" s="6"/>
      <c r="AO29" s="6"/>
      <c r="AP29" s="6">
        <v>2</v>
      </c>
      <c r="AQ29" s="6">
        <v>1553</v>
      </c>
      <c r="AR29" s="6"/>
      <c r="AS29" s="6"/>
      <c r="AT29" s="6">
        <v>1553</v>
      </c>
      <c r="AU29" s="6">
        <f t="shared" si="14"/>
        <v>1</v>
      </c>
      <c r="AV29" s="6">
        <f t="shared" si="15"/>
        <v>0</v>
      </c>
      <c r="AW29" s="6">
        <f t="shared" si="16"/>
        <v>0</v>
      </c>
      <c r="AX29" s="6"/>
      <c r="AY29" s="6">
        <f t="shared" si="17"/>
        <v>186650.44798327153</v>
      </c>
      <c r="AZ29" s="6">
        <f t="shared" si="18"/>
        <v>377179.2690441242</v>
      </c>
      <c r="BA29" s="6">
        <f t="shared" si="19"/>
        <v>53204</v>
      </c>
      <c r="BB29" s="6">
        <f t="shared" si="20"/>
        <v>253680</v>
      </c>
      <c r="BC29" s="6">
        <f t="shared" si="21"/>
        <v>264350</v>
      </c>
      <c r="BD29" s="6">
        <f t="shared" si="22"/>
        <v>225650.90000000002</v>
      </c>
      <c r="BE29" s="6">
        <v>29.892857543409256</v>
      </c>
      <c r="BF29" s="6">
        <f t="shared" si="43"/>
        <v>1360714.6170273959</v>
      </c>
      <c r="BG29" s="6">
        <f t="shared" si="23"/>
        <v>1392108.2569309103</v>
      </c>
      <c r="BH29" s="6"/>
      <c r="BK29" s="30" t="str">
        <f t="shared" si="24"/>
        <v>Egå vandværk a.m.b.a</v>
      </c>
      <c r="BL29" s="23">
        <f t="shared" si="25"/>
        <v>13.717089950207656</v>
      </c>
      <c r="BM29" s="23">
        <f t="shared" si="26"/>
        <v>27.719204624119232</v>
      </c>
      <c r="BN29" s="23">
        <f t="shared" si="27"/>
        <v>3.910004297317607</v>
      </c>
      <c r="BO29" s="23">
        <f t="shared" si="28"/>
        <v>18.643145066978622</v>
      </c>
      <c r="BP29" s="23">
        <f t="shared" si="29"/>
        <v>19.42729185767817</v>
      </c>
      <c r="BQ29" s="23">
        <f t="shared" si="30"/>
        <v>16.583264203698704</v>
      </c>
      <c r="BR29" s="23"/>
      <c r="BS29" s="23">
        <f t="shared" si="44"/>
        <v>36.010556061376874</v>
      </c>
      <c r="BT29" s="23"/>
      <c r="BU29" s="23">
        <f t="shared" si="31"/>
        <v>-2.5822006452684807</v>
      </c>
      <c r="BV29" s="23">
        <f t="shared" si="32"/>
        <v>4.076785154637641</v>
      </c>
      <c r="BW29" s="23">
        <f t="shared" si="33"/>
        <v>0.42826111167379377</v>
      </c>
      <c r="BX29" s="23">
        <f t="shared" si="34"/>
        <v>5.162143959989585</v>
      </c>
      <c r="BY29" s="23">
        <f t="shared" si="35"/>
        <v>-3.840845446850416</v>
      </c>
      <c r="BZ29" s="23">
        <f t="shared" si="36"/>
        <v>-3.2441441341821307</v>
      </c>
      <c r="CA29" s="23"/>
      <c r="CB29" s="23">
        <f t="shared" si="37"/>
        <v>-7.084989581032552</v>
      </c>
      <c r="CC29" s="23">
        <f t="shared" si="38"/>
        <v>0</v>
      </c>
    </row>
    <row r="30" spans="1:81" ht="15" customHeight="1">
      <c r="A30" s="1" t="s">
        <v>39</v>
      </c>
      <c r="B30" s="10">
        <v>18194876</v>
      </c>
      <c r="C30" s="10">
        <f t="shared" si="39"/>
        <v>18285850.38</v>
      </c>
      <c r="D30" s="10">
        <v>16782086.280204</v>
      </c>
      <c r="E30" s="10">
        <v>8320277.904432229</v>
      </c>
      <c r="F30" s="23" t="str">
        <f t="shared" si="1"/>
        <v>ingen</v>
      </c>
      <c r="G30" s="3"/>
      <c r="H30" s="10">
        <f t="shared" si="2"/>
        <v>16782086.280204</v>
      </c>
      <c r="I30" s="10"/>
      <c r="J30" s="10">
        <f t="shared" si="40"/>
        <v>14208107.968214327</v>
      </c>
      <c r="K30" s="10">
        <f t="shared" si="41"/>
        <v>14504142.101777775</v>
      </c>
      <c r="L30" s="10"/>
      <c r="M30" s="10">
        <f t="shared" si="3"/>
        <v>19242733.852275528</v>
      </c>
      <c r="N30" s="10">
        <f t="shared" si="4"/>
        <v>19538767.985838976</v>
      </c>
      <c r="P30" s="23">
        <f>'Potentialer og krav'!U30</f>
        <v>839104.3140102001</v>
      </c>
      <c r="Q30" s="10"/>
      <c r="R30" s="23">
        <f t="shared" si="5"/>
        <v>90974.38</v>
      </c>
      <c r="S30" s="23">
        <f t="shared" si="6"/>
        <v>420574.55873999995</v>
      </c>
      <c r="T30" s="23">
        <f t="shared" si="7"/>
        <v>8461808.375771772</v>
      </c>
      <c r="U30" s="23">
        <f t="shared" si="8"/>
        <v>385987.98444469203</v>
      </c>
      <c r="V30" s="23">
        <f t="shared" si="9"/>
        <v>17168074.26464869</v>
      </c>
      <c r="W30" s="23">
        <f t="shared" si="10"/>
        <v>18706424.938739996</v>
      </c>
      <c r="X30" s="23">
        <f t="shared" si="11"/>
        <v>385987.98444469203</v>
      </c>
      <c r="Y30" s="23">
        <f t="shared" si="12"/>
        <v>17168074.26464869</v>
      </c>
      <c r="Z30" s="23">
        <f t="shared" si="13"/>
        <v>1538350.6740913056</v>
      </c>
      <c r="AA30" s="23" t="str">
        <f t="shared" si="42"/>
        <v>ingen</v>
      </c>
      <c r="AB30" s="23"/>
      <c r="AC30" s="35" t="s">
        <v>39</v>
      </c>
      <c r="AD30" s="6">
        <v>163</v>
      </c>
      <c r="AE30" s="6">
        <v>2618278</v>
      </c>
      <c r="AF30" s="6">
        <v>2409450</v>
      </c>
      <c r="AG30" s="6">
        <v>5</v>
      </c>
      <c r="AH30" s="6">
        <v>2</v>
      </c>
      <c r="AI30" s="6">
        <v>1</v>
      </c>
      <c r="AJ30" s="6">
        <v>1</v>
      </c>
      <c r="AK30" s="6">
        <v>0</v>
      </c>
      <c r="AL30" s="6">
        <v>151</v>
      </c>
      <c r="AM30" s="6">
        <v>352</v>
      </c>
      <c r="AN30" s="6">
        <v>14</v>
      </c>
      <c r="AO30" s="6"/>
      <c r="AP30" s="6">
        <v>742</v>
      </c>
      <c r="AQ30" s="6">
        <v>7804</v>
      </c>
      <c r="AR30" s="6">
        <v>318</v>
      </c>
      <c r="AS30" s="6"/>
      <c r="AT30" s="6">
        <v>15292</v>
      </c>
      <c r="AU30" s="6">
        <f t="shared" si="14"/>
        <v>7</v>
      </c>
      <c r="AV30" s="6">
        <f t="shared" si="15"/>
        <v>2</v>
      </c>
      <c r="AW30" s="6">
        <f t="shared" si="16"/>
        <v>0</v>
      </c>
      <c r="AX30" s="6"/>
      <c r="AY30" s="6">
        <f t="shared" si="17"/>
        <v>1352914.6638571026</v>
      </c>
      <c r="AZ30" s="6">
        <f t="shared" si="18"/>
        <v>4617589.7043572245</v>
      </c>
      <c r="BA30" s="6">
        <f t="shared" si="19"/>
        <v>622876</v>
      </c>
      <c r="BB30" s="6">
        <f t="shared" si="20"/>
        <v>3771440</v>
      </c>
      <c r="BC30" s="6">
        <f t="shared" si="21"/>
        <v>1621360</v>
      </c>
      <c r="BD30" s="6">
        <f t="shared" si="22"/>
        <v>2221927.6</v>
      </c>
      <c r="BE30" s="6">
        <v>29.76864319</v>
      </c>
      <c r="BF30" s="6">
        <f t="shared" si="43"/>
        <v>14208107.968214327</v>
      </c>
      <c r="BG30" s="6">
        <f t="shared" si="23"/>
        <v>14504142.101777775</v>
      </c>
      <c r="BH30" s="6"/>
      <c r="BK30" s="30" t="str">
        <f t="shared" si="24"/>
        <v>Energi Viborg Vand A/S</v>
      </c>
      <c r="BL30" s="23">
        <f t="shared" si="25"/>
        <v>9.522131073917626</v>
      </c>
      <c r="BM30" s="23">
        <f t="shared" si="26"/>
        <v>32.49968056751445</v>
      </c>
      <c r="BN30" s="23">
        <f t="shared" si="27"/>
        <v>4.383947541737909</v>
      </c>
      <c r="BO30" s="23">
        <f t="shared" si="28"/>
        <v>26.54428026896528</v>
      </c>
      <c r="BP30" s="23">
        <f t="shared" si="29"/>
        <v>11.411512381713496</v>
      </c>
      <c r="BQ30" s="23">
        <f t="shared" si="30"/>
        <v>15.638448166151228</v>
      </c>
      <c r="BR30" s="23"/>
      <c r="BS30" s="23">
        <f t="shared" si="44"/>
        <v>27.049960547864725</v>
      </c>
      <c r="BT30" s="23"/>
      <c r="BU30" s="23">
        <f t="shared" si="31"/>
        <v>1.6127582310215498</v>
      </c>
      <c r="BV30" s="23">
        <f t="shared" si="32"/>
        <v>-0.7036907887575801</v>
      </c>
      <c r="BW30" s="23">
        <f t="shared" si="33"/>
        <v>-0.04568213274650823</v>
      </c>
      <c r="BX30" s="23">
        <f t="shared" si="34"/>
        <v>-2.7389912419970734</v>
      </c>
      <c r="BY30" s="23">
        <f t="shared" si="35"/>
        <v>4.174934029114258</v>
      </c>
      <c r="BZ30" s="23">
        <f t="shared" si="36"/>
        <v>-2.299328096634655</v>
      </c>
      <c r="CA30" s="23"/>
      <c r="CB30" s="23">
        <f t="shared" si="37"/>
        <v>1.8756059324795977</v>
      </c>
      <c r="CC30" s="23">
        <f t="shared" si="38"/>
        <v>0</v>
      </c>
    </row>
    <row r="31" spans="1:81" ht="15" customHeight="1">
      <c r="A31" s="1" t="s">
        <v>1</v>
      </c>
      <c r="B31" s="10">
        <v>3108080</v>
      </c>
      <c r="C31" s="10">
        <f t="shared" si="39"/>
        <v>3123620.3999999994</v>
      </c>
      <c r="D31" s="10">
        <v>2255437.1431452</v>
      </c>
      <c r="E31" s="10">
        <v>1141675.474814308</v>
      </c>
      <c r="F31" s="23" t="str">
        <f t="shared" si="1"/>
        <v>ingen</v>
      </c>
      <c r="G31" s="3"/>
      <c r="H31" s="10">
        <f t="shared" si="2"/>
        <v>2255437.1431452</v>
      </c>
      <c r="I31" s="10"/>
      <c r="J31" s="10">
        <f t="shared" si="40"/>
        <v>1879526.184556422</v>
      </c>
      <c r="K31" s="10">
        <f t="shared" si="41"/>
        <v>1408582.7486379244</v>
      </c>
      <c r="L31" s="10"/>
      <c r="M31" s="10">
        <f t="shared" si="3"/>
        <v>2556157.327499982</v>
      </c>
      <c r="N31" s="10">
        <f t="shared" si="4"/>
        <v>2085213.8915814843</v>
      </c>
      <c r="P31" s="23">
        <f>'Potentialer og krav'!U31</f>
        <v>112771.85715726</v>
      </c>
      <c r="Q31" s="10"/>
      <c r="R31" s="23">
        <f t="shared" si="5"/>
        <v>15540.4</v>
      </c>
      <c r="S31" s="23">
        <f t="shared" si="6"/>
        <v>71843.26919999998</v>
      </c>
      <c r="T31" s="23">
        <f t="shared" si="7"/>
        <v>1113761.6683308918</v>
      </c>
      <c r="U31" s="23">
        <f t="shared" si="8"/>
        <v>51875.0542923396</v>
      </c>
      <c r="V31" s="23">
        <f t="shared" si="9"/>
        <v>2307312.197437539</v>
      </c>
      <c r="W31" s="23">
        <f t="shared" si="10"/>
        <v>3195463.669199999</v>
      </c>
      <c r="X31" s="23">
        <f t="shared" si="11"/>
        <v>51875.0542923396</v>
      </c>
      <c r="Y31" s="23">
        <f t="shared" si="12"/>
        <v>2307312.197437539</v>
      </c>
      <c r="Z31" s="23">
        <f t="shared" si="13"/>
        <v>888151.4717624597</v>
      </c>
      <c r="AA31" s="23" t="str">
        <f t="shared" si="42"/>
        <v>ingen</v>
      </c>
      <c r="AB31" s="23"/>
      <c r="AC31" s="35" t="s">
        <v>1</v>
      </c>
      <c r="AD31" s="6">
        <v>250</v>
      </c>
      <c r="AE31" s="6">
        <v>330489</v>
      </c>
      <c r="AF31" s="6">
        <v>322219</v>
      </c>
      <c r="AG31" s="6">
        <v>0</v>
      </c>
      <c r="AH31" s="6">
        <v>1</v>
      </c>
      <c r="AI31" s="6">
        <v>0</v>
      </c>
      <c r="AJ31" s="6">
        <v>1</v>
      </c>
      <c r="AK31" s="6">
        <v>0</v>
      </c>
      <c r="AL31" s="6">
        <v>45</v>
      </c>
      <c r="AM31" s="6">
        <v>42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2381</v>
      </c>
      <c r="AU31" s="6">
        <f t="shared" si="14"/>
        <v>1</v>
      </c>
      <c r="AV31" s="6">
        <f t="shared" si="15"/>
        <v>1</v>
      </c>
      <c r="AW31" s="6">
        <f t="shared" si="16"/>
        <v>0</v>
      </c>
      <c r="AX31" s="6"/>
      <c r="AY31" s="6">
        <f t="shared" si="17"/>
        <v>245967.7480080208</v>
      </c>
      <c r="AZ31" s="6">
        <f t="shared" si="18"/>
        <v>583691.1365484011</v>
      </c>
      <c r="BA31" s="6">
        <f t="shared" si="19"/>
        <v>178428</v>
      </c>
      <c r="BB31" s="6">
        <f t="shared" si="20"/>
        <v>525480</v>
      </c>
      <c r="BC31" s="6">
        <f t="shared" si="21"/>
        <v>0</v>
      </c>
      <c r="BD31" s="6">
        <f t="shared" si="22"/>
        <v>345959.30000000005</v>
      </c>
      <c r="BE31" s="6">
        <v>14.69083459</v>
      </c>
      <c r="BF31" s="6">
        <f t="shared" si="43"/>
        <v>1879526.184556422</v>
      </c>
      <c r="BG31" s="6">
        <f t="shared" si="23"/>
        <v>1408582.7486379244</v>
      </c>
      <c r="BH31" s="6"/>
      <c r="BK31" s="30" t="str">
        <f t="shared" si="24"/>
        <v>Fanø Vand A/S</v>
      </c>
      <c r="BL31" s="23">
        <f t="shared" si="25"/>
        <v>13.08668908308242</v>
      </c>
      <c r="BM31" s="23">
        <f t="shared" si="26"/>
        <v>31.05522771347584</v>
      </c>
      <c r="BN31" s="23">
        <f t="shared" si="27"/>
        <v>9.493243641195132</v>
      </c>
      <c r="BO31" s="23">
        <f t="shared" si="28"/>
        <v>27.958110098051975</v>
      </c>
      <c r="BP31" s="23">
        <f t="shared" si="29"/>
        <v>0</v>
      </c>
      <c r="BQ31" s="23">
        <f t="shared" si="30"/>
        <v>18.40672946419463</v>
      </c>
      <c r="BR31" s="23"/>
      <c r="BS31" s="23">
        <f t="shared" si="44"/>
        <v>18.40672946419463</v>
      </c>
      <c r="BT31" s="23"/>
      <c r="BU31" s="23">
        <f t="shared" si="31"/>
        <v>-1.9517997781432452</v>
      </c>
      <c r="BV31" s="23">
        <f t="shared" si="32"/>
        <v>0.7407620652810323</v>
      </c>
      <c r="BW31" s="23">
        <f t="shared" si="33"/>
        <v>-5.154978232203732</v>
      </c>
      <c r="BX31" s="23">
        <f t="shared" si="34"/>
        <v>-4.152821071083768</v>
      </c>
      <c r="BY31" s="23">
        <f t="shared" si="35"/>
        <v>15.586446410827755</v>
      </c>
      <c r="BZ31" s="23">
        <f t="shared" si="36"/>
        <v>-5.0676093946780565</v>
      </c>
      <c r="CA31" s="23"/>
      <c r="CB31" s="23">
        <f t="shared" si="37"/>
        <v>10.518837016149693</v>
      </c>
      <c r="CC31" s="23">
        <f t="shared" si="38"/>
        <v>0</v>
      </c>
    </row>
    <row r="32" spans="1:81" ht="15" customHeight="1">
      <c r="A32" s="1" t="s">
        <v>40</v>
      </c>
      <c r="B32" s="10">
        <v>773463</v>
      </c>
      <c r="C32" s="10">
        <f t="shared" si="39"/>
        <v>777330.315</v>
      </c>
      <c r="D32" s="10">
        <v>742196.0304803335</v>
      </c>
      <c r="E32" s="10">
        <v>0</v>
      </c>
      <c r="F32" s="23" t="str">
        <f t="shared" si="1"/>
        <v>ingen</v>
      </c>
      <c r="G32" s="3"/>
      <c r="H32" s="10">
        <f t="shared" si="2"/>
        <v>742196.0304803335</v>
      </c>
      <c r="I32" s="10"/>
      <c r="J32" s="10">
        <f t="shared" si="40"/>
        <v>1375549.9297430755</v>
      </c>
      <c r="K32" s="10">
        <f t="shared" si="41"/>
        <v>1463170.2702546662</v>
      </c>
      <c r="L32" s="10"/>
      <c r="M32" s="10">
        <f t="shared" si="3"/>
        <v>1598208.7388871755</v>
      </c>
      <c r="N32" s="10">
        <f t="shared" si="4"/>
        <v>1685829.0793987662</v>
      </c>
      <c r="P32" s="23">
        <f>'Potentialer og krav'!U32</f>
        <v>0</v>
      </c>
      <c r="Q32" s="10"/>
      <c r="R32" s="23">
        <f t="shared" si="5"/>
        <v>3867.315</v>
      </c>
      <c r="S32" s="23">
        <f t="shared" si="6"/>
        <v>17878.597244999997</v>
      </c>
      <c r="T32" s="23">
        <f t="shared" si="7"/>
        <v>742196.0304803335</v>
      </c>
      <c r="U32" s="23">
        <f t="shared" si="8"/>
        <v>17070.50870104767</v>
      </c>
      <c r="V32" s="23">
        <f t="shared" si="9"/>
        <v>759266.5391813811</v>
      </c>
      <c r="W32" s="23">
        <f t="shared" si="10"/>
        <v>795208.9122449999</v>
      </c>
      <c r="X32" s="23">
        <f t="shared" si="11"/>
        <v>17070.50870104767</v>
      </c>
      <c r="Y32" s="23">
        <f t="shared" si="12"/>
        <v>759266.5391813811</v>
      </c>
      <c r="Z32" s="23">
        <f t="shared" si="13"/>
        <v>35942.37306361878</v>
      </c>
      <c r="AA32" s="23" t="str">
        <f t="shared" si="42"/>
        <v>ingen</v>
      </c>
      <c r="AB32" s="23"/>
      <c r="AC32" s="35" t="s">
        <v>40</v>
      </c>
      <c r="AD32" s="6">
        <v>242</v>
      </c>
      <c r="AE32" s="6">
        <v>210948</v>
      </c>
      <c r="AF32" s="6">
        <v>206682</v>
      </c>
      <c r="AG32" s="6">
        <v>3</v>
      </c>
      <c r="AH32" s="6"/>
      <c r="AI32" s="6"/>
      <c r="AJ32" s="6"/>
      <c r="AK32" s="6"/>
      <c r="AL32" s="6">
        <v>5</v>
      </c>
      <c r="AM32" s="6">
        <v>34</v>
      </c>
      <c r="AN32" s="6"/>
      <c r="AO32" s="6"/>
      <c r="AP32" s="6">
        <v>30</v>
      </c>
      <c r="AQ32" s="6">
        <v>1300</v>
      </c>
      <c r="AR32" s="6"/>
      <c r="AS32" s="6"/>
      <c r="AT32" s="6">
        <v>1505</v>
      </c>
      <c r="AU32" s="6">
        <f t="shared" si="14"/>
        <v>3</v>
      </c>
      <c r="AV32" s="6">
        <f t="shared" si="15"/>
        <v>0</v>
      </c>
      <c r="AW32" s="6">
        <f t="shared" si="16"/>
        <v>0</v>
      </c>
      <c r="AX32" s="6"/>
      <c r="AY32" s="6">
        <f t="shared" si="17"/>
        <v>165828.72436123661</v>
      </c>
      <c r="AZ32" s="6">
        <f t="shared" si="18"/>
        <v>369772.70538183884</v>
      </c>
      <c r="BA32" s="6">
        <f t="shared" si="19"/>
        <v>159612</v>
      </c>
      <c r="BB32" s="6">
        <f t="shared" si="20"/>
        <v>235560</v>
      </c>
      <c r="BC32" s="6">
        <f t="shared" si="21"/>
        <v>226100</v>
      </c>
      <c r="BD32" s="6">
        <f t="shared" si="22"/>
        <v>218676.50000000003</v>
      </c>
      <c r="BE32" s="6">
        <v>32.14991155</v>
      </c>
      <c r="BF32" s="6">
        <f t="shared" si="43"/>
        <v>1375549.9297430755</v>
      </c>
      <c r="BG32" s="6">
        <f t="shared" si="23"/>
        <v>1463170.2702546662</v>
      </c>
      <c r="BH32" s="6"/>
      <c r="BK32" s="30" t="str">
        <f t="shared" si="24"/>
        <v>Farsø Vandværk I/S</v>
      </c>
      <c r="BL32" s="23">
        <f t="shared" si="25"/>
        <v>12.055449298900406</v>
      </c>
      <c r="BM32" s="23">
        <f t="shared" si="26"/>
        <v>26.881809041341363</v>
      </c>
      <c r="BN32" s="23">
        <f t="shared" si="27"/>
        <v>11.603504645579259</v>
      </c>
      <c r="BO32" s="23">
        <f t="shared" si="28"/>
        <v>17.12478732371407</v>
      </c>
      <c r="BP32" s="23">
        <f t="shared" si="29"/>
        <v>16.43706237855218</v>
      </c>
      <c r="BQ32" s="23">
        <f t="shared" si="30"/>
        <v>15.89738731191272</v>
      </c>
      <c r="BR32" s="23"/>
      <c r="BS32" s="23">
        <f t="shared" si="44"/>
        <v>32.3344496904649</v>
      </c>
      <c r="BT32" s="23"/>
      <c r="BU32" s="23">
        <f t="shared" si="31"/>
        <v>-0.9205599939612306</v>
      </c>
      <c r="BV32" s="23">
        <f t="shared" si="32"/>
        <v>4.91418073741551</v>
      </c>
      <c r="BW32" s="23">
        <f t="shared" si="33"/>
        <v>-7.265239236587858</v>
      </c>
      <c r="BX32" s="23">
        <f t="shared" si="34"/>
        <v>6.680501703254137</v>
      </c>
      <c r="BY32" s="23">
        <f t="shared" si="35"/>
        <v>-0.8506159677244263</v>
      </c>
      <c r="BZ32" s="23">
        <f t="shared" si="36"/>
        <v>-2.5582672423961466</v>
      </c>
      <c r="CA32" s="23"/>
      <c r="CB32" s="23">
        <f t="shared" si="37"/>
        <v>-3.408883210120578</v>
      </c>
      <c r="CC32" s="23">
        <f t="shared" si="38"/>
        <v>0</v>
      </c>
    </row>
    <row r="33" spans="1:81" ht="15" customHeight="1">
      <c r="A33" s="1" t="s">
        <v>41</v>
      </c>
      <c r="B33" s="10">
        <v>2767643</v>
      </c>
      <c r="C33" s="10">
        <f t="shared" si="39"/>
        <v>2781481.215</v>
      </c>
      <c r="D33" s="10">
        <v>2371901.4874730003</v>
      </c>
      <c r="E33" s="10">
        <v>1313273.9412037535</v>
      </c>
      <c r="F33" s="23" t="str">
        <f t="shared" si="1"/>
        <v>ingen</v>
      </c>
      <c r="G33" s="3"/>
      <c r="H33" s="10">
        <f t="shared" si="2"/>
        <v>2371901.4874730003</v>
      </c>
      <c r="I33" s="10"/>
      <c r="J33" s="10">
        <f t="shared" si="40"/>
        <v>1691131.8129744916</v>
      </c>
      <c r="K33" s="10">
        <f t="shared" si="41"/>
        <v>1939967.125473387</v>
      </c>
      <c r="L33" s="10"/>
      <c r="M33" s="10">
        <f t="shared" si="3"/>
        <v>2402702.2592163915</v>
      </c>
      <c r="N33" s="10">
        <f t="shared" si="4"/>
        <v>2651537.571715287</v>
      </c>
      <c r="P33" s="23">
        <f>'Potentialer og krav'!U33</f>
        <v>118595.07437365002</v>
      </c>
      <c r="Q33" s="10"/>
      <c r="R33" s="23">
        <f t="shared" si="5"/>
        <v>13838.215</v>
      </c>
      <c r="S33" s="23">
        <f t="shared" si="6"/>
        <v>63974.067944999995</v>
      </c>
      <c r="T33" s="23">
        <f t="shared" si="7"/>
        <v>1058627.5462692468</v>
      </c>
      <c r="U33" s="23">
        <f t="shared" si="8"/>
        <v>54553.734211879004</v>
      </c>
      <c r="V33" s="23">
        <f t="shared" si="9"/>
        <v>2426455.221684879</v>
      </c>
      <c r="W33" s="23">
        <f t="shared" si="10"/>
        <v>2845455.2829449996</v>
      </c>
      <c r="X33" s="23">
        <f t="shared" si="11"/>
        <v>54553.734211879004</v>
      </c>
      <c r="Y33" s="23">
        <f t="shared" si="12"/>
        <v>2426455.221684879</v>
      </c>
      <c r="Z33" s="23">
        <f t="shared" si="13"/>
        <v>419000.0612601205</v>
      </c>
      <c r="AA33" s="23" t="str">
        <f t="shared" si="42"/>
        <v>ingen</v>
      </c>
      <c r="AB33" s="23"/>
      <c r="AC33" s="35" t="s">
        <v>41</v>
      </c>
      <c r="AD33" s="6">
        <v>423</v>
      </c>
      <c r="AE33" s="6">
        <v>328430</v>
      </c>
      <c r="AF33" s="6">
        <v>328430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29</v>
      </c>
      <c r="AM33" s="6">
        <v>37</v>
      </c>
      <c r="AN33" s="6">
        <v>0</v>
      </c>
      <c r="AO33" s="6">
        <v>0</v>
      </c>
      <c r="AP33" s="6">
        <v>197</v>
      </c>
      <c r="AQ33" s="6">
        <v>1162</v>
      </c>
      <c r="AR33" s="6">
        <v>0</v>
      </c>
      <c r="AS33" s="6">
        <v>0</v>
      </c>
      <c r="AT33" s="6">
        <v>1343</v>
      </c>
      <c r="AU33" s="6">
        <f t="shared" si="14"/>
        <v>0</v>
      </c>
      <c r="AV33" s="6">
        <f t="shared" si="15"/>
        <v>0</v>
      </c>
      <c r="AW33" s="6">
        <f t="shared" si="16"/>
        <v>0</v>
      </c>
      <c r="AX33" s="6"/>
      <c r="AY33" s="6">
        <f t="shared" si="17"/>
        <v>271063.5837245176</v>
      </c>
      <c r="AZ33" s="6">
        <f t="shared" si="18"/>
        <v>595260.329249974</v>
      </c>
      <c r="BA33" s="6">
        <f t="shared" si="19"/>
        <v>0</v>
      </c>
      <c r="BB33" s="6">
        <f t="shared" si="20"/>
        <v>398640</v>
      </c>
      <c r="BC33" s="6">
        <f t="shared" si="21"/>
        <v>231030</v>
      </c>
      <c r="BD33" s="6">
        <f t="shared" si="22"/>
        <v>195137.90000000002</v>
      </c>
      <c r="BE33" s="6">
        <v>36.78562709008816</v>
      </c>
      <c r="BF33" s="6">
        <f t="shared" si="43"/>
        <v>1691131.8129744916</v>
      </c>
      <c r="BG33" s="6">
        <f t="shared" si="23"/>
        <v>1939967.125473387</v>
      </c>
      <c r="BH33" s="6"/>
      <c r="BK33" s="30" t="str">
        <f t="shared" si="24"/>
        <v>Faxe Vandværk Smba</v>
      </c>
      <c r="BL33" s="23">
        <f t="shared" si="25"/>
        <v>16.02853081261302</v>
      </c>
      <c r="BM33" s="23">
        <f t="shared" si="26"/>
        <v>35.198931548865176</v>
      </c>
      <c r="BN33" s="23">
        <f t="shared" si="27"/>
        <v>0</v>
      </c>
      <c r="BO33" s="23">
        <f t="shared" si="28"/>
        <v>23.572378979663423</v>
      </c>
      <c r="BP33" s="23">
        <f t="shared" si="29"/>
        <v>13.661265090486758</v>
      </c>
      <c r="BQ33" s="23">
        <f t="shared" si="30"/>
        <v>11.538893568371622</v>
      </c>
      <c r="BR33" s="23"/>
      <c r="BS33" s="23">
        <f t="shared" si="44"/>
        <v>25.200158658858378</v>
      </c>
      <c r="BT33" s="23"/>
      <c r="BU33" s="23">
        <f t="shared" si="31"/>
        <v>-4.893641507673845</v>
      </c>
      <c r="BV33" s="23">
        <f t="shared" si="32"/>
        <v>-3.4029417701083027</v>
      </c>
      <c r="BW33" s="23">
        <f t="shared" si="33"/>
        <v>4.338265408991401</v>
      </c>
      <c r="BX33" s="23">
        <f t="shared" si="34"/>
        <v>0.23291004730478448</v>
      </c>
      <c r="BY33" s="23">
        <f t="shared" si="35"/>
        <v>1.9251813203409966</v>
      </c>
      <c r="BZ33" s="23">
        <f t="shared" si="36"/>
        <v>1.8002265011449516</v>
      </c>
      <c r="CA33" s="23"/>
      <c r="CB33" s="23">
        <f t="shared" si="37"/>
        <v>3.7254078214859447</v>
      </c>
      <c r="CC33" s="23">
        <f t="shared" si="38"/>
        <v>0</v>
      </c>
    </row>
    <row r="34" spans="1:81" ht="15" customHeight="1">
      <c r="A34" s="1" t="s">
        <v>42</v>
      </c>
      <c r="B34" s="10">
        <v>2924968</v>
      </c>
      <c r="C34" s="10">
        <f t="shared" si="39"/>
        <v>2939592.84</v>
      </c>
      <c r="D34" s="10">
        <v>2408824.0244516</v>
      </c>
      <c r="E34" s="10">
        <v>754721.3036287313</v>
      </c>
      <c r="F34" s="23" t="str">
        <f t="shared" si="1"/>
        <v>ingen</v>
      </c>
      <c r="G34" s="3"/>
      <c r="H34" s="10">
        <f t="shared" si="2"/>
        <v>2408824.0244516</v>
      </c>
      <c r="I34" s="10"/>
      <c r="J34" s="10">
        <f t="shared" si="40"/>
        <v>2773773.3764682906</v>
      </c>
      <c r="K34" s="10">
        <f t="shared" si="41"/>
        <v>2853562.9504465614</v>
      </c>
      <c r="L34" s="10"/>
      <c r="M34" s="10">
        <f t="shared" si="3"/>
        <v>3496420.5838037706</v>
      </c>
      <c r="N34" s="10">
        <f t="shared" si="4"/>
        <v>3576210.1577820415</v>
      </c>
      <c r="P34" s="23">
        <f>'Potentialer og krav'!U34</f>
        <v>81452.7027299461</v>
      </c>
      <c r="Q34" s="10"/>
      <c r="R34" s="23">
        <f t="shared" si="5"/>
        <v>14624.84</v>
      </c>
      <c r="S34" s="23">
        <f t="shared" si="6"/>
        <v>67610.63532</v>
      </c>
      <c r="T34" s="23">
        <f t="shared" si="7"/>
        <v>1654102.7208228686</v>
      </c>
      <c r="U34" s="23">
        <f t="shared" si="8"/>
        <v>55402.952562386796</v>
      </c>
      <c r="V34" s="23">
        <f t="shared" si="9"/>
        <v>2464226.9770139866</v>
      </c>
      <c r="W34" s="23">
        <f t="shared" si="10"/>
        <v>3007203.4753199997</v>
      </c>
      <c r="X34" s="23">
        <f t="shared" si="11"/>
        <v>55402.952562386796</v>
      </c>
      <c r="Y34" s="23">
        <f t="shared" si="12"/>
        <v>2464226.9770139866</v>
      </c>
      <c r="Z34" s="23">
        <f t="shared" si="13"/>
        <v>542976.4983060132</v>
      </c>
      <c r="AA34" s="23" t="str">
        <f t="shared" si="42"/>
        <v>ingen</v>
      </c>
      <c r="AB34" s="23"/>
      <c r="AC34" s="35" t="s">
        <v>42</v>
      </c>
      <c r="AD34" s="6">
        <v>196</v>
      </c>
      <c r="AE34" s="6">
        <v>407505</v>
      </c>
      <c r="AF34" s="6">
        <v>401287</v>
      </c>
      <c r="AG34" s="6">
        <v>4</v>
      </c>
      <c r="AH34" s="6">
        <v>1</v>
      </c>
      <c r="AI34" s="6">
        <v>1</v>
      </c>
      <c r="AJ34" s="6">
        <v>0</v>
      </c>
      <c r="AK34" s="6">
        <v>0</v>
      </c>
      <c r="AL34" s="6">
        <v>48</v>
      </c>
      <c r="AM34" s="6">
        <v>55</v>
      </c>
      <c r="AN34" s="6">
        <v>0</v>
      </c>
      <c r="AO34" s="6">
        <v>0</v>
      </c>
      <c r="AP34" s="6">
        <v>669</v>
      </c>
      <c r="AQ34" s="6">
        <v>1521</v>
      </c>
      <c r="AR34" s="6">
        <v>0</v>
      </c>
      <c r="AS34" s="6">
        <v>0</v>
      </c>
      <c r="AT34" s="6">
        <v>2585</v>
      </c>
      <c r="AU34" s="6">
        <f t="shared" si="14"/>
        <v>5</v>
      </c>
      <c r="AV34" s="6">
        <f t="shared" si="15"/>
        <v>1</v>
      </c>
      <c r="AW34" s="6">
        <f t="shared" si="16"/>
        <v>0</v>
      </c>
      <c r="AX34" s="6"/>
      <c r="AY34" s="6">
        <f t="shared" si="17"/>
        <v>281107.8691143501</v>
      </c>
      <c r="AZ34" s="6">
        <f t="shared" si="18"/>
        <v>731401.0073539404</v>
      </c>
      <c r="BA34" s="6">
        <f t="shared" si="19"/>
        <v>391244</v>
      </c>
      <c r="BB34" s="6">
        <f t="shared" si="20"/>
        <v>622120</v>
      </c>
      <c r="BC34" s="6">
        <f t="shared" si="21"/>
        <v>372300</v>
      </c>
      <c r="BD34" s="6">
        <f t="shared" si="22"/>
        <v>375600.50000000006</v>
      </c>
      <c r="BE34" s="6">
        <v>30.20920638</v>
      </c>
      <c r="BF34" s="6">
        <f t="shared" si="43"/>
        <v>2773773.3764682906</v>
      </c>
      <c r="BG34" s="6">
        <f t="shared" si="23"/>
        <v>2853562.9504465614</v>
      </c>
      <c r="BH34" s="6"/>
      <c r="BK34" s="30" t="str">
        <f t="shared" si="24"/>
        <v>Fonden Djurs Vand</v>
      </c>
      <c r="BL34" s="23">
        <f t="shared" si="25"/>
        <v>10.134493015873955</v>
      </c>
      <c r="BM34" s="23">
        <f t="shared" si="26"/>
        <v>26.36844861079449</v>
      </c>
      <c r="BN34" s="23">
        <f t="shared" si="27"/>
        <v>14.105117718670721</v>
      </c>
      <c r="BO34" s="23">
        <f t="shared" si="28"/>
        <v>22.42865279758777</v>
      </c>
      <c r="BP34" s="23">
        <f t="shared" si="29"/>
        <v>13.422149161804677</v>
      </c>
      <c r="BQ34" s="23">
        <f t="shared" si="30"/>
        <v>13.541138695268383</v>
      </c>
      <c r="BR34" s="23"/>
      <c r="BS34" s="23">
        <f t="shared" si="44"/>
        <v>26.963287857073063</v>
      </c>
      <c r="BT34" s="23"/>
      <c r="BU34" s="23">
        <f t="shared" si="31"/>
        <v>1.00039628906522</v>
      </c>
      <c r="BV34" s="23">
        <f t="shared" si="32"/>
        <v>5.4275411679623815</v>
      </c>
      <c r="BW34" s="23">
        <f t="shared" si="33"/>
        <v>-9.76685230967932</v>
      </c>
      <c r="BX34" s="23">
        <f t="shared" si="34"/>
        <v>1.3766362293804377</v>
      </c>
      <c r="BY34" s="23">
        <f t="shared" si="35"/>
        <v>2.164297249023077</v>
      </c>
      <c r="BZ34" s="23">
        <f t="shared" si="36"/>
        <v>-0.20201862575181018</v>
      </c>
      <c r="CA34" s="23"/>
      <c r="CB34" s="23">
        <f t="shared" si="37"/>
        <v>1.96227862327126</v>
      </c>
      <c r="CC34" s="23">
        <f t="shared" si="38"/>
        <v>0</v>
      </c>
    </row>
    <row r="35" spans="1:81" ht="15" customHeight="1">
      <c r="A35" s="1" t="s">
        <v>43</v>
      </c>
      <c r="B35" s="10">
        <v>32426373</v>
      </c>
      <c r="C35" s="10">
        <f t="shared" si="39"/>
        <v>32588504.865</v>
      </c>
      <c r="D35" s="10">
        <v>31245596.233047</v>
      </c>
      <c r="E35" s="10">
        <v>14280149.849912485</v>
      </c>
      <c r="F35" s="23" t="str">
        <f t="shared" si="1"/>
        <v>ingen</v>
      </c>
      <c r="G35" s="2"/>
      <c r="H35" s="10">
        <f t="shared" si="2"/>
        <v>31245596.233047</v>
      </c>
      <c r="I35" s="10"/>
      <c r="J35" s="10">
        <f t="shared" si="40"/>
        <v>22777998.00320467</v>
      </c>
      <c r="K35" s="10">
        <f t="shared" si="41"/>
        <v>36300437.04388601</v>
      </c>
      <c r="L35" s="10"/>
      <c r="M35" s="10">
        <f t="shared" si="3"/>
        <v>32151676.87311877</v>
      </c>
      <c r="N35" s="10">
        <f t="shared" si="4"/>
        <v>45674115.91380011</v>
      </c>
      <c r="P35" s="23">
        <f>'Potentialer og krav'!U35</f>
        <v>1525018.4617195593</v>
      </c>
      <c r="Q35" s="10"/>
      <c r="R35" s="23">
        <f t="shared" si="5"/>
        <v>162131.865</v>
      </c>
      <c r="S35" s="23">
        <f t="shared" si="6"/>
        <v>749535.611895</v>
      </c>
      <c r="T35" s="23">
        <f t="shared" si="7"/>
        <v>16965446.383134514</v>
      </c>
      <c r="U35" s="23">
        <f t="shared" si="8"/>
        <v>718648.713360081</v>
      </c>
      <c r="V35" s="23">
        <f t="shared" si="9"/>
        <v>31964244.94640708</v>
      </c>
      <c r="W35" s="23">
        <f t="shared" si="10"/>
        <v>33338040.476894997</v>
      </c>
      <c r="X35" s="23">
        <f t="shared" si="11"/>
        <v>718648.713360081</v>
      </c>
      <c r="Y35" s="23">
        <f t="shared" si="12"/>
        <v>31964244.94640708</v>
      </c>
      <c r="Z35" s="23">
        <f t="shared" si="13"/>
        <v>1373795.5304879174</v>
      </c>
      <c r="AA35" s="23" t="str">
        <f t="shared" si="42"/>
        <v>ingen</v>
      </c>
      <c r="AB35" s="23"/>
      <c r="AC35" s="35" t="s">
        <v>43</v>
      </c>
      <c r="AD35" s="6">
        <v>301</v>
      </c>
      <c r="AE35" s="6">
        <v>2443326</v>
      </c>
      <c r="AF35" s="6">
        <v>2442326</v>
      </c>
      <c r="AG35" s="6"/>
      <c r="AH35" s="6"/>
      <c r="AI35" s="6">
        <v>1</v>
      </c>
      <c r="AJ35" s="6">
        <v>3</v>
      </c>
      <c r="AK35" s="6"/>
      <c r="AL35" s="6"/>
      <c r="AM35" s="6">
        <v>36</v>
      </c>
      <c r="AN35" s="6">
        <v>81</v>
      </c>
      <c r="AO35" s="6">
        <v>91</v>
      </c>
      <c r="AP35" s="6"/>
      <c r="AQ35" s="6">
        <v>922.95</v>
      </c>
      <c r="AR35" s="6">
        <v>2046.312</v>
      </c>
      <c r="AS35" s="6">
        <v>2304.738</v>
      </c>
      <c r="AT35" s="6">
        <v>5009</v>
      </c>
      <c r="AU35" s="6">
        <f t="shared" si="14"/>
        <v>0</v>
      </c>
      <c r="AV35" s="6">
        <f t="shared" si="15"/>
        <v>4</v>
      </c>
      <c r="AW35" s="6">
        <f t="shared" si="16"/>
        <v>0</v>
      </c>
      <c r="AX35" s="6"/>
      <c r="AY35" s="6">
        <f t="shared" si="17"/>
        <v>1436364.3510555995</v>
      </c>
      <c r="AZ35" s="6">
        <f t="shared" si="18"/>
        <v>4682371.36814907</v>
      </c>
      <c r="BA35" s="6">
        <f t="shared" si="19"/>
        <v>500896</v>
      </c>
      <c r="BB35" s="6">
        <f t="shared" si="20"/>
        <v>9226800</v>
      </c>
      <c r="BC35" s="6">
        <f t="shared" si="21"/>
        <v>4463470.584</v>
      </c>
      <c r="BD35" s="6">
        <f t="shared" si="22"/>
        <v>727807.7000000001</v>
      </c>
      <c r="BE35" s="6">
        <v>61.59235087</v>
      </c>
      <c r="BF35" s="6">
        <f t="shared" si="43"/>
        <v>22777998.00320467</v>
      </c>
      <c r="BG35" s="6">
        <f t="shared" si="23"/>
        <v>36300437.04388601</v>
      </c>
      <c r="BH35" s="6">
        <v>1740288</v>
      </c>
      <c r="BK35" s="30" t="str">
        <f t="shared" si="24"/>
        <v>Frederiksberg Vand A/S</v>
      </c>
      <c r="BL35" s="23">
        <f t="shared" si="25"/>
        <v>6.827569877314586</v>
      </c>
      <c r="BM35" s="23">
        <f t="shared" si="26"/>
        <v>22.257039228299114</v>
      </c>
      <c r="BN35" s="23">
        <f t="shared" si="27"/>
        <v>2.380943552904278</v>
      </c>
      <c r="BO35" s="23">
        <f t="shared" si="28"/>
        <v>43.858385720662966</v>
      </c>
      <c r="BP35" s="23">
        <f t="shared" si="29"/>
        <v>21.21652301186812</v>
      </c>
      <c r="BQ35" s="23">
        <f t="shared" si="30"/>
        <v>3.459538608950942</v>
      </c>
      <c r="BR35" s="23"/>
      <c r="BS35" s="23">
        <f t="shared" si="44"/>
        <v>24.676061620819063</v>
      </c>
      <c r="BT35" s="23"/>
      <c r="BU35" s="23">
        <f t="shared" si="31"/>
        <v>4.30731942762459</v>
      </c>
      <c r="BV35" s="23">
        <f t="shared" si="32"/>
        <v>9.53895055045776</v>
      </c>
      <c r="BW35" s="23">
        <f t="shared" si="33"/>
        <v>1.9573218560871224</v>
      </c>
      <c r="BX35" s="23">
        <f t="shared" si="34"/>
        <v>-20.05309669369476</v>
      </c>
      <c r="BY35" s="23">
        <f t="shared" si="35"/>
        <v>-5.630076601040365</v>
      </c>
      <c r="BZ35" s="23">
        <f t="shared" si="36"/>
        <v>9.879581460565632</v>
      </c>
      <c r="CA35" s="23"/>
      <c r="CB35" s="23">
        <f t="shared" si="37"/>
        <v>4.24950485952526</v>
      </c>
      <c r="CC35" s="23">
        <f t="shared" si="38"/>
        <v>0</v>
      </c>
    </row>
    <row r="36" spans="1:81" ht="15" customHeight="1">
      <c r="A36" s="1" t="s">
        <v>44</v>
      </c>
      <c r="B36" s="10">
        <v>1986620</v>
      </c>
      <c r="C36" s="10">
        <f t="shared" si="39"/>
        <v>1996553.0999999999</v>
      </c>
      <c r="D36" s="10">
        <v>1161721.5326878</v>
      </c>
      <c r="E36" s="10">
        <v>167150.37086579239</v>
      </c>
      <c r="F36" s="23" t="str">
        <f t="shared" si="1"/>
        <v>ingen</v>
      </c>
      <c r="G36" s="3"/>
      <c r="H36" s="10">
        <f t="shared" si="2"/>
        <v>1161721.5326878</v>
      </c>
      <c r="I36" s="10"/>
      <c r="J36" s="10">
        <f t="shared" si="40"/>
        <v>1595796.209400907</v>
      </c>
      <c r="K36" s="10">
        <f t="shared" si="41"/>
        <v>1814674.2188627056</v>
      </c>
      <c r="L36" s="10"/>
      <c r="M36" s="10">
        <f t="shared" si="3"/>
        <v>1944312.669207247</v>
      </c>
      <c r="N36" s="10">
        <f t="shared" si="4"/>
        <v>2163190.6786690457</v>
      </c>
      <c r="P36" s="23">
        <f>'Potentialer og krav'!U36</f>
        <v>0</v>
      </c>
      <c r="Q36" s="10"/>
      <c r="R36" s="23">
        <f t="shared" si="5"/>
        <v>9933.1</v>
      </c>
      <c r="S36" s="23">
        <f t="shared" si="6"/>
        <v>45920.7213</v>
      </c>
      <c r="T36" s="23">
        <f t="shared" si="7"/>
        <v>994571.1618220076</v>
      </c>
      <c r="U36" s="23">
        <f t="shared" si="8"/>
        <v>26719.5952518194</v>
      </c>
      <c r="V36" s="23">
        <f t="shared" si="9"/>
        <v>1188441.1279396194</v>
      </c>
      <c r="W36" s="23">
        <f t="shared" si="10"/>
        <v>2042473.8212999997</v>
      </c>
      <c r="X36" s="23">
        <f t="shared" si="11"/>
        <v>26719.5952518194</v>
      </c>
      <c r="Y36" s="23">
        <f t="shared" si="12"/>
        <v>1188441.1279396194</v>
      </c>
      <c r="Z36" s="23">
        <f t="shared" si="13"/>
        <v>854032.6933603804</v>
      </c>
      <c r="AA36" s="23" t="str">
        <f t="shared" si="42"/>
        <v>ingen</v>
      </c>
      <c r="AB36" s="23"/>
      <c r="AC36" s="35" t="s">
        <v>44</v>
      </c>
      <c r="AD36" s="6">
        <v>44</v>
      </c>
      <c r="AE36" s="6">
        <v>237576</v>
      </c>
      <c r="AF36" s="6">
        <v>227445</v>
      </c>
      <c r="AG36" s="6">
        <v>2</v>
      </c>
      <c r="AH36" s="6">
        <v>0</v>
      </c>
      <c r="AI36" s="6">
        <v>0</v>
      </c>
      <c r="AJ36" s="6">
        <v>0</v>
      </c>
      <c r="AK36" s="6">
        <v>0</v>
      </c>
      <c r="AL36" s="6">
        <v>37.509</v>
      </c>
      <c r="AM36" s="6">
        <v>30.646</v>
      </c>
      <c r="AN36" s="6">
        <v>0</v>
      </c>
      <c r="AO36" s="6">
        <v>0</v>
      </c>
      <c r="AP36" s="6">
        <v>294</v>
      </c>
      <c r="AQ36" s="6">
        <v>1413</v>
      </c>
      <c r="AR36" s="6">
        <v>0</v>
      </c>
      <c r="AS36" s="6">
        <v>0</v>
      </c>
      <c r="AT36" s="6">
        <v>1705</v>
      </c>
      <c r="AU36" s="6">
        <f t="shared" si="14"/>
        <v>2</v>
      </c>
      <c r="AV36" s="6">
        <f t="shared" si="15"/>
        <v>0</v>
      </c>
      <c r="AW36" s="6">
        <f t="shared" si="16"/>
        <v>0</v>
      </c>
      <c r="AX36" s="6"/>
      <c r="AY36" s="6">
        <f t="shared" si="17"/>
        <v>131793.77457089996</v>
      </c>
      <c r="AZ36" s="6">
        <f t="shared" si="18"/>
        <v>408011.7348300069</v>
      </c>
      <c r="BA36" s="6">
        <f t="shared" si="19"/>
        <v>106408</v>
      </c>
      <c r="BB36" s="6">
        <f t="shared" si="20"/>
        <v>411656.2</v>
      </c>
      <c r="BC36" s="6">
        <f t="shared" si="21"/>
        <v>290190</v>
      </c>
      <c r="BD36" s="6">
        <f t="shared" si="22"/>
        <v>247736.50000000003</v>
      </c>
      <c r="BE36" s="6">
        <v>36.23106242</v>
      </c>
      <c r="BF36" s="6">
        <f t="shared" si="43"/>
        <v>1595796.209400907</v>
      </c>
      <c r="BG36" s="6">
        <f t="shared" si="23"/>
        <v>1814674.2188627056</v>
      </c>
      <c r="BH36" s="6"/>
      <c r="BK36" s="30" t="str">
        <f t="shared" si="24"/>
        <v>Frederiksberg Vandværk</v>
      </c>
      <c r="BL36" s="23">
        <f t="shared" si="25"/>
        <v>8.258809852692776</v>
      </c>
      <c r="BM36" s="23">
        <f t="shared" si="26"/>
        <v>25.56790976356451</v>
      </c>
      <c r="BN36" s="23">
        <f t="shared" si="27"/>
        <v>6.668019348156469</v>
      </c>
      <c r="BO36" s="23">
        <f t="shared" si="28"/>
        <v>25.796288872909646</v>
      </c>
      <c r="BP36" s="23">
        <f t="shared" si="29"/>
        <v>18.18465279529289</v>
      </c>
      <c r="BQ36" s="23">
        <f t="shared" si="30"/>
        <v>15.524319367383704</v>
      </c>
      <c r="BR36" s="23"/>
      <c r="BS36" s="23">
        <f t="shared" si="44"/>
        <v>33.708972162676595</v>
      </c>
      <c r="BT36" s="23"/>
      <c r="BU36" s="23">
        <f t="shared" si="31"/>
        <v>2.8760794522463993</v>
      </c>
      <c r="BV36" s="23">
        <f t="shared" si="32"/>
        <v>6.228080015192361</v>
      </c>
      <c r="BW36" s="23">
        <f t="shared" si="33"/>
        <v>-2.3297539391650686</v>
      </c>
      <c r="BX36" s="23">
        <f t="shared" si="34"/>
        <v>-1.9909998459414382</v>
      </c>
      <c r="BY36" s="23">
        <f t="shared" si="35"/>
        <v>-2.5982063844651364</v>
      </c>
      <c r="BZ36" s="23">
        <f t="shared" si="36"/>
        <v>-2.185199297867131</v>
      </c>
      <c r="CA36" s="23"/>
      <c r="CB36" s="23">
        <f t="shared" si="37"/>
        <v>-4.783405682332273</v>
      </c>
      <c r="CC36" s="23">
        <f t="shared" si="38"/>
        <v>0</v>
      </c>
    </row>
    <row r="37" spans="1:81" ht="15" customHeight="1">
      <c r="A37" s="1" t="s">
        <v>45</v>
      </c>
      <c r="B37" s="10">
        <v>10580169</v>
      </c>
      <c r="C37" s="10">
        <f t="shared" si="39"/>
        <v>10633069.844999999</v>
      </c>
      <c r="D37" s="10">
        <v>10545395.9517144</v>
      </c>
      <c r="E37" s="10">
        <v>4016117.352540025</v>
      </c>
      <c r="F37" s="23" t="str">
        <f t="shared" si="1"/>
        <v>ingen</v>
      </c>
      <c r="G37" s="3"/>
      <c r="H37" s="10">
        <f t="shared" si="2"/>
        <v>10545395.9517144</v>
      </c>
      <c r="I37" s="10"/>
      <c r="J37" s="10">
        <f t="shared" si="40"/>
        <v>10593855.671174485</v>
      </c>
      <c r="K37" s="10">
        <f t="shared" si="41"/>
        <v>11780170.435840921</v>
      </c>
      <c r="L37" s="10"/>
      <c r="M37" s="10">
        <f t="shared" si="3"/>
        <v>13757474.456688805</v>
      </c>
      <c r="N37" s="10">
        <f t="shared" si="4"/>
        <v>14943789.22135524</v>
      </c>
      <c r="P37" s="23">
        <f>'Potentialer og krav'!U37</f>
        <v>527269.7975857201</v>
      </c>
      <c r="Q37" s="10"/>
      <c r="R37" s="23">
        <f t="shared" si="5"/>
        <v>52900.845</v>
      </c>
      <c r="S37" s="23">
        <f t="shared" si="6"/>
        <v>244560.60643499997</v>
      </c>
      <c r="T37" s="23">
        <f t="shared" si="7"/>
        <v>6529278.599174375</v>
      </c>
      <c r="U37" s="23">
        <f t="shared" si="8"/>
        <v>242544.1068894312</v>
      </c>
      <c r="V37" s="23">
        <f t="shared" si="9"/>
        <v>10787940.05860383</v>
      </c>
      <c r="W37" s="23">
        <f t="shared" si="10"/>
        <v>10877630.451434998</v>
      </c>
      <c r="X37" s="23">
        <f t="shared" si="11"/>
        <v>242544.1068894312</v>
      </c>
      <c r="Y37" s="23">
        <f t="shared" si="12"/>
        <v>10787940.05860383</v>
      </c>
      <c r="Z37" s="23">
        <f t="shared" si="13"/>
        <v>89690.3928311672</v>
      </c>
      <c r="AA37" s="23" t="str">
        <f t="shared" si="42"/>
        <v>ingen</v>
      </c>
      <c r="AB37" s="23"/>
      <c r="AC37" s="35" t="s">
        <v>45</v>
      </c>
      <c r="AD37" s="6">
        <v>986</v>
      </c>
      <c r="AE37" s="6">
        <v>1570000</v>
      </c>
      <c r="AF37" s="6">
        <v>1543000</v>
      </c>
      <c r="AG37" s="6">
        <v>3</v>
      </c>
      <c r="AH37" s="6">
        <v>1</v>
      </c>
      <c r="AI37" s="6">
        <v>2</v>
      </c>
      <c r="AJ37" s="6"/>
      <c r="AK37" s="6"/>
      <c r="AL37" s="6">
        <v>177</v>
      </c>
      <c r="AM37" s="6">
        <v>131</v>
      </c>
      <c r="AN37" s="6">
        <v>8</v>
      </c>
      <c r="AO37" s="6"/>
      <c r="AP37" s="6">
        <v>5208</v>
      </c>
      <c r="AQ37" s="6">
        <v>4889</v>
      </c>
      <c r="AR37" s="6">
        <v>721</v>
      </c>
      <c r="AS37" s="6"/>
      <c r="AT37" s="6">
        <v>10990</v>
      </c>
      <c r="AU37" s="6">
        <f t="shared" si="14"/>
        <v>4</v>
      </c>
      <c r="AV37" s="6">
        <f t="shared" si="15"/>
        <v>2</v>
      </c>
      <c r="AW37" s="6">
        <f t="shared" si="16"/>
        <v>0</v>
      </c>
      <c r="AX37" s="6"/>
      <c r="AY37" s="6">
        <f t="shared" si="17"/>
        <v>1235354.2268434337</v>
      </c>
      <c r="AZ37" s="6">
        <f t="shared" si="18"/>
        <v>2920410.444331052</v>
      </c>
      <c r="BA37" s="6">
        <f t="shared" si="19"/>
        <v>463264</v>
      </c>
      <c r="BB37" s="6">
        <f t="shared" si="20"/>
        <v>2279360</v>
      </c>
      <c r="BC37" s="6">
        <f t="shared" si="21"/>
        <v>2098620</v>
      </c>
      <c r="BD37" s="6">
        <f t="shared" si="22"/>
        <v>1596847.0000000002</v>
      </c>
      <c r="BE37" s="6">
        <v>34.83229987</v>
      </c>
      <c r="BF37" s="6">
        <f t="shared" si="43"/>
        <v>10593855.671174485</v>
      </c>
      <c r="BG37" s="6">
        <f t="shared" si="23"/>
        <v>11780170.435840921</v>
      </c>
      <c r="BH37" s="6"/>
      <c r="BK37" s="30" t="str">
        <f t="shared" si="24"/>
        <v>Frederikssund Vand A/S</v>
      </c>
      <c r="BL37" s="23">
        <f t="shared" si="25"/>
        <v>11.661044526071747</v>
      </c>
      <c r="BM37" s="23">
        <f t="shared" si="26"/>
        <v>27.567021252492495</v>
      </c>
      <c r="BN37" s="23">
        <f t="shared" si="27"/>
        <v>4.372949890760975</v>
      </c>
      <c r="BO37" s="23">
        <f t="shared" si="28"/>
        <v>21.515867978096583</v>
      </c>
      <c r="BP37" s="23">
        <f t="shared" si="29"/>
        <v>19.80978470105339</v>
      </c>
      <c r="BQ37" s="23">
        <f t="shared" si="30"/>
        <v>15.073331651524816</v>
      </c>
      <c r="BR37" s="23"/>
      <c r="BS37" s="23">
        <f t="shared" si="44"/>
        <v>34.883116352578206</v>
      </c>
      <c r="BT37" s="23"/>
      <c r="BU37" s="23">
        <f aca="true" t="shared" si="45" ref="BU37:BU68">$BL$128-BL37</f>
        <v>-0.5261552211325711</v>
      </c>
      <c r="BV37" s="23">
        <f aca="true" t="shared" si="46" ref="BV37:BV68">$BM$128-BM37</f>
        <v>4.228968526264378</v>
      </c>
      <c r="BW37" s="23">
        <f aca="true" t="shared" si="47" ref="BW37:BW68">$BN$128-BN37</f>
        <v>-0.03468448176957484</v>
      </c>
      <c r="BX37" s="23">
        <f aca="true" t="shared" si="48" ref="BX37:BX68">$BO$128-BO37</f>
        <v>2.289421048871624</v>
      </c>
      <c r="BY37" s="23">
        <f aca="true" t="shared" si="49" ref="BY37:BY68">$BP$128-BP37</f>
        <v>-4.223338290225634</v>
      </c>
      <c r="BZ37" s="23">
        <f aca="true" t="shared" si="50" ref="BZ37:BZ68">$BQ$128-BQ37</f>
        <v>-1.7342115820082427</v>
      </c>
      <c r="CA37" s="23"/>
      <c r="CB37" s="23">
        <f aca="true" t="shared" si="51" ref="CB37:CB68">$BS$128-BS37</f>
        <v>-5.9575498722338835</v>
      </c>
      <c r="CC37" s="23">
        <f aca="true" t="shared" si="52" ref="CC37:CC68">IF(CB37&lt;$BS$132,(CB37-$BS$132)*0.66*0.7,0)</f>
        <v>0</v>
      </c>
    </row>
    <row r="38" spans="1:81" ht="15" customHeight="1">
      <c r="A38" s="1" t="s">
        <v>46</v>
      </c>
      <c r="B38" s="10">
        <v>1682932</v>
      </c>
      <c r="C38" s="10">
        <f t="shared" si="39"/>
        <v>1691346.66</v>
      </c>
      <c r="D38" s="10">
        <v>1559098</v>
      </c>
      <c r="E38" s="10">
        <v>0</v>
      </c>
      <c r="F38" s="23" t="str">
        <f t="shared" si="1"/>
        <v>ingen</v>
      </c>
      <c r="G38" s="3"/>
      <c r="H38" s="10">
        <f t="shared" si="2"/>
        <v>1559098</v>
      </c>
      <c r="I38" s="10"/>
      <c r="J38" s="10">
        <f t="shared" si="40"/>
        <v>2758959.1545669883</v>
      </c>
      <c r="K38" s="10">
        <f t="shared" si="41"/>
        <v>2508173.8465379593</v>
      </c>
      <c r="L38" s="10"/>
      <c r="M38" s="10">
        <f t="shared" si="3"/>
        <v>3226688.5545669883</v>
      </c>
      <c r="N38" s="10">
        <f t="shared" si="4"/>
        <v>2975903.246537959</v>
      </c>
      <c r="P38" s="23">
        <f>'Potentialer og krav'!U38</f>
        <v>0</v>
      </c>
      <c r="Q38" s="10"/>
      <c r="R38" s="23">
        <f t="shared" si="5"/>
        <v>8414.66</v>
      </c>
      <c r="S38" s="23">
        <f t="shared" si="6"/>
        <v>38900.97318</v>
      </c>
      <c r="T38" s="23">
        <f t="shared" si="7"/>
        <v>1559098</v>
      </c>
      <c r="U38" s="23">
        <f t="shared" si="8"/>
        <v>35859.254</v>
      </c>
      <c r="V38" s="23">
        <f t="shared" si="9"/>
        <v>1594957.254</v>
      </c>
      <c r="W38" s="23">
        <f t="shared" si="10"/>
        <v>1730247.6331799997</v>
      </c>
      <c r="X38" s="23">
        <f t="shared" si="11"/>
        <v>35859.254</v>
      </c>
      <c r="Y38" s="23">
        <f t="shared" si="12"/>
        <v>1594957.254</v>
      </c>
      <c r="Z38" s="23">
        <f t="shared" si="13"/>
        <v>135290.3791799997</v>
      </c>
      <c r="AA38" s="23" t="str">
        <f t="shared" si="42"/>
        <v>ingen</v>
      </c>
      <c r="AB38" s="23"/>
      <c r="AC38" s="35" t="s">
        <v>46</v>
      </c>
      <c r="AD38" s="6">
        <v>25</v>
      </c>
      <c r="AE38" s="6">
        <v>291365</v>
      </c>
      <c r="AF38" s="6">
        <v>275582</v>
      </c>
      <c r="AG38" s="6">
        <v>2</v>
      </c>
      <c r="AH38" s="6">
        <v>1</v>
      </c>
      <c r="AI38" s="6"/>
      <c r="AJ38" s="6"/>
      <c r="AK38" s="6"/>
      <c r="AL38" s="6">
        <v>32.365</v>
      </c>
      <c r="AM38" s="6">
        <v>53.536</v>
      </c>
      <c r="AN38" s="6"/>
      <c r="AO38" s="6"/>
      <c r="AP38" s="6">
        <v>1300</v>
      </c>
      <c r="AQ38" s="6">
        <v>5400</v>
      </c>
      <c r="AR38" s="6"/>
      <c r="AS38" s="6"/>
      <c r="AT38" s="6">
        <v>2090</v>
      </c>
      <c r="AU38" s="6">
        <f t="shared" si="14"/>
        <v>3</v>
      </c>
      <c r="AV38" s="6">
        <f t="shared" si="15"/>
        <v>0</v>
      </c>
      <c r="AW38" s="6">
        <f t="shared" si="16"/>
        <v>0</v>
      </c>
      <c r="AX38" s="6"/>
      <c r="AY38" s="6">
        <f t="shared" si="17"/>
        <v>140799.27110819213</v>
      </c>
      <c r="AZ38" s="6">
        <f t="shared" si="18"/>
        <v>497028.843458796</v>
      </c>
      <c r="BA38" s="6">
        <f t="shared" si="19"/>
        <v>159612</v>
      </c>
      <c r="BB38" s="6">
        <f t="shared" si="20"/>
        <v>518842.0400000001</v>
      </c>
      <c r="BC38" s="6">
        <f t="shared" si="21"/>
        <v>1139000</v>
      </c>
      <c r="BD38" s="6">
        <f t="shared" si="22"/>
        <v>303677</v>
      </c>
      <c r="BE38" s="6">
        <v>23.56119325</v>
      </c>
      <c r="BF38" s="6">
        <f t="shared" si="43"/>
        <v>2758959.1545669883</v>
      </c>
      <c r="BG38" s="6">
        <f t="shared" si="23"/>
        <v>2508173.8465379593</v>
      </c>
      <c r="BH38" s="6"/>
      <c r="BK38" s="30" t="str">
        <f t="shared" si="24"/>
        <v>Galten Vandværk</v>
      </c>
      <c r="BL38" s="23">
        <f t="shared" si="25"/>
        <v>5.103347429958245</v>
      </c>
      <c r="BM38" s="23">
        <f t="shared" si="26"/>
        <v>18.015085240970283</v>
      </c>
      <c r="BN38" s="23">
        <f t="shared" si="27"/>
        <v>5.785225190296472</v>
      </c>
      <c r="BO38" s="23">
        <f t="shared" si="28"/>
        <v>18.805716610234885</v>
      </c>
      <c r="BP38" s="23">
        <f t="shared" si="29"/>
        <v>41.2836847589635</v>
      </c>
      <c r="BQ38" s="23">
        <f t="shared" si="30"/>
        <v>11.00694076957661</v>
      </c>
      <c r="BR38" s="23"/>
      <c r="BS38" s="23">
        <f t="shared" si="44"/>
        <v>52.29062552854011</v>
      </c>
      <c r="BT38" s="23"/>
      <c r="BU38" s="23">
        <f t="shared" si="45"/>
        <v>6.03154187498093</v>
      </c>
      <c r="BV38" s="23">
        <f t="shared" si="46"/>
        <v>13.78090453778659</v>
      </c>
      <c r="BW38" s="23">
        <f t="shared" si="47"/>
        <v>-1.4469597813050719</v>
      </c>
      <c r="BX38" s="23">
        <f t="shared" si="48"/>
        <v>4.999572416733322</v>
      </c>
      <c r="BY38" s="23">
        <f t="shared" si="49"/>
        <v>-25.69723834813575</v>
      </c>
      <c r="BZ38" s="23">
        <f t="shared" si="50"/>
        <v>2.3321792999399626</v>
      </c>
      <c r="CA38" s="23"/>
      <c r="CB38" s="23">
        <f t="shared" si="51"/>
        <v>-23.36505904819579</v>
      </c>
      <c r="CC38" s="23">
        <f t="shared" si="52"/>
        <v>-6.2287502790145615</v>
      </c>
    </row>
    <row r="39" spans="1:81" ht="15" customHeight="1">
      <c r="A39" s="1" t="s">
        <v>47</v>
      </c>
      <c r="B39" s="10">
        <v>4581865</v>
      </c>
      <c r="C39" s="10">
        <f t="shared" si="39"/>
        <v>4604774.324999999</v>
      </c>
      <c r="D39" s="10">
        <v>4306816.8292436</v>
      </c>
      <c r="E39" s="10">
        <v>1806220.5888738441</v>
      </c>
      <c r="F39" s="23" t="str">
        <f t="shared" si="1"/>
        <v>ingen</v>
      </c>
      <c r="G39" s="3"/>
      <c r="H39" s="10">
        <f t="shared" si="2"/>
        <v>4306816.8292436</v>
      </c>
      <c r="I39" s="10"/>
      <c r="J39" s="10">
        <f t="shared" si="40"/>
        <v>4219875.623129803</v>
      </c>
      <c r="K39" s="10">
        <f t="shared" si="41"/>
        <v>4067669.537869596</v>
      </c>
      <c r="L39" s="10"/>
      <c r="M39" s="10">
        <f t="shared" si="3"/>
        <v>5511920.671902883</v>
      </c>
      <c r="N39" s="10">
        <f t="shared" si="4"/>
        <v>5359714.586642676</v>
      </c>
      <c r="P39" s="23">
        <f>'Potentialer og krav'!U39</f>
        <v>215340.84146218002</v>
      </c>
      <c r="Q39" s="10"/>
      <c r="R39" s="23">
        <f t="shared" si="5"/>
        <v>22909.325</v>
      </c>
      <c r="S39" s="23">
        <f t="shared" si="6"/>
        <v>105909.80947499999</v>
      </c>
      <c r="T39" s="23">
        <f t="shared" si="7"/>
        <v>2500596.2403697562</v>
      </c>
      <c r="U39" s="23">
        <f t="shared" si="8"/>
        <v>99056.7870726028</v>
      </c>
      <c r="V39" s="23">
        <f t="shared" si="9"/>
        <v>4405873.616316203</v>
      </c>
      <c r="W39" s="23">
        <f t="shared" si="10"/>
        <v>4710684.134474999</v>
      </c>
      <c r="X39" s="23">
        <f t="shared" si="11"/>
        <v>99056.7870726028</v>
      </c>
      <c r="Y39" s="23">
        <f t="shared" si="12"/>
        <v>4405873.616316203</v>
      </c>
      <c r="Z39" s="23">
        <f t="shared" si="13"/>
        <v>304810.51815879624</v>
      </c>
      <c r="AA39" s="23" t="str">
        <f t="shared" si="42"/>
        <v>ingen</v>
      </c>
      <c r="AB39" s="23"/>
      <c r="AC39" s="35" t="s">
        <v>47</v>
      </c>
      <c r="AD39" s="6">
        <v>132</v>
      </c>
      <c r="AE39" s="6">
        <v>560528</v>
      </c>
      <c r="AF39" s="6">
        <v>550545</v>
      </c>
      <c r="AG39" s="6">
        <v>2</v>
      </c>
      <c r="AH39" s="6"/>
      <c r="AI39" s="6">
        <v>1</v>
      </c>
      <c r="AJ39" s="6">
        <v>1</v>
      </c>
      <c r="AK39" s="6"/>
      <c r="AL39" s="6">
        <v>56</v>
      </c>
      <c r="AM39" s="6">
        <v>104</v>
      </c>
      <c r="AN39" s="6"/>
      <c r="AO39" s="6"/>
      <c r="AP39" s="6">
        <v>1538</v>
      </c>
      <c r="AQ39" s="6">
        <v>3567</v>
      </c>
      <c r="AR39" s="6"/>
      <c r="AS39" s="6"/>
      <c r="AT39" s="6">
        <v>4636</v>
      </c>
      <c r="AU39" s="6">
        <f t="shared" si="14"/>
        <v>2</v>
      </c>
      <c r="AV39" s="6">
        <f t="shared" si="15"/>
        <v>2</v>
      </c>
      <c r="AW39" s="6">
        <f t="shared" si="16"/>
        <v>0</v>
      </c>
      <c r="AX39" s="6"/>
      <c r="AY39" s="6">
        <f t="shared" si="17"/>
        <v>342790.04525723634</v>
      </c>
      <c r="AZ39" s="6">
        <f t="shared" si="18"/>
        <v>1012368.7778725663</v>
      </c>
      <c r="BA39" s="6">
        <f t="shared" si="19"/>
        <v>356856</v>
      </c>
      <c r="BB39" s="6">
        <f t="shared" si="20"/>
        <v>966400</v>
      </c>
      <c r="BC39" s="6">
        <f t="shared" si="21"/>
        <v>867850</v>
      </c>
      <c r="BD39" s="6">
        <f t="shared" si="22"/>
        <v>673610.8</v>
      </c>
      <c r="BE39" s="6">
        <v>26.60728579</v>
      </c>
      <c r="BF39" s="6">
        <f t="shared" si="43"/>
        <v>4219875.623129803</v>
      </c>
      <c r="BG39" s="6">
        <f t="shared" si="23"/>
        <v>4067669.537869596</v>
      </c>
      <c r="BH39" s="6"/>
      <c r="BK39" s="30" t="str">
        <f t="shared" si="24"/>
        <v>Gilleleje Vandværk a.m.b.a.</v>
      </c>
      <c r="BL39" s="23">
        <f t="shared" si="25"/>
        <v>8.123226271844368</v>
      </c>
      <c r="BM39" s="23">
        <f t="shared" si="26"/>
        <v>23.9904885424493</v>
      </c>
      <c r="BN39" s="23">
        <f t="shared" si="27"/>
        <v>8.456552559132694</v>
      </c>
      <c r="BO39" s="23">
        <f t="shared" si="28"/>
        <v>22.901148903607712</v>
      </c>
      <c r="BP39" s="23">
        <f t="shared" si="29"/>
        <v>20.56577201572429</v>
      </c>
      <c r="BQ39" s="23">
        <f t="shared" si="30"/>
        <v>15.962811707241634</v>
      </c>
      <c r="BR39" s="23"/>
      <c r="BS39" s="23">
        <f t="shared" si="44"/>
        <v>36.52858372296592</v>
      </c>
      <c r="BT39" s="23"/>
      <c r="BU39" s="23">
        <f t="shared" si="45"/>
        <v>3.0116630330948073</v>
      </c>
      <c r="BV39" s="23">
        <f t="shared" si="46"/>
        <v>7.805501236307574</v>
      </c>
      <c r="BW39" s="23">
        <f t="shared" si="47"/>
        <v>-4.118287150141294</v>
      </c>
      <c r="BX39" s="23">
        <f t="shared" si="48"/>
        <v>0.9041401233604951</v>
      </c>
      <c r="BY39" s="23">
        <f t="shared" si="49"/>
        <v>-4.979325604896534</v>
      </c>
      <c r="BZ39" s="23">
        <f t="shared" si="50"/>
        <v>-2.623691637725061</v>
      </c>
      <c r="CA39" s="23"/>
      <c r="CB39" s="23">
        <f t="shared" si="51"/>
        <v>-7.603017242621597</v>
      </c>
      <c r="CC39" s="23">
        <f t="shared" si="52"/>
        <v>0</v>
      </c>
    </row>
    <row r="40" spans="1:81" ht="15" customHeight="1">
      <c r="A40" s="1" t="s">
        <v>48</v>
      </c>
      <c r="B40" s="10">
        <v>2522645</v>
      </c>
      <c r="C40" s="10">
        <f t="shared" si="39"/>
        <v>2535258.2249999996</v>
      </c>
      <c r="D40" s="10">
        <v>2274870.241665</v>
      </c>
      <c r="E40" s="10">
        <v>1152224.035992901</v>
      </c>
      <c r="F40" s="23" t="str">
        <f t="shared" si="1"/>
        <v>ingen</v>
      </c>
      <c r="G40" s="3"/>
      <c r="H40" s="10">
        <f t="shared" si="2"/>
        <v>2274870.241665</v>
      </c>
      <c r="I40" s="10"/>
      <c r="J40" s="10">
        <f t="shared" si="40"/>
        <v>1894518.6065794202</v>
      </c>
      <c r="K40" s="10">
        <f t="shared" si="41"/>
        <v>1758335.7065915724</v>
      </c>
      <c r="L40" s="10"/>
      <c r="M40" s="10">
        <f t="shared" si="3"/>
        <v>2576979.6790789203</v>
      </c>
      <c r="N40" s="10">
        <f t="shared" si="4"/>
        <v>2440796.7790910723</v>
      </c>
      <c r="P40" s="23">
        <f>'Potentialer og krav'!U40</f>
        <v>113743.51208325001</v>
      </c>
      <c r="Q40" s="10"/>
      <c r="R40" s="23">
        <f t="shared" si="5"/>
        <v>12613.225</v>
      </c>
      <c r="S40" s="23">
        <f t="shared" si="6"/>
        <v>58310.93917499999</v>
      </c>
      <c r="T40" s="23">
        <f t="shared" si="7"/>
        <v>1122646.205672099</v>
      </c>
      <c r="U40" s="23">
        <f t="shared" si="8"/>
        <v>52322.015558295</v>
      </c>
      <c r="V40" s="23">
        <f t="shared" si="9"/>
        <v>2327192.257223295</v>
      </c>
      <c r="W40" s="23">
        <f t="shared" si="10"/>
        <v>2593569.1641749996</v>
      </c>
      <c r="X40" s="23">
        <f t="shared" si="11"/>
        <v>52322.015558295</v>
      </c>
      <c r="Y40" s="23">
        <f t="shared" si="12"/>
        <v>2327192.257223295</v>
      </c>
      <c r="Z40" s="23">
        <f t="shared" si="13"/>
        <v>266376.9069517045</v>
      </c>
      <c r="AA40" s="23" t="str">
        <f t="shared" si="42"/>
        <v>ingen</v>
      </c>
      <c r="AB40" s="23"/>
      <c r="AC40" s="35" t="s">
        <v>48</v>
      </c>
      <c r="AD40" s="6">
        <v>120</v>
      </c>
      <c r="AE40" s="6">
        <v>296179</v>
      </c>
      <c r="AF40" s="6">
        <v>287347</v>
      </c>
      <c r="AG40" s="6">
        <v>3</v>
      </c>
      <c r="AH40" s="6">
        <v>0</v>
      </c>
      <c r="AI40" s="6">
        <v>0</v>
      </c>
      <c r="AJ40" s="6">
        <v>0</v>
      </c>
      <c r="AK40" s="6">
        <v>0</v>
      </c>
      <c r="AL40" s="6">
        <v>20</v>
      </c>
      <c r="AM40" s="6">
        <v>38</v>
      </c>
      <c r="AN40" s="6">
        <v>0</v>
      </c>
      <c r="AO40" s="6">
        <v>0</v>
      </c>
      <c r="AP40" s="6">
        <v>100</v>
      </c>
      <c r="AQ40" s="6">
        <v>2069</v>
      </c>
      <c r="AR40" s="6">
        <v>0</v>
      </c>
      <c r="AS40" s="6">
        <v>0</v>
      </c>
      <c r="AT40" s="6">
        <v>2086</v>
      </c>
      <c r="AU40" s="6">
        <f t="shared" si="14"/>
        <v>3</v>
      </c>
      <c r="AV40" s="6">
        <f t="shared" si="15"/>
        <v>0</v>
      </c>
      <c r="AW40" s="6">
        <f t="shared" si="16"/>
        <v>0</v>
      </c>
      <c r="AX40" s="6"/>
      <c r="AY40" s="6">
        <f t="shared" si="17"/>
        <v>193906.0828691573</v>
      </c>
      <c r="AZ40" s="6">
        <f t="shared" si="18"/>
        <v>518854.7237102628</v>
      </c>
      <c r="BA40" s="6">
        <f t="shared" si="19"/>
        <v>159612</v>
      </c>
      <c r="BB40" s="6">
        <f t="shared" si="20"/>
        <v>350320</v>
      </c>
      <c r="BC40" s="6">
        <f t="shared" si="21"/>
        <v>368730</v>
      </c>
      <c r="BD40" s="6">
        <f t="shared" si="22"/>
        <v>303095.80000000005</v>
      </c>
      <c r="BE40" s="6">
        <v>24.61763401370137</v>
      </c>
      <c r="BF40" s="6">
        <f t="shared" si="43"/>
        <v>1894518.6065794202</v>
      </c>
      <c r="BG40" s="6">
        <f t="shared" si="23"/>
        <v>1758335.7065915724</v>
      </c>
      <c r="BH40" s="6"/>
      <c r="BK40" s="30" t="str">
        <f t="shared" si="24"/>
        <v>Give Vandværk A.m.b.a</v>
      </c>
      <c r="BL40" s="23">
        <f t="shared" si="25"/>
        <v>10.235111030092096</v>
      </c>
      <c r="BM40" s="23">
        <f t="shared" si="26"/>
        <v>27.38715375548949</v>
      </c>
      <c r="BN40" s="23">
        <f t="shared" si="27"/>
        <v>8.424937049743823</v>
      </c>
      <c r="BO40" s="23">
        <f t="shared" si="28"/>
        <v>18.49124092966855</v>
      </c>
      <c r="BP40" s="23">
        <f t="shared" si="29"/>
        <v>19.4629917446811</v>
      </c>
      <c r="BQ40" s="23">
        <f t="shared" si="30"/>
        <v>15.998565490324939</v>
      </c>
      <c r="BR40" s="23"/>
      <c r="BS40" s="23">
        <f t="shared" si="44"/>
        <v>35.46155723500604</v>
      </c>
      <c r="BT40" s="23"/>
      <c r="BU40" s="23">
        <f t="shared" si="45"/>
        <v>0.8997782748470797</v>
      </c>
      <c r="BV40" s="23">
        <f t="shared" si="46"/>
        <v>4.4088360232673836</v>
      </c>
      <c r="BW40" s="23">
        <f t="shared" si="47"/>
        <v>-4.086671640752423</v>
      </c>
      <c r="BX40" s="23">
        <f t="shared" si="48"/>
        <v>5.314048097299658</v>
      </c>
      <c r="BY40" s="23">
        <f t="shared" si="49"/>
        <v>-3.876545333853347</v>
      </c>
      <c r="BZ40" s="23">
        <f t="shared" si="50"/>
        <v>-2.6594454208083658</v>
      </c>
      <c r="CA40" s="23"/>
      <c r="CB40" s="23">
        <f t="shared" si="51"/>
        <v>-6.535990754661718</v>
      </c>
      <c r="CC40" s="23">
        <f t="shared" si="52"/>
        <v>0</v>
      </c>
    </row>
    <row r="41" spans="1:81" ht="15" customHeight="1">
      <c r="A41" s="1" t="s">
        <v>49</v>
      </c>
      <c r="B41" s="10">
        <v>1517423</v>
      </c>
      <c r="C41" s="10">
        <f t="shared" si="39"/>
        <v>1525010.1149999998</v>
      </c>
      <c r="D41" s="10">
        <v>1229936</v>
      </c>
      <c r="E41" s="10">
        <v>227695.7551442179</v>
      </c>
      <c r="F41" s="23" t="str">
        <f t="shared" si="1"/>
        <v>ingen</v>
      </c>
      <c r="G41" s="3"/>
      <c r="H41" s="10">
        <f t="shared" si="2"/>
        <v>1229936</v>
      </c>
      <c r="I41" s="10"/>
      <c r="J41" s="10">
        <f t="shared" si="40"/>
        <v>1679360.0156150223</v>
      </c>
      <c r="K41" s="10">
        <f t="shared" si="41"/>
        <v>1735612.9714639739</v>
      </c>
      <c r="L41" s="10"/>
      <c r="M41" s="10">
        <f t="shared" si="3"/>
        <v>2048340.8156150223</v>
      </c>
      <c r="N41" s="10">
        <f t="shared" si="4"/>
        <v>2104593.771463974</v>
      </c>
      <c r="P41" s="23">
        <f>'Potentialer og krav'!U41</f>
        <v>0</v>
      </c>
      <c r="Q41" s="10"/>
      <c r="R41" s="23">
        <f t="shared" si="5"/>
        <v>7587.115</v>
      </c>
      <c r="S41" s="23">
        <f t="shared" si="6"/>
        <v>35075.232645</v>
      </c>
      <c r="T41" s="23">
        <f t="shared" si="7"/>
        <v>1002240.2448557821</v>
      </c>
      <c r="U41" s="23">
        <f t="shared" si="8"/>
        <v>28288.528</v>
      </c>
      <c r="V41" s="23">
        <f t="shared" si="9"/>
        <v>1258224.528</v>
      </c>
      <c r="W41" s="23">
        <f t="shared" si="10"/>
        <v>1560085.3476449996</v>
      </c>
      <c r="X41" s="23">
        <f t="shared" si="11"/>
        <v>28288.528</v>
      </c>
      <c r="Y41" s="23">
        <f t="shared" si="12"/>
        <v>1258224.528</v>
      </c>
      <c r="Z41" s="23">
        <f t="shared" si="13"/>
        <v>301860.8196449997</v>
      </c>
      <c r="AA41" s="23" t="str">
        <f t="shared" si="42"/>
        <v>ingen</v>
      </c>
      <c r="AB41" s="23"/>
      <c r="AC41" s="35" t="s">
        <v>49</v>
      </c>
      <c r="AD41" s="6">
        <v>199</v>
      </c>
      <c r="AE41" s="6">
        <v>291028</v>
      </c>
      <c r="AF41" s="6">
        <v>269439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11</v>
      </c>
      <c r="AM41" s="6">
        <v>43</v>
      </c>
      <c r="AN41" s="6">
        <v>0</v>
      </c>
      <c r="AO41" s="6">
        <v>0</v>
      </c>
      <c r="AP41" s="6">
        <v>62</v>
      </c>
      <c r="AQ41" s="6">
        <v>2021</v>
      </c>
      <c r="AR41" s="6">
        <v>0</v>
      </c>
      <c r="AS41" s="6">
        <v>0</v>
      </c>
      <c r="AT41" s="6">
        <v>2083</v>
      </c>
      <c r="AU41" s="6">
        <f t="shared" si="14"/>
        <v>0</v>
      </c>
      <c r="AV41" s="6">
        <f t="shared" si="15"/>
        <v>0</v>
      </c>
      <c r="AW41" s="6">
        <f t="shared" si="16"/>
        <v>0</v>
      </c>
      <c r="AX41" s="6"/>
      <c r="AY41" s="6">
        <f t="shared" si="17"/>
        <v>210787.1843793152</v>
      </c>
      <c r="AZ41" s="6">
        <f t="shared" si="18"/>
        <v>485642.931235707</v>
      </c>
      <c r="BA41" s="6">
        <f t="shared" si="19"/>
        <v>0</v>
      </c>
      <c r="BB41" s="6">
        <f t="shared" si="20"/>
        <v>326160</v>
      </c>
      <c r="BC41" s="6">
        <f t="shared" si="21"/>
        <v>354110</v>
      </c>
      <c r="BD41" s="6">
        <f t="shared" si="22"/>
        <v>302659.9</v>
      </c>
      <c r="BE41" s="6">
        <v>30.47203681183773</v>
      </c>
      <c r="BF41" s="6">
        <f t="shared" si="43"/>
        <v>1679360.0156150223</v>
      </c>
      <c r="BG41" s="6">
        <f t="shared" si="23"/>
        <v>1735612.9714639739</v>
      </c>
      <c r="BH41" s="6"/>
      <c r="BK41" s="30" t="str">
        <f t="shared" si="24"/>
        <v>Gl. Hørning Vandværk</v>
      </c>
      <c r="BL41" s="23">
        <f t="shared" si="25"/>
        <v>12.551637672647567</v>
      </c>
      <c r="BM41" s="23">
        <f t="shared" si="26"/>
        <v>28.918333574701244</v>
      </c>
      <c r="BN41" s="23">
        <f t="shared" si="27"/>
        <v>0</v>
      </c>
      <c r="BO41" s="23">
        <f t="shared" si="28"/>
        <v>19.42168427063284</v>
      </c>
      <c r="BP41" s="23">
        <f t="shared" si="29"/>
        <v>21.08600875973079</v>
      </c>
      <c r="BQ41" s="23">
        <f t="shared" si="30"/>
        <v>18.022335722287554</v>
      </c>
      <c r="BR41" s="23"/>
      <c r="BS41" s="23">
        <f t="shared" si="44"/>
        <v>39.108344482018346</v>
      </c>
      <c r="BT41" s="23"/>
      <c r="BU41" s="23">
        <f t="shared" si="45"/>
        <v>-1.4167483677083919</v>
      </c>
      <c r="BV41" s="23">
        <f t="shared" si="46"/>
        <v>2.8776562040556293</v>
      </c>
      <c r="BW41" s="23">
        <f t="shared" si="47"/>
        <v>4.338265408991401</v>
      </c>
      <c r="BX41" s="23">
        <f t="shared" si="48"/>
        <v>4.383604756335366</v>
      </c>
      <c r="BY41" s="23">
        <f t="shared" si="49"/>
        <v>-5.499562348903037</v>
      </c>
      <c r="BZ41" s="23">
        <f t="shared" si="50"/>
        <v>-4.683215652770981</v>
      </c>
      <c r="CA41" s="23"/>
      <c r="CB41" s="23">
        <f t="shared" si="51"/>
        <v>-10.182778001674023</v>
      </c>
      <c r="CC41" s="23">
        <f t="shared" si="52"/>
        <v>-0.13853643552150613</v>
      </c>
    </row>
    <row r="42" spans="1:81" ht="15" customHeight="1">
      <c r="A42" s="1" t="s">
        <v>50</v>
      </c>
      <c r="B42" s="10">
        <v>18425521</v>
      </c>
      <c r="C42" s="10">
        <f t="shared" si="39"/>
        <v>18517648.604999997</v>
      </c>
      <c r="D42" s="10">
        <v>18068163.5338036</v>
      </c>
      <c r="E42" s="10">
        <v>9971064.4986342</v>
      </c>
      <c r="F42" s="23" t="str">
        <f t="shared" si="1"/>
        <v>ingen</v>
      </c>
      <c r="G42" s="3"/>
      <c r="H42" s="10">
        <f t="shared" si="2"/>
        <v>18068163.5338036</v>
      </c>
      <c r="I42" s="10"/>
      <c r="J42" s="10">
        <f t="shared" si="40"/>
        <v>12091827.541235069</v>
      </c>
      <c r="K42" s="10">
        <f t="shared" si="41"/>
        <v>15791852.877629586</v>
      </c>
      <c r="L42" s="10"/>
      <c r="M42" s="10">
        <f t="shared" si="3"/>
        <v>17512276.60137615</v>
      </c>
      <c r="N42" s="10">
        <f t="shared" si="4"/>
        <v>21212301.937770665</v>
      </c>
      <c r="P42" s="23">
        <f>'Potentialer og krav'!U42</f>
        <v>903408.1766901801</v>
      </c>
      <c r="Q42" s="10"/>
      <c r="R42" s="23">
        <f t="shared" si="5"/>
        <v>92127.605</v>
      </c>
      <c r="S42" s="23">
        <f t="shared" si="6"/>
        <v>425905.91791499994</v>
      </c>
      <c r="T42" s="23">
        <f t="shared" si="7"/>
        <v>8097099.0351694</v>
      </c>
      <c r="U42" s="23">
        <f t="shared" si="8"/>
        <v>415567.7612774828</v>
      </c>
      <c r="V42" s="23">
        <f t="shared" si="9"/>
        <v>18483731.295081083</v>
      </c>
      <c r="W42" s="23">
        <f t="shared" si="10"/>
        <v>18943554.522914995</v>
      </c>
      <c r="X42" s="23">
        <f t="shared" si="11"/>
        <v>415567.7612774828</v>
      </c>
      <c r="Y42" s="23">
        <f t="shared" si="12"/>
        <v>18483731.295081083</v>
      </c>
      <c r="Z42" s="23">
        <f t="shared" si="13"/>
        <v>459823.2278339118</v>
      </c>
      <c r="AA42" s="23" t="str">
        <f t="shared" si="42"/>
        <v>ingen</v>
      </c>
      <c r="AB42" s="23"/>
      <c r="AC42" s="35" t="s">
        <v>50</v>
      </c>
      <c r="AD42" s="6">
        <v>227</v>
      </c>
      <c r="AE42" s="6">
        <v>1111439</v>
      </c>
      <c r="AF42" s="6">
        <v>1027650</v>
      </c>
      <c r="AG42" s="6">
        <v>0</v>
      </c>
      <c r="AH42" s="6">
        <v>0</v>
      </c>
      <c r="AI42" s="6">
        <v>0</v>
      </c>
      <c r="AJ42" s="6">
        <v>0</v>
      </c>
      <c r="AK42" s="6">
        <v>2</v>
      </c>
      <c r="AL42" s="6">
        <v>6</v>
      </c>
      <c r="AM42" s="6">
        <v>177</v>
      </c>
      <c r="AN42" s="6">
        <v>57</v>
      </c>
      <c r="AO42" s="6">
        <v>0</v>
      </c>
      <c r="AP42" s="6">
        <v>271</v>
      </c>
      <c r="AQ42" s="6">
        <v>8254</v>
      </c>
      <c r="AR42" s="6">
        <v>2653</v>
      </c>
      <c r="AS42" s="6">
        <v>0</v>
      </c>
      <c r="AT42" s="6">
        <v>11773</v>
      </c>
      <c r="AU42" s="6">
        <f t="shared" si="14"/>
        <v>0</v>
      </c>
      <c r="AV42" s="6">
        <f t="shared" si="15"/>
        <v>0</v>
      </c>
      <c r="AW42" s="6">
        <f t="shared" si="16"/>
        <v>2</v>
      </c>
      <c r="AX42" s="6"/>
      <c r="AY42" s="6">
        <f t="shared" si="17"/>
        <v>688332.753766346</v>
      </c>
      <c r="AZ42" s="6">
        <f t="shared" si="18"/>
        <v>1923005.8874687224</v>
      </c>
      <c r="BA42" s="6">
        <f t="shared" si="19"/>
        <v>823552</v>
      </c>
      <c r="BB42" s="6">
        <f t="shared" si="20"/>
        <v>4090980.0000000005</v>
      </c>
      <c r="BC42" s="6">
        <f t="shared" si="21"/>
        <v>2855340</v>
      </c>
      <c r="BD42" s="6">
        <f t="shared" si="22"/>
        <v>1710616.9000000001</v>
      </c>
      <c r="BE42" s="6">
        <v>45.61077162</v>
      </c>
      <c r="BF42" s="6">
        <f t="shared" si="43"/>
        <v>12091827.541235069</v>
      </c>
      <c r="BG42" s="6">
        <f t="shared" si="23"/>
        <v>15791852.877629586</v>
      </c>
      <c r="BH42" s="6"/>
      <c r="BK42" s="30" t="str">
        <f t="shared" si="24"/>
        <v>Gladsaxe Vand A/S</v>
      </c>
      <c r="BL42" s="23">
        <f t="shared" si="25"/>
        <v>5.692545245282577</v>
      </c>
      <c r="BM42" s="23">
        <f t="shared" si="26"/>
        <v>15.903351920220201</v>
      </c>
      <c r="BN42" s="23">
        <f t="shared" si="27"/>
        <v>6.81081496731206</v>
      </c>
      <c r="BO42" s="23">
        <f t="shared" si="28"/>
        <v>33.83260293821677</v>
      </c>
      <c r="BP42" s="23">
        <f t="shared" si="29"/>
        <v>23.613800232122344</v>
      </c>
      <c r="BQ42" s="23">
        <f t="shared" si="30"/>
        <v>14.146884696846051</v>
      </c>
      <c r="BR42" s="23"/>
      <c r="BS42" s="23">
        <f t="shared" si="44"/>
        <v>37.760684928968395</v>
      </c>
      <c r="BT42" s="23"/>
      <c r="BU42" s="23">
        <f t="shared" si="45"/>
        <v>5.442344059656598</v>
      </c>
      <c r="BV42" s="23">
        <f t="shared" si="46"/>
        <v>15.892637858536672</v>
      </c>
      <c r="BW42" s="23">
        <f t="shared" si="47"/>
        <v>-2.47254955832066</v>
      </c>
      <c r="BX42" s="23">
        <f t="shared" si="48"/>
        <v>-10.027313911248566</v>
      </c>
      <c r="BY42" s="23">
        <f t="shared" si="49"/>
        <v>-8.02735382129459</v>
      </c>
      <c r="BZ42" s="23">
        <f t="shared" si="50"/>
        <v>-0.8077646273294778</v>
      </c>
      <c r="CA42" s="23"/>
      <c r="CB42" s="23">
        <f t="shared" si="51"/>
        <v>-8.835118448624073</v>
      </c>
      <c r="CC42" s="23">
        <f t="shared" si="52"/>
        <v>0</v>
      </c>
    </row>
    <row r="43" spans="1:81" ht="15" customHeight="1">
      <c r="A43" s="1" t="s">
        <v>51</v>
      </c>
      <c r="B43" s="10">
        <v>754611</v>
      </c>
      <c r="C43" s="10">
        <f t="shared" si="39"/>
        <v>758384.0549999999</v>
      </c>
      <c r="D43" s="10">
        <v>569215</v>
      </c>
      <c r="E43" s="10">
        <v>0</v>
      </c>
      <c r="F43" s="23" t="str">
        <f t="shared" si="1"/>
        <v>ingen</v>
      </c>
      <c r="G43" s="3"/>
      <c r="H43" s="10">
        <f t="shared" si="2"/>
        <v>569215</v>
      </c>
      <c r="I43" s="10"/>
      <c r="J43" s="10">
        <f t="shared" si="40"/>
        <v>1100008.7687163823</v>
      </c>
      <c r="K43" s="10">
        <f t="shared" si="41"/>
        <v>990732.4470567844</v>
      </c>
      <c r="L43" s="10"/>
      <c r="M43" s="10">
        <f t="shared" si="3"/>
        <v>1270773.2687163823</v>
      </c>
      <c r="N43" s="10">
        <f t="shared" si="4"/>
        <v>1161496.9470567843</v>
      </c>
      <c r="P43" s="23">
        <f>'Potentialer og krav'!U43</f>
        <v>0</v>
      </c>
      <c r="Q43" s="10"/>
      <c r="R43" s="23">
        <f t="shared" si="5"/>
        <v>3773.0550000000003</v>
      </c>
      <c r="S43" s="23">
        <f t="shared" si="6"/>
        <v>17442.833264999997</v>
      </c>
      <c r="T43" s="23">
        <f t="shared" si="7"/>
        <v>569215</v>
      </c>
      <c r="U43" s="23">
        <f t="shared" si="8"/>
        <v>13091.945</v>
      </c>
      <c r="V43" s="23">
        <f t="shared" si="9"/>
        <v>582306.945</v>
      </c>
      <c r="W43" s="23">
        <f t="shared" si="10"/>
        <v>775826.8882649998</v>
      </c>
      <c r="X43" s="23">
        <f t="shared" si="11"/>
        <v>13091.945</v>
      </c>
      <c r="Y43" s="23">
        <f t="shared" si="12"/>
        <v>582306.945</v>
      </c>
      <c r="Z43" s="23">
        <f t="shared" si="13"/>
        <v>193519.9432649999</v>
      </c>
      <c r="AA43" s="23" t="str">
        <f t="shared" si="42"/>
        <v>ingen</v>
      </c>
      <c r="AB43" s="23"/>
      <c r="AC43" s="35" t="s">
        <v>51</v>
      </c>
      <c r="AD43" s="6">
        <v>148</v>
      </c>
      <c r="AE43" s="6">
        <v>228005</v>
      </c>
      <c r="AF43" s="6">
        <v>204154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4</v>
      </c>
      <c r="AM43" s="6">
        <v>26</v>
      </c>
      <c r="AN43" s="6"/>
      <c r="AO43" s="6"/>
      <c r="AP43" s="6">
        <v>4</v>
      </c>
      <c r="AQ43" s="6">
        <v>1241</v>
      </c>
      <c r="AR43" s="6"/>
      <c r="AS43" s="6"/>
      <c r="AT43" s="6">
        <v>1245</v>
      </c>
      <c r="AU43" s="6">
        <f t="shared" si="14"/>
        <v>0</v>
      </c>
      <c r="AV43" s="6">
        <f t="shared" si="15"/>
        <v>0</v>
      </c>
      <c r="AW43" s="6">
        <f t="shared" si="16"/>
        <v>0</v>
      </c>
      <c r="AX43" s="6"/>
      <c r="AY43" s="6">
        <f t="shared" si="17"/>
        <v>161136.22253401985</v>
      </c>
      <c r="AZ43" s="6">
        <f t="shared" si="18"/>
        <v>365124.0461823625</v>
      </c>
      <c r="BA43" s="6">
        <f t="shared" si="19"/>
        <v>0</v>
      </c>
      <c r="BB43" s="6">
        <f t="shared" si="20"/>
        <v>181200</v>
      </c>
      <c r="BC43" s="6">
        <f t="shared" si="21"/>
        <v>211650</v>
      </c>
      <c r="BD43" s="6">
        <f t="shared" si="22"/>
        <v>180898.5</v>
      </c>
      <c r="BE43" s="6">
        <v>23.092148961426812</v>
      </c>
      <c r="BF43" s="6">
        <f t="shared" si="43"/>
        <v>1100008.7687163823</v>
      </c>
      <c r="BG43" s="6">
        <f t="shared" si="23"/>
        <v>990732.4470567844</v>
      </c>
      <c r="BH43" s="6"/>
      <c r="BK43" s="30" t="str">
        <f t="shared" si="24"/>
        <v>Glamsbjerg vandværk</v>
      </c>
      <c r="BL43" s="23">
        <f t="shared" si="25"/>
        <v>14.648630730648835</v>
      </c>
      <c r="BM43" s="23">
        <f t="shared" si="26"/>
        <v>33.19283050883599</v>
      </c>
      <c r="BN43" s="23">
        <f t="shared" si="27"/>
        <v>0</v>
      </c>
      <c r="BO43" s="23">
        <f t="shared" si="28"/>
        <v>16.472595960434493</v>
      </c>
      <c r="BP43" s="23">
        <f t="shared" si="29"/>
        <v>19.2407557120638</v>
      </c>
      <c r="BQ43" s="23">
        <f t="shared" si="30"/>
        <v>16.445187088016883</v>
      </c>
      <c r="BR43" s="23"/>
      <c r="BS43" s="23">
        <f t="shared" si="44"/>
        <v>35.68594280008068</v>
      </c>
      <c r="BT43" s="23"/>
      <c r="BU43" s="23">
        <f t="shared" si="45"/>
        <v>-3.513741425709659</v>
      </c>
      <c r="BV43" s="23">
        <f t="shared" si="46"/>
        <v>-1.3968407300791164</v>
      </c>
      <c r="BW43" s="23">
        <f t="shared" si="47"/>
        <v>4.338265408991401</v>
      </c>
      <c r="BX43" s="23">
        <f t="shared" si="48"/>
        <v>7.332693066533714</v>
      </c>
      <c r="BY43" s="23">
        <f t="shared" si="49"/>
        <v>-3.6543093012360472</v>
      </c>
      <c r="BZ43" s="23">
        <f t="shared" si="50"/>
        <v>-3.10606701850031</v>
      </c>
      <c r="CA43" s="23"/>
      <c r="CB43" s="23">
        <f t="shared" si="51"/>
        <v>-6.760376319736359</v>
      </c>
      <c r="CC43" s="23">
        <f t="shared" si="52"/>
        <v>0</v>
      </c>
    </row>
    <row r="44" spans="1:81" ht="15" customHeight="1">
      <c r="A44" s="1" t="s">
        <v>52</v>
      </c>
      <c r="B44" s="10">
        <v>13979692</v>
      </c>
      <c r="C44" s="10">
        <f t="shared" si="39"/>
        <v>14049590.459999999</v>
      </c>
      <c r="D44" s="10">
        <v>9374376.3695456</v>
      </c>
      <c r="E44" s="10">
        <v>5235607.951143957</v>
      </c>
      <c r="F44" s="23" t="str">
        <f t="shared" si="1"/>
        <v>ingen</v>
      </c>
      <c r="G44" s="3"/>
      <c r="H44" s="10">
        <f t="shared" si="2"/>
        <v>9374376.3695456</v>
      </c>
      <c r="I44" s="10"/>
      <c r="J44" s="10">
        <f t="shared" si="40"/>
        <v>6909325.188830679</v>
      </c>
      <c r="K44" s="10">
        <f t="shared" si="41"/>
        <v>7247628.261762786</v>
      </c>
      <c r="L44" s="10"/>
      <c r="M44" s="10">
        <f t="shared" si="3"/>
        <v>9721638.09969436</v>
      </c>
      <c r="N44" s="10">
        <f t="shared" si="4"/>
        <v>10059941.172626466</v>
      </c>
      <c r="P44" s="23">
        <f>'Potentialer og krav'!U44</f>
        <v>468718.81847728</v>
      </c>
      <c r="Q44" s="10"/>
      <c r="R44" s="23">
        <f t="shared" si="5"/>
        <v>69898.46</v>
      </c>
      <c r="S44" s="23">
        <f t="shared" si="6"/>
        <v>323140.58057999995</v>
      </c>
      <c r="T44" s="23">
        <f t="shared" si="7"/>
        <v>4138768.4184016427</v>
      </c>
      <c r="U44" s="23">
        <f t="shared" si="8"/>
        <v>215610.6564995488</v>
      </c>
      <c r="V44" s="23">
        <f t="shared" si="9"/>
        <v>9589987.026045147</v>
      </c>
      <c r="W44" s="23">
        <f t="shared" si="10"/>
        <v>14372731.040579997</v>
      </c>
      <c r="X44" s="23">
        <f t="shared" si="11"/>
        <v>215610.6564995488</v>
      </c>
      <c r="Y44" s="23">
        <f t="shared" si="12"/>
        <v>9589987.026045147</v>
      </c>
      <c r="Z44" s="23">
        <f t="shared" si="13"/>
        <v>4782744.01453485</v>
      </c>
      <c r="AA44" s="23" t="str">
        <f t="shared" si="42"/>
        <v>ingen</v>
      </c>
      <c r="AB44" s="23"/>
      <c r="AC44" s="35" t="s">
        <v>52</v>
      </c>
      <c r="AD44" s="6">
        <v>313</v>
      </c>
      <c r="AE44" s="6">
        <v>942207</v>
      </c>
      <c r="AF44" s="6">
        <v>1392760</v>
      </c>
      <c r="AG44" s="6"/>
      <c r="AH44" s="6"/>
      <c r="AI44" s="6"/>
      <c r="AJ44" s="6"/>
      <c r="AK44" s="6"/>
      <c r="AL44" s="6">
        <v>1</v>
      </c>
      <c r="AM44" s="6">
        <v>67</v>
      </c>
      <c r="AN44" s="6">
        <v>35</v>
      </c>
      <c r="AO44" s="6"/>
      <c r="AP44" s="6"/>
      <c r="AQ44" s="6">
        <v>3341</v>
      </c>
      <c r="AR44" s="6">
        <v>550</v>
      </c>
      <c r="AS44" s="6"/>
      <c r="AT44" s="6">
        <v>3730</v>
      </c>
      <c r="AU44" s="6">
        <f t="shared" si="14"/>
        <v>0</v>
      </c>
      <c r="AV44" s="6">
        <f t="shared" si="15"/>
        <v>0</v>
      </c>
      <c r="AW44" s="6">
        <f t="shared" si="16"/>
        <v>0</v>
      </c>
      <c r="AX44" s="6"/>
      <c r="AY44" s="6">
        <f t="shared" si="17"/>
        <v>635362.7936824444</v>
      </c>
      <c r="AZ44" s="6">
        <f t="shared" si="18"/>
        <v>2628503.395148235</v>
      </c>
      <c r="BA44" s="6">
        <f t="shared" si="19"/>
        <v>0</v>
      </c>
      <c r="BB44" s="6">
        <f t="shared" si="20"/>
        <v>2244020</v>
      </c>
      <c r="BC44" s="6">
        <f t="shared" si="21"/>
        <v>859470</v>
      </c>
      <c r="BD44" s="6">
        <f t="shared" si="22"/>
        <v>541969</v>
      </c>
      <c r="BE44" s="6">
        <v>31.33129212</v>
      </c>
      <c r="BF44" s="6">
        <f t="shared" si="43"/>
        <v>6909325.188830679</v>
      </c>
      <c r="BG44" s="6">
        <f t="shared" si="23"/>
        <v>7247628.261762786</v>
      </c>
      <c r="BH44" s="6"/>
      <c r="BK44" s="30" t="str">
        <f t="shared" si="24"/>
        <v>Glostrup Vand a/s</v>
      </c>
      <c r="BL44" s="23">
        <f t="shared" si="25"/>
        <v>9.195728617746127</v>
      </c>
      <c r="BM44" s="23">
        <f t="shared" si="26"/>
        <v>38.04283809650994</v>
      </c>
      <c r="BN44" s="23">
        <f t="shared" si="27"/>
        <v>0</v>
      </c>
      <c r="BO44" s="23">
        <f t="shared" si="28"/>
        <v>32.478135543939764</v>
      </c>
      <c r="BP44" s="23">
        <f t="shared" si="29"/>
        <v>12.439275566149103</v>
      </c>
      <c r="BQ44" s="23">
        <f t="shared" si="30"/>
        <v>7.84402217565507</v>
      </c>
      <c r="BR44" s="23"/>
      <c r="BS44" s="23">
        <f t="shared" si="44"/>
        <v>20.283297741804173</v>
      </c>
      <c r="BT44" s="23"/>
      <c r="BU44" s="23">
        <f t="shared" si="45"/>
        <v>1.9391606871930485</v>
      </c>
      <c r="BV44" s="23">
        <f t="shared" si="46"/>
        <v>-6.2468483177530665</v>
      </c>
      <c r="BW44" s="23">
        <f t="shared" si="47"/>
        <v>4.338265408991401</v>
      </c>
      <c r="BX44" s="23">
        <f t="shared" si="48"/>
        <v>-8.672846516971557</v>
      </c>
      <c r="BY44" s="23">
        <f t="shared" si="49"/>
        <v>3.1471708446786515</v>
      </c>
      <c r="BZ44" s="23">
        <f t="shared" si="50"/>
        <v>5.495097893861503</v>
      </c>
      <c r="CA44" s="23"/>
      <c r="CB44" s="23">
        <f t="shared" si="51"/>
        <v>8.64226873854015</v>
      </c>
      <c r="CC44" s="23">
        <f t="shared" si="52"/>
        <v>0</v>
      </c>
    </row>
    <row r="45" spans="1:81" ht="15" customHeight="1">
      <c r="A45" s="1" t="s">
        <v>53</v>
      </c>
      <c r="B45" s="10">
        <v>7216500</v>
      </c>
      <c r="C45" s="10">
        <f t="shared" si="39"/>
        <v>7252582.499999999</v>
      </c>
      <c r="D45" s="10">
        <v>5789057.8285792</v>
      </c>
      <c r="E45" s="10">
        <v>1229964.5626209804</v>
      </c>
      <c r="F45" s="23" t="str">
        <f t="shared" si="1"/>
        <v>ingen</v>
      </c>
      <c r="G45" s="3"/>
      <c r="H45" s="10">
        <f t="shared" si="2"/>
        <v>5789057.8285792</v>
      </c>
      <c r="I45" s="10"/>
      <c r="J45" s="10">
        <f t="shared" si="40"/>
        <v>7521752.830888696</v>
      </c>
      <c r="K45" s="10">
        <f t="shared" si="41"/>
        <v>8084659.214725186</v>
      </c>
      <c r="L45" s="10"/>
      <c r="M45" s="10">
        <f t="shared" si="3"/>
        <v>9258470.179462455</v>
      </c>
      <c r="N45" s="10">
        <f t="shared" si="4"/>
        <v>9821376.563298946</v>
      </c>
      <c r="P45" s="23">
        <f>'Potentialer og krav'!U45</f>
        <v>0</v>
      </c>
      <c r="Q45" s="10"/>
      <c r="R45" s="23">
        <f t="shared" si="5"/>
        <v>36082.5</v>
      </c>
      <c r="S45" s="23">
        <f t="shared" si="6"/>
        <v>166809.39749999996</v>
      </c>
      <c r="T45" s="23">
        <f t="shared" si="7"/>
        <v>4559093.26595822</v>
      </c>
      <c r="U45" s="23">
        <f t="shared" si="8"/>
        <v>133148.3300573216</v>
      </c>
      <c r="V45" s="23">
        <f t="shared" si="9"/>
        <v>5922206.158636522</v>
      </c>
      <c r="W45" s="23">
        <f t="shared" si="10"/>
        <v>7419391.897499998</v>
      </c>
      <c r="X45" s="23">
        <f t="shared" si="11"/>
        <v>133148.3300573216</v>
      </c>
      <c r="Y45" s="23">
        <f t="shared" si="12"/>
        <v>5922206.158636522</v>
      </c>
      <c r="Z45" s="23">
        <f t="shared" si="13"/>
        <v>1497185.7388634766</v>
      </c>
      <c r="AA45" s="23" t="str">
        <f t="shared" si="42"/>
        <v>ingen</v>
      </c>
      <c r="AB45" s="23"/>
      <c r="AC45" s="35" t="s">
        <v>53</v>
      </c>
      <c r="AD45" s="6">
        <v>123</v>
      </c>
      <c r="AE45" s="6">
        <v>1532349</v>
      </c>
      <c r="AF45" s="6">
        <v>1532349</v>
      </c>
      <c r="AG45" s="6">
        <v>6</v>
      </c>
      <c r="AH45" s="6">
        <v>3</v>
      </c>
      <c r="AI45" s="6">
        <v>0</v>
      </c>
      <c r="AJ45" s="6">
        <v>0</v>
      </c>
      <c r="AK45" s="6">
        <v>0</v>
      </c>
      <c r="AL45" s="6">
        <v>112</v>
      </c>
      <c r="AM45" s="6">
        <v>140</v>
      </c>
      <c r="AN45" s="6">
        <v>0</v>
      </c>
      <c r="AO45" s="6">
        <v>0</v>
      </c>
      <c r="AP45" s="6">
        <v>677</v>
      </c>
      <c r="AQ45" s="6">
        <v>3745</v>
      </c>
      <c r="AR45" s="6">
        <v>205</v>
      </c>
      <c r="AS45" s="6">
        <v>0</v>
      </c>
      <c r="AT45" s="6">
        <v>6570</v>
      </c>
      <c r="AU45" s="6">
        <f t="shared" si="14"/>
        <v>9</v>
      </c>
      <c r="AV45" s="6">
        <f t="shared" si="15"/>
        <v>0</v>
      </c>
      <c r="AW45" s="6">
        <f t="shared" si="16"/>
        <v>0</v>
      </c>
      <c r="AX45" s="6"/>
      <c r="AY45" s="6">
        <f t="shared" si="17"/>
        <v>806136.8011535597</v>
      </c>
      <c r="AZ45" s="6">
        <f t="shared" si="18"/>
        <v>2899689.029735137</v>
      </c>
      <c r="BA45" s="6">
        <f t="shared" si="19"/>
        <v>478836</v>
      </c>
      <c r="BB45" s="6">
        <f t="shared" si="20"/>
        <v>1522080</v>
      </c>
      <c r="BC45" s="6">
        <f t="shared" si="21"/>
        <v>860390</v>
      </c>
      <c r="BD45" s="6">
        <f t="shared" si="22"/>
        <v>954621.0000000001</v>
      </c>
      <c r="BE45" s="6">
        <v>32.76872936617816</v>
      </c>
      <c r="BF45" s="6">
        <f t="shared" si="43"/>
        <v>7521752.830888696</v>
      </c>
      <c r="BG45" s="6">
        <f t="shared" si="23"/>
        <v>8084659.214725186</v>
      </c>
      <c r="BH45" s="6"/>
      <c r="BK45" s="30" t="str">
        <f t="shared" si="24"/>
        <v>Grenaa &amp; Anholt Vandforsyning a.m.b.a</v>
      </c>
      <c r="BL45" s="23">
        <f t="shared" si="25"/>
        <v>10.717406158882179</v>
      </c>
      <c r="BM45" s="23">
        <f t="shared" si="26"/>
        <v>38.55070878994223</v>
      </c>
      <c r="BN45" s="23">
        <f t="shared" si="27"/>
        <v>6.36601615029971</v>
      </c>
      <c r="BO45" s="23">
        <f t="shared" si="28"/>
        <v>20.235708806456035</v>
      </c>
      <c r="BP45" s="23">
        <f t="shared" si="29"/>
        <v>11.438690147683898</v>
      </c>
      <c r="BQ45" s="23">
        <f t="shared" si="30"/>
        <v>12.691469946735959</v>
      </c>
      <c r="BR45" s="23"/>
      <c r="BS45" s="23">
        <f t="shared" si="44"/>
        <v>24.130160094419857</v>
      </c>
      <c r="BT45" s="23"/>
      <c r="BU45" s="23">
        <f t="shared" si="45"/>
        <v>0.41748314605699655</v>
      </c>
      <c r="BV45" s="23">
        <f t="shared" si="46"/>
        <v>-6.754719011185355</v>
      </c>
      <c r="BW45" s="23">
        <f t="shared" si="47"/>
        <v>-2.027750741308309</v>
      </c>
      <c r="BX45" s="23">
        <f t="shared" si="48"/>
        <v>3.5695802205121723</v>
      </c>
      <c r="BY45" s="23">
        <f t="shared" si="49"/>
        <v>4.147756263143856</v>
      </c>
      <c r="BZ45" s="23">
        <f t="shared" si="50"/>
        <v>0.6476501227806146</v>
      </c>
      <c r="CA45" s="23"/>
      <c r="CB45" s="23">
        <f t="shared" si="51"/>
        <v>4.7954063859244656</v>
      </c>
      <c r="CC45" s="23">
        <f t="shared" si="52"/>
        <v>0</v>
      </c>
    </row>
    <row r="46" spans="1:81" ht="15" customHeight="1">
      <c r="A46" s="1" t="s">
        <v>54</v>
      </c>
      <c r="B46" s="10">
        <v>12859811</v>
      </c>
      <c r="C46" s="10">
        <f t="shared" si="39"/>
        <v>12924110.054999998</v>
      </c>
      <c r="D46" s="10">
        <v>12235071.590413</v>
      </c>
      <c r="E46" s="10">
        <v>4091766.140520981</v>
      </c>
      <c r="F46" s="23" t="str">
        <f t="shared" si="1"/>
        <v>ingen</v>
      </c>
      <c r="G46" s="3"/>
      <c r="H46" s="10">
        <f t="shared" si="2"/>
        <v>12235071.590413</v>
      </c>
      <c r="I46" s="10"/>
      <c r="J46" s="10">
        <f t="shared" si="40"/>
        <v>13304474.425358584</v>
      </c>
      <c r="K46" s="10">
        <f t="shared" si="41"/>
        <v>14757741.60680635</v>
      </c>
      <c r="L46" s="10"/>
      <c r="M46" s="10">
        <f t="shared" si="3"/>
        <v>16974995.902482484</v>
      </c>
      <c r="N46" s="10">
        <f t="shared" si="4"/>
        <v>18428263.08393025</v>
      </c>
      <c r="P46" s="23">
        <f>'Potentialer og krav'!U46</f>
        <v>315985.40590832423</v>
      </c>
      <c r="Q46" s="10"/>
      <c r="R46" s="23">
        <f t="shared" si="5"/>
        <v>64299.055</v>
      </c>
      <c r="S46" s="23">
        <f t="shared" si="6"/>
        <v>297254.53126499994</v>
      </c>
      <c r="T46" s="23">
        <f t="shared" si="7"/>
        <v>8143305.44989202</v>
      </c>
      <c r="U46" s="23">
        <f t="shared" si="8"/>
        <v>281406.646579499</v>
      </c>
      <c r="V46" s="23">
        <f t="shared" si="9"/>
        <v>12516478.236992499</v>
      </c>
      <c r="W46" s="23">
        <f t="shared" si="10"/>
        <v>13221364.586264996</v>
      </c>
      <c r="X46" s="23">
        <f t="shared" si="11"/>
        <v>281406.646579499</v>
      </c>
      <c r="Y46" s="23">
        <f t="shared" si="12"/>
        <v>12516478.236992499</v>
      </c>
      <c r="Z46" s="23">
        <f t="shared" si="13"/>
        <v>704886.349272497</v>
      </c>
      <c r="AA46" s="23" t="str">
        <f t="shared" si="42"/>
        <v>ingen</v>
      </c>
      <c r="AB46" s="23"/>
      <c r="AC46" s="35" t="s">
        <v>54</v>
      </c>
      <c r="AD46" s="6">
        <v>555</v>
      </c>
      <c r="AE46" s="6">
        <v>2175213</v>
      </c>
      <c r="AF46" s="6">
        <v>2139286</v>
      </c>
      <c r="AG46" s="6">
        <v>1</v>
      </c>
      <c r="AH46" s="6"/>
      <c r="AI46" s="6">
        <v>1</v>
      </c>
      <c r="AJ46" s="6">
        <v>2</v>
      </c>
      <c r="AK46" s="6"/>
      <c r="AL46" s="6">
        <v>8</v>
      </c>
      <c r="AM46" s="6">
        <v>218</v>
      </c>
      <c r="AN46" s="6">
        <v>32</v>
      </c>
      <c r="AO46" s="6"/>
      <c r="AP46" s="6">
        <v>138</v>
      </c>
      <c r="AQ46" s="6">
        <v>6408</v>
      </c>
      <c r="AR46" s="6">
        <v>3185</v>
      </c>
      <c r="AS46" s="6"/>
      <c r="AT46" s="6">
        <v>9690</v>
      </c>
      <c r="AU46" s="6">
        <f t="shared" si="14"/>
        <v>1</v>
      </c>
      <c r="AV46" s="6">
        <f t="shared" si="15"/>
        <v>3</v>
      </c>
      <c r="AW46" s="6">
        <f t="shared" si="16"/>
        <v>0</v>
      </c>
      <c r="AX46" s="6"/>
      <c r="AY46" s="6">
        <f t="shared" si="17"/>
        <v>1463749.924937598</v>
      </c>
      <c r="AZ46" s="6">
        <f t="shared" si="18"/>
        <v>4086204.5004209867</v>
      </c>
      <c r="BA46" s="6">
        <f t="shared" si="19"/>
        <v>428876</v>
      </c>
      <c r="BB46" s="6">
        <f t="shared" si="20"/>
        <v>3041200</v>
      </c>
      <c r="BC46" s="6">
        <f t="shared" si="21"/>
        <v>2800870</v>
      </c>
      <c r="BD46" s="6">
        <f t="shared" si="22"/>
        <v>1407957</v>
      </c>
      <c r="BE46" s="6">
        <v>34.67952562</v>
      </c>
      <c r="BF46" s="6">
        <f t="shared" si="43"/>
        <v>13304474.425358584</v>
      </c>
      <c r="BG46" s="6">
        <f t="shared" si="23"/>
        <v>14757741.60680635</v>
      </c>
      <c r="BH46" s="6">
        <v>75617</v>
      </c>
      <c r="BK46" s="30" t="str">
        <f t="shared" si="24"/>
        <v>Greve Vandværk A.m.b.a.</v>
      </c>
      <c r="BL46" s="23">
        <f t="shared" si="25"/>
        <v>11.064825009994552</v>
      </c>
      <c r="BM46" s="23">
        <f t="shared" si="26"/>
        <v>30.888567085076325</v>
      </c>
      <c r="BN46" s="23">
        <f t="shared" si="27"/>
        <v>3.2419731062932278</v>
      </c>
      <c r="BO46" s="23">
        <f t="shared" si="28"/>
        <v>22.98913581281994</v>
      </c>
      <c r="BP46" s="23">
        <f t="shared" si="29"/>
        <v>21.172425629374256</v>
      </c>
      <c r="BQ46" s="23">
        <f t="shared" si="30"/>
        <v>10.643073356441707</v>
      </c>
      <c r="BR46" s="23"/>
      <c r="BS46" s="23">
        <f t="shared" si="44"/>
        <v>31.815498985815964</v>
      </c>
      <c r="BT46" s="23"/>
      <c r="BU46" s="23">
        <f t="shared" si="45"/>
        <v>0.07006429494462374</v>
      </c>
      <c r="BV46" s="23">
        <f t="shared" si="46"/>
        <v>0.9074226936805481</v>
      </c>
      <c r="BW46" s="23">
        <f t="shared" si="47"/>
        <v>1.0962923026981728</v>
      </c>
      <c r="BX46" s="23">
        <f t="shared" si="48"/>
        <v>0.8161532141482688</v>
      </c>
      <c r="BY46" s="23">
        <f t="shared" si="49"/>
        <v>-5.585979218546502</v>
      </c>
      <c r="BZ46" s="23">
        <f t="shared" si="50"/>
        <v>2.6960467130748658</v>
      </c>
      <c r="CA46" s="23"/>
      <c r="CB46" s="23">
        <f t="shared" si="51"/>
        <v>-2.8899325054716414</v>
      </c>
      <c r="CC46" s="23">
        <f t="shared" si="52"/>
        <v>0</v>
      </c>
    </row>
    <row r="47" spans="1:81" ht="15" customHeight="1">
      <c r="A47" s="1" t="s">
        <v>55</v>
      </c>
      <c r="B47" s="10">
        <v>2856502</v>
      </c>
      <c r="C47" s="10">
        <f aca="true" t="shared" si="53" ref="C47:C84">B47*1.005</f>
        <v>2870784.51</v>
      </c>
      <c r="D47" s="10">
        <v>2689448.8469044003</v>
      </c>
      <c r="E47" s="10">
        <v>1306326.078495321</v>
      </c>
      <c r="F47" s="23" t="str">
        <f aca="true" t="shared" si="54" ref="F47:F84">IF(D47&gt;C47,D47-C47,"ingen")</f>
        <v>ingen</v>
      </c>
      <c r="G47" s="3"/>
      <c r="H47" s="10">
        <f aca="true" t="shared" si="55" ref="H47:H84">IF(F47="ingen",D47,IF(E47&lt;F47,D47-E47,C47))</f>
        <v>2689448.8469044003</v>
      </c>
      <c r="I47" s="10"/>
      <c r="J47" s="10">
        <f aca="true" t="shared" si="56" ref="J47:J84">BF47</f>
        <v>2334086.091140682</v>
      </c>
      <c r="K47" s="10">
        <f aca="true" t="shared" si="57" ref="K47:K84">BG47</f>
        <v>2084350.573580081</v>
      </c>
      <c r="L47" s="10"/>
      <c r="M47" s="10">
        <f aca="true" t="shared" si="58" ref="M47:M84">J47+(0.3*H47)</f>
        <v>3140920.7452120017</v>
      </c>
      <c r="N47" s="10">
        <f aca="true" t="shared" si="59" ref="N47:N84">K47+(0.3*H47)</f>
        <v>2891185.2276514014</v>
      </c>
      <c r="P47" s="23">
        <f>'Potentialer og krav'!U47</f>
        <v>134472.44234522</v>
      </c>
      <c r="Q47" s="10"/>
      <c r="R47" s="23">
        <f aca="true" t="shared" si="60" ref="R47:R84">B47*0.005</f>
        <v>14282.51</v>
      </c>
      <c r="S47" s="23">
        <f aca="true" t="shared" si="61" ref="S47:S84">C47*0.023</f>
        <v>66028.04372999999</v>
      </c>
      <c r="T47" s="23">
        <f aca="true" t="shared" si="62" ref="T47:T84">D47-E47</f>
        <v>1383122.7684090792</v>
      </c>
      <c r="U47" s="23">
        <f aca="true" t="shared" si="63" ref="U47:U84">H47*0.023</f>
        <v>61857.323478801205</v>
      </c>
      <c r="V47" s="23">
        <f aca="true" t="shared" si="64" ref="V47:V84">H47*1.023</f>
        <v>2751306.1703832014</v>
      </c>
      <c r="W47" s="23">
        <f aca="true" t="shared" si="65" ref="W47:W84">C47*1.023</f>
        <v>2936812.5537299993</v>
      </c>
      <c r="X47" s="23">
        <f aca="true" t="shared" si="66" ref="X47:X84">D47*0.023</f>
        <v>61857.323478801205</v>
      </c>
      <c r="Y47" s="23">
        <f aca="true" t="shared" si="67" ref="Y47:Y84">D47*1.023</f>
        <v>2751306.1703832014</v>
      </c>
      <c r="Z47" s="23">
        <f aca="true" t="shared" si="68" ref="Z47:Z84">W47-Y47</f>
        <v>185506.3833467979</v>
      </c>
      <c r="AA47" s="23" t="str">
        <f aca="true" t="shared" si="69" ref="AA47:AA84">IF(F47="ingen","ingen",IF(H47&lt;=T47,V47-Y47,"tal til venstre"))</f>
        <v>ingen</v>
      </c>
      <c r="AB47" s="23"/>
      <c r="AC47" s="35" t="s">
        <v>55</v>
      </c>
      <c r="AD47" s="6">
        <v>697</v>
      </c>
      <c r="AE47" s="6">
        <v>413572</v>
      </c>
      <c r="AF47" s="6">
        <v>413572</v>
      </c>
      <c r="AG47" s="6">
        <v>3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66</v>
      </c>
      <c r="AN47" s="6">
        <v>0</v>
      </c>
      <c r="AO47" s="6">
        <v>0</v>
      </c>
      <c r="AP47" s="6">
        <v>0</v>
      </c>
      <c r="AQ47" s="6">
        <v>2083</v>
      </c>
      <c r="AR47" s="6">
        <v>0</v>
      </c>
      <c r="AS47" s="6">
        <v>0</v>
      </c>
      <c r="AT47" s="6">
        <v>2083</v>
      </c>
      <c r="AU47" s="6">
        <f aca="true" t="shared" si="70" ref="AU47:AU84">SUM(AG47:AH47)</f>
        <v>3</v>
      </c>
      <c r="AV47" s="6">
        <f aca="true" t="shared" si="71" ref="AV47:AV84">SUM(AI47:AJ47)</f>
        <v>0</v>
      </c>
      <c r="AW47" s="6">
        <f aca="true" t="shared" si="72" ref="AW47:AW84">AK47</f>
        <v>0</v>
      </c>
      <c r="AX47" s="6"/>
      <c r="AY47" s="6">
        <f aca="true" t="shared" si="73" ref="AY47:AY84">1.428*AD47^(0.195)*AE47^(0.864)</f>
        <v>364635.3536192248</v>
      </c>
      <c r="AZ47" s="6">
        <f aca="true" t="shared" si="74" ref="AZ47:AZ84">1.27*AF47^(1.028)</f>
        <v>754428.8375214572</v>
      </c>
      <c r="BA47" s="6">
        <f aca="true" t="shared" si="75" ref="BA47:BA84">53204*AU47+125224*AV47+411776*AW47</f>
        <v>159612</v>
      </c>
      <c r="BB47" s="6">
        <f aca="true" t="shared" si="76" ref="BB47:BB84">6.04*(AL47+AM47)*1000+52.38*(AN47+AO47)*1000</f>
        <v>398640</v>
      </c>
      <c r="BC47" s="6">
        <f aca="true" t="shared" si="77" ref="BC47:BC84">170*(AP47+AQ47)+530*AR47+1398*AS47</f>
        <v>354110</v>
      </c>
      <c r="BD47" s="6">
        <f aca="true" t="shared" si="78" ref="BD47:BD84">145.3*AT47</f>
        <v>302659.9</v>
      </c>
      <c r="BE47" s="6">
        <v>22.66694501</v>
      </c>
      <c r="BF47" s="6">
        <f aca="true" t="shared" si="79" ref="BF47:BF84">SUM(AY47:BD47)+AX47+BH47</f>
        <v>2334086.091140682</v>
      </c>
      <c r="BG47" s="6">
        <f aca="true" t="shared" si="80" ref="BG47:BG84">(0.485+0.018*BE47)*BF47</f>
        <v>2084350.573580081</v>
      </c>
      <c r="BH47" s="6"/>
      <c r="BK47" s="30" t="str">
        <f aca="true" t="shared" si="81" ref="BK47:BK84">AC47</f>
        <v>Hadsund Vandværk a.m.b.a.</v>
      </c>
      <c r="BL47" s="23">
        <f aca="true" t="shared" si="82" ref="BL47:BL84">(AY47/SUM($AY47:$BD47))*100</f>
        <v>15.622189558613295</v>
      </c>
      <c r="BM47" s="23">
        <f aca="true" t="shared" si="83" ref="BM47:BM84">(AZ47/SUM($AY47:$BD47))*100</f>
        <v>32.322236972534434</v>
      </c>
      <c r="BN47" s="23">
        <f aca="true" t="shared" si="84" ref="BN47:BN84">(BA47/SUM($AY47:$BD47))*100</f>
        <v>6.838308175770699</v>
      </c>
      <c r="BO47" s="23">
        <f aca="true" t="shared" si="85" ref="BO47:BO84">(BB47/SUM($AY47:$BD47))*100</f>
        <v>17.07906154417733</v>
      </c>
      <c r="BP47" s="23">
        <f aca="true" t="shared" si="86" ref="BP47:BP84">(BC47/SUM($AY47:$BD47))*100</f>
        <v>15.17124845326268</v>
      </c>
      <c r="BQ47" s="23">
        <f aca="true" t="shared" si="87" ref="BQ47:BQ84">(BD47/SUM($AY47:$BD47))*100</f>
        <v>12.966955295641572</v>
      </c>
      <c r="BR47" s="23"/>
      <c r="BS47" s="23">
        <f aca="true" t="shared" si="88" ref="BS47:BS84">BP47+BQ47</f>
        <v>28.138203748904253</v>
      </c>
      <c r="BT47" s="23"/>
      <c r="BU47" s="23">
        <f t="shared" si="45"/>
        <v>-4.487300253674119</v>
      </c>
      <c r="BV47" s="23">
        <f t="shared" si="46"/>
        <v>-0.5262471937775608</v>
      </c>
      <c r="BW47" s="23">
        <f t="shared" si="47"/>
        <v>-2.5000427667792984</v>
      </c>
      <c r="BX47" s="23">
        <f t="shared" si="48"/>
        <v>6.726227482790879</v>
      </c>
      <c r="BY47" s="23">
        <f t="shared" si="49"/>
        <v>0.41519795756507527</v>
      </c>
      <c r="BZ47" s="23">
        <f t="shared" si="50"/>
        <v>0.37216477387500113</v>
      </c>
      <c r="CA47" s="23"/>
      <c r="CB47" s="23">
        <f t="shared" si="51"/>
        <v>0.7873627314400693</v>
      </c>
      <c r="CC47" s="23">
        <f t="shared" si="52"/>
        <v>0</v>
      </c>
    </row>
    <row r="48" spans="1:81" ht="15" customHeight="1">
      <c r="A48" s="1" t="s">
        <v>2</v>
      </c>
      <c r="B48" s="10">
        <v>5665335</v>
      </c>
      <c r="C48" s="10">
        <f t="shared" si="53"/>
        <v>5693661.675</v>
      </c>
      <c r="D48" s="10">
        <v>4808613.823550601</v>
      </c>
      <c r="E48" s="10">
        <v>1323091.0552727126</v>
      </c>
      <c r="F48" s="23" t="str">
        <f t="shared" si="54"/>
        <v>ingen</v>
      </c>
      <c r="G48" s="3"/>
      <c r="H48" s="10">
        <f t="shared" si="55"/>
        <v>4808613.823550601</v>
      </c>
      <c r="I48" s="10"/>
      <c r="J48" s="10">
        <f t="shared" si="56"/>
        <v>5580127.915663309</v>
      </c>
      <c r="K48" s="10">
        <f t="shared" si="57"/>
        <v>6373652.986645924</v>
      </c>
      <c r="L48" s="10"/>
      <c r="M48" s="10">
        <f t="shared" si="58"/>
        <v>7022712.06272849</v>
      </c>
      <c r="N48" s="10">
        <f t="shared" si="59"/>
        <v>7816237.133711104</v>
      </c>
      <c r="P48" s="23">
        <f>'Potentialer og krav'!U48</f>
        <v>119593.32862436015</v>
      </c>
      <c r="Q48" s="10"/>
      <c r="R48" s="23">
        <f t="shared" si="60"/>
        <v>28326.675</v>
      </c>
      <c r="S48" s="23">
        <f t="shared" si="61"/>
        <v>130954.21852499999</v>
      </c>
      <c r="T48" s="23">
        <f t="shared" si="62"/>
        <v>3485522.768277888</v>
      </c>
      <c r="U48" s="23">
        <f t="shared" si="63"/>
        <v>110598.1179416638</v>
      </c>
      <c r="V48" s="23">
        <f t="shared" si="64"/>
        <v>4919211.941492264</v>
      </c>
      <c r="W48" s="23">
        <f t="shared" si="65"/>
        <v>5824615.893525</v>
      </c>
      <c r="X48" s="23">
        <f t="shared" si="66"/>
        <v>110598.1179416638</v>
      </c>
      <c r="Y48" s="23">
        <f t="shared" si="67"/>
        <v>4919211.941492264</v>
      </c>
      <c r="Z48" s="23">
        <f t="shared" si="68"/>
        <v>905403.9520327356</v>
      </c>
      <c r="AA48" s="23" t="str">
        <f t="shared" si="69"/>
        <v>ingen</v>
      </c>
      <c r="AB48" s="23"/>
      <c r="AC48" s="35" t="s">
        <v>2</v>
      </c>
      <c r="AD48" s="6">
        <v>823</v>
      </c>
      <c r="AE48" s="6">
        <f>822047+600000</f>
        <v>1422047</v>
      </c>
      <c r="AF48" s="6">
        <v>813190</v>
      </c>
      <c r="AG48" s="6">
        <v>2</v>
      </c>
      <c r="AH48" s="6">
        <v>0</v>
      </c>
      <c r="AI48" s="6">
        <v>0</v>
      </c>
      <c r="AJ48" s="6">
        <v>0</v>
      </c>
      <c r="AK48" s="6">
        <v>0</v>
      </c>
      <c r="AL48" s="6">
        <v>83</v>
      </c>
      <c r="AM48" s="6">
        <f>79-5.318</f>
        <v>73.682</v>
      </c>
      <c r="AN48" s="6">
        <f>5.318</f>
        <v>5.318</v>
      </c>
      <c r="AO48" s="6">
        <v>0</v>
      </c>
      <c r="AP48" s="6">
        <v>2099</v>
      </c>
      <c r="AQ48" s="6">
        <f>2818-162</f>
        <v>2656</v>
      </c>
      <c r="AR48" s="6">
        <v>162</v>
      </c>
      <c r="AS48" s="6">
        <v>0</v>
      </c>
      <c r="AT48" s="6">
        <v>5148</v>
      </c>
      <c r="AU48" s="6">
        <f t="shared" si="70"/>
        <v>2</v>
      </c>
      <c r="AV48" s="6">
        <f t="shared" si="71"/>
        <v>0</v>
      </c>
      <c r="AW48" s="6">
        <f t="shared" si="72"/>
        <v>0</v>
      </c>
      <c r="AX48" s="6"/>
      <c r="AY48" s="6">
        <f t="shared" si="73"/>
        <v>1094835.393031347</v>
      </c>
      <c r="AZ48" s="6">
        <f t="shared" si="74"/>
        <v>1511754.0026319623</v>
      </c>
      <c r="BA48" s="6">
        <f t="shared" si="75"/>
        <v>106408</v>
      </c>
      <c r="BB48" s="6">
        <f t="shared" si="76"/>
        <v>1224916.12</v>
      </c>
      <c r="BC48" s="6">
        <f t="shared" si="77"/>
        <v>894210</v>
      </c>
      <c r="BD48" s="6">
        <f t="shared" si="78"/>
        <v>748004.4</v>
      </c>
      <c r="BE48" s="6">
        <v>36.51141856498791</v>
      </c>
      <c r="BF48" s="6">
        <f t="shared" si="79"/>
        <v>5580127.915663309</v>
      </c>
      <c r="BG48" s="6">
        <f t="shared" si="80"/>
        <v>6373652.986645924</v>
      </c>
      <c r="BH48" s="6"/>
      <c r="BK48" s="30" t="str">
        <f t="shared" si="81"/>
        <v>Halsnaes Forsyning A/S</v>
      </c>
      <c r="BL48" s="23">
        <f t="shared" si="82"/>
        <v>19.62025619445328</v>
      </c>
      <c r="BM48" s="23">
        <f t="shared" si="83"/>
        <v>27.091744588658955</v>
      </c>
      <c r="BN48" s="23">
        <f t="shared" si="84"/>
        <v>1.9069096911078838</v>
      </c>
      <c r="BO48" s="23">
        <f t="shared" si="85"/>
        <v>21.951398579263472</v>
      </c>
      <c r="BP48" s="23">
        <f t="shared" si="86"/>
        <v>16.024901463100335</v>
      </c>
      <c r="BQ48" s="23">
        <f t="shared" si="87"/>
        <v>13.404789483416076</v>
      </c>
      <c r="BR48" s="23"/>
      <c r="BS48" s="23">
        <f t="shared" si="88"/>
        <v>29.42969094651641</v>
      </c>
      <c r="BT48" s="23"/>
      <c r="BU48" s="23">
        <f t="shared" si="45"/>
        <v>-8.485366889514104</v>
      </c>
      <c r="BV48" s="23">
        <f t="shared" si="46"/>
        <v>4.704245190097918</v>
      </c>
      <c r="BW48" s="23">
        <f t="shared" si="47"/>
        <v>2.431355717883517</v>
      </c>
      <c r="BX48" s="23">
        <f t="shared" si="48"/>
        <v>1.8538904477047353</v>
      </c>
      <c r="BY48" s="23">
        <f t="shared" si="49"/>
        <v>-0.4384550522725803</v>
      </c>
      <c r="BZ48" s="23">
        <f t="shared" si="50"/>
        <v>-0.06566941389950287</v>
      </c>
      <c r="CA48" s="23"/>
      <c r="CB48" s="23">
        <f t="shared" si="51"/>
        <v>-0.5041244661720867</v>
      </c>
      <c r="CC48" s="23">
        <f t="shared" si="52"/>
        <v>0</v>
      </c>
    </row>
    <row r="49" spans="1:81" ht="15" customHeight="1">
      <c r="A49" s="1" t="s">
        <v>56</v>
      </c>
      <c r="B49" s="10">
        <v>9032382</v>
      </c>
      <c r="C49" s="10">
        <f t="shared" si="53"/>
        <v>9077543.909999998</v>
      </c>
      <c r="D49" s="10">
        <v>6280477</v>
      </c>
      <c r="E49" s="10">
        <v>3841081.029653734</v>
      </c>
      <c r="F49" s="23" t="str">
        <f t="shared" si="54"/>
        <v>ingen</v>
      </c>
      <c r="G49" s="10"/>
      <c r="H49" s="10">
        <f t="shared" si="55"/>
        <v>6280477</v>
      </c>
      <c r="I49" s="10"/>
      <c r="J49" s="10">
        <f t="shared" si="56"/>
        <v>4077129.4875387414</v>
      </c>
      <c r="K49" s="10">
        <f t="shared" si="57"/>
        <v>4266373.857307379</v>
      </c>
      <c r="L49" s="10"/>
      <c r="M49" s="10">
        <f t="shared" si="58"/>
        <v>5961272.5875387415</v>
      </c>
      <c r="N49" s="10">
        <f t="shared" si="59"/>
        <v>6150516.957307379</v>
      </c>
      <c r="P49" s="23">
        <f>'Potentialer og krav'!U49</f>
        <v>314023.85000000003</v>
      </c>
      <c r="Q49" s="10"/>
      <c r="R49" s="23">
        <f t="shared" si="60"/>
        <v>45161.91</v>
      </c>
      <c r="S49" s="23">
        <f t="shared" si="61"/>
        <v>208783.50992999997</v>
      </c>
      <c r="T49" s="23">
        <f t="shared" si="62"/>
        <v>2439395.970346266</v>
      </c>
      <c r="U49" s="23">
        <f t="shared" si="63"/>
        <v>144450.971</v>
      </c>
      <c r="V49" s="23">
        <f t="shared" si="64"/>
        <v>6424927.970999999</v>
      </c>
      <c r="W49" s="23">
        <f t="shared" si="65"/>
        <v>9286327.419929998</v>
      </c>
      <c r="X49" s="23">
        <f t="shared" si="66"/>
        <v>144450.971</v>
      </c>
      <c r="Y49" s="23">
        <f t="shared" si="67"/>
        <v>6424927.970999999</v>
      </c>
      <c r="Z49" s="23">
        <f t="shared" si="68"/>
        <v>2861399.448929999</v>
      </c>
      <c r="AA49" s="23" t="str">
        <f t="shared" si="69"/>
        <v>ingen</v>
      </c>
      <c r="AB49" s="23"/>
      <c r="AC49" s="35" t="s">
        <v>56</v>
      </c>
      <c r="AD49" s="6">
        <v>210</v>
      </c>
      <c r="AE49" s="6">
        <v>535927</v>
      </c>
      <c r="AF49" s="52">
        <v>519223</v>
      </c>
      <c r="AG49" s="53">
        <v>0</v>
      </c>
      <c r="AH49" s="53">
        <v>0</v>
      </c>
      <c r="AI49" s="6">
        <v>0</v>
      </c>
      <c r="AJ49" s="6">
        <v>0</v>
      </c>
      <c r="AK49" s="6">
        <v>0</v>
      </c>
      <c r="AL49" s="6">
        <v>75</v>
      </c>
      <c r="AM49" s="6">
        <v>103</v>
      </c>
      <c r="AN49" s="6">
        <v>0</v>
      </c>
      <c r="AO49" s="6">
        <v>0</v>
      </c>
      <c r="AP49" s="6">
        <v>3783</v>
      </c>
      <c r="AQ49" s="6">
        <v>1570</v>
      </c>
      <c r="AR49" s="6">
        <v>0</v>
      </c>
      <c r="AS49" s="6">
        <v>0</v>
      </c>
      <c r="AT49" s="6">
        <v>5353</v>
      </c>
      <c r="AU49" s="6">
        <f t="shared" si="70"/>
        <v>0</v>
      </c>
      <c r="AV49" s="6">
        <f t="shared" si="71"/>
        <v>0</v>
      </c>
      <c r="AW49" s="6">
        <f t="shared" si="72"/>
        <v>0</v>
      </c>
      <c r="AX49" s="6"/>
      <c r="AY49" s="6">
        <f t="shared" si="73"/>
        <v>361000.8633839438</v>
      </c>
      <c r="AZ49" s="6">
        <f t="shared" si="74"/>
        <v>953207.7241547976</v>
      </c>
      <c r="BA49" s="6">
        <f t="shared" si="75"/>
        <v>0</v>
      </c>
      <c r="BB49" s="6">
        <f t="shared" si="76"/>
        <v>1075120.0000000002</v>
      </c>
      <c r="BC49" s="6">
        <f t="shared" si="77"/>
        <v>910010</v>
      </c>
      <c r="BD49" s="6">
        <f t="shared" si="78"/>
        <v>777790.9</v>
      </c>
      <c r="BE49" s="6">
        <v>31.18978224</v>
      </c>
      <c r="BF49" s="6">
        <f t="shared" si="79"/>
        <v>4077129.4875387414</v>
      </c>
      <c r="BG49" s="6">
        <f t="shared" si="80"/>
        <v>4266373.857307379</v>
      </c>
      <c r="BH49" s="6"/>
      <c r="BK49" s="30" t="str">
        <f t="shared" si="81"/>
        <v>Halsnæs Vandforsyning a.m.b.a.</v>
      </c>
      <c r="BL49" s="23">
        <f t="shared" si="82"/>
        <v>8.854289874464369</v>
      </c>
      <c r="BM49" s="23">
        <f t="shared" si="83"/>
        <v>23.379383143659357</v>
      </c>
      <c r="BN49" s="23">
        <f t="shared" si="84"/>
        <v>0</v>
      </c>
      <c r="BO49" s="23">
        <f t="shared" si="85"/>
        <v>26.36953286094974</v>
      </c>
      <c r="BP49" s="23">
        <f t="shared" si="86"/>
        <v>22.319869966880784</v>
      </c>
      <c r="BQ49" s="23">
        <f t="shared" si="87"/>
        <v>19.076924154045756</v>
      </c>
      <c r="BR49" s="23"/>
      <c r="BS49" s="23">
        <f t="shared" si="88"/>
        <v>41.39679412092654</v>
      </c>
      <c r="BT49" s="23"/>
      <c r="BU49" s="23">
        <f t="shared" si="45"/>
        <v>2.2805994304748065</v>
      </c>
      <c r="BV49" s="23">
        <f t="shared" si="46"/>
        <v>8.416606635097516</v>
      </c>
      <c r="BW49" s="23">
        <f t="shared" si="47"/>
        <v>4.338265408991401</v>
      </c>
      <c r="BX49" s="23">
        <f t="shared" si="48"/>
        <v>-2.564243833981532</v>
      </c>
      <c r="BY49" s="23">
        <f t="shared" si="49"/>
        <v>-6.73342355605303</v>
      </c>
      <c r="BZ49" s="23">
        <f t="shared" si="50"/>
        <v>-5.7378040845291824</v>
      </c>
      <c r="CA49" s="23"/>
      <c r="CB49" s="23">
        <f t="shared" si="51"/>
        <v>-12.47122764058222</v>
      </c>
      <c r="CC49" s="23">
        <f t="shared" si="52"/>
        <v>-1.1958001686970932</v>
      </c>
    </row>
    <row r="50" spans="1:81" ht="15" customHeight="1">
      <c r="A50" s="1" t="s">
        <v>57</v>
      </c>
      <c r="B50" s="10">
        <v>1766359</v>
      </c>
      <c r="C50" s="10">
        <f t="shared" si="53"/>
        <v>1775190.795</v>
      </c>
      <c r="D50" s="10">
        <v>1523432.584268</v>
      </c>
      <c r="E50" s="10">
        <v>423372.2315801843</v>
      </c>
      <c r="F50" s="23" t="str">
        <f t="shared" si="54"/>
        <v>ingen</v>
      </c>
      <c r="G50" s="3"/>
      <c r="H50" s="10">
        <f t="shared" si="55"/>
        <v>1523432.584268</v>
      </c>
      <c r="I50" s="10"/>
      <c r="J50" s="10">
        <f t="shared" si="56"/>
        <v>1856405.2785179876</v>
      </c>
      <c r="K50" s="10">
        <f t="shared" si="57"/>
        <v>1789632.8394213587</v>
      </c>
      <c r="L50" s="10"/>
      <c r="M50" s="10">
        <f t="shared" si="58"/>
        <v>2313435.0537983878</v>
      </c>
      <c r="N50" s="10">
        <f t="shared" si="59"/>
        <v>2246662.6147017586</v>
      </c>
      <c r="P50" s="23">
        <f>'Potentialer og krav'!U50</f>
        <v>19068.424224354312</v>
      </c>
      <c r="Q50" s="10"/>
      <c r="R50" s="23">
        <f t="shared" si="60"/>
        <v>8831.795</v>
      </c>
      <c r="S50" s="23">
        <f t="shared" si="61"/>
        <v>40829.388285</v>
      </c>
      <c r="T50" s="23">
        <f t="shared" si="62"/>
        <v>1100060.3526878157</v>
      </c>
      <c r="U50" s="23">
        <f t="shared" si="63"/>
        <v>35038.949438163996</v>
      </c>
      <c r="V50" s="23">
        <f t="shared" si="64"/>
        <v>1558471.5337061638</v>
      </c>
      <c r="W50" s="23">
        <f t="shared" si="65"/>
        <v>1816020.1832849998</v>
      </c>
      <c r="X50" s="23">
        <f t="shared" si="66"/>
        <v>35038.949438163996</v>
      </c>
      <c r="Y50" s="23">
        <f t="shared" si="67"/>
        <v>1558471.5337061638</v>
      </c>
      <c r="Z50" s="23">
        <f t="shared" si="68"/>
        <v>257548.64957883605</v>
      </c>
      <c r="AA50" s="23" t="str">
        <f t="shared" si="69"/>
        <v>ingen</v>
      </c>
      <c r="AB50" s="23"/>
      <c r="AC50" s="35" t="s">
        <v>57</v>
      </c>
      <c r="AD50" s="6">
        <v>472</v>
      </c>
      <c r="AE50" s="6">
        <v>328129</v>
      </c>
      <c r="AF50" s="6">
        <v>298122</v>
      </c>
      <c r="AG50" s="6">
        <v>1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53</v>
      </c>
      <c r="AN50" s="6">
        <v>0</v>
      </c>
      <c r="AO50" s="6">
        <v>0</v>
      </c>
      <c r="AP50" s="6">
        <v>0</v>
      </c>
      <c r="AQ50" s="6">
        <v>1818</v>
      </c>
      <c r="AR50" s="6">
        <v>0</v>
      </c>
      <c r="AS50" s="6">
        <v>0</v>
      </c>
      <c r="AT50" s="6">
        <v>2467</v>
      </c>
      <c r="AU50" s="6">
        <f t="shared" si="70"/>
        <v>1</v>
      </c>
      <c r="AV50" s="6">
        <f t="shared" si="71"/>
        <v>0</v>
      </c>
      <c r="AW50" s="6">
        <f t="shared" si="72"/>
        <v>0</v>
      </c>
      <c r="AX50" s="6"/>
      <c r="AY50" s="6">
        <f t="shared" si="73"/>
        <v>276700.18181691866</v>
      </c>
      <c r="AZ50" s="6">
        <f t="shared" si="74"/>
        <v>538865.9967010688</v>
      </c>
      <c r="BA50" s="6">
        <f t="shared" si="75"/>
        <v>53204</v>
      </c>
      <c r="BB50" s="6">
        <f t="shared" si="76"/>
        <v>320120</v>
      </c>
      <c r="BC50" s="6">
        <f t="shared" si="77"/>
        <v>309060</v>
      </c>
      <c r="BD50" s="6">
        <f t="shared" si="78"/>
        <v>358455.10000000003</v>
      </c>
      <c r="BE50" s="6">
        <v>26.61285136</v>
      </c>
      <c r="BF50" s="6">
        <f t="shared" si="79"/>
        <v>1856405.2785179876</v>
      </c>
      <c r="BG50" s="6">
        <f t="shared" si="80"/>
        <v>1789632.8394213587</v>
      </c>
      <c r="BH50" s="6"/>
      <c r="BK50" s="30" t="str">
        <f t="shared" si="81"/>
        <v>Hasselager-Kolt Vandværk A.M.B.A.</v>
      </c>
      <c r="BL50" s="23">
        <f t="shared" si="82"/>
        <v>14.905160258853337</v>
      </c>
      <c r="BM50" s="23">
        <f t="shared" si="83"/>
        <v>29.027389812813848</v>
      </c>
      <c r="BN50" s="23">
        <f t="shared" si="84"/>
        <v>2.865969010951855</v>
      </c>
      <c r="BO50" s="23">
        <f t="shared" si="85"/>
        <v>17.244079388502893</v>
      </c>
      <c r="BP50" s="23">
        <f t="shared" si="86"/>
        <v>16.64830431029209</v>
      </c>
      <c r="BQ50" s="23">
        <f t="shared" si="87"/>
        <v>19.30909721858598</v>
      </c>
      <c r="BR50" s="23"/>
      <c r="BS50" s="23">
        <f t="shared" si="88"/>
        <v>35.957401528878066</v>
      </c>
      <c r="BT50" s="23"/>
      <c r="BU50" s="23">
        <f t="shared" si="45"/>
        <v>-3.770270953914162</v>
      </c>
      <c r="BV50" s="23">
        <f t="shared" si="46"/>
        <v>2.768599965943025</v>
      </c>
      <c r="BW50" s="23">
        <f t="shared" si="47"/>
        <v>1.4722963980395454</v>
      </c>
      <c r="BX50" s="23">
        <f t="shared" si="48"/>
        <v>6.561209638465314</v>
      </c>
      <c r="BY50" s="23">
        <f t="shared" si="49"/>
        <v>-1.0618578994643357</v>
      </c>
      <c r="BZ50" s="23">
        <f t="shared" si="50"/>
        <v>-5.969977149069406</v>
      </c>
      <c r="CA50" s="23"/>
      <c r="CB50" s="23">
        <f t="shared" si="51"/>
        <v>-7.031835048533743</v>
      </c>
      <c r="CC50" s="23">
        <f t="shared" si="52"/>
        <v>0</v>
      </c>
    </row>
    <row r="51" spans="1:81" ht="15" customHeight="1">
      <c r="A51" s="1" t="s">
        <v>58</v>
      </c>
      <c r="B51" s="10">
        <v>982611</v>
      </c>
      <c r="C51" s="10">
        <f t="shared" si="53"/>
        <v>987524.0549999999</v>
      </c>
      <c r="D51" s="10">
        <v>1029723.0835962</v>
      </c>
      <c r="E51" s="10">
        <v>0</v>
      </c>
      <c r="F51" s="23">
        <f t="shared" si="54"/>
        <v>42199.02859620005</v>
      </c>
      <c r="G51" s="3"/>
      <c r="H51" s="10">
        <f>IF(F51="ingen",D51,IF(E51&lt;F51,D51-E51,C51))</f>
        <v>1029723.0835962</v>
      </c>
      <c r="I51" s="10"/>
      <c r="J51" s="10">
        <f t="shared" si="56"/>
        <v>2688267.784513859</v>
      </c>
      <c r="K51" s="10">
        <f t="shared" si="57"/>
        <v>2769873.3075799607</v>
      </c>
      <c r="L51" s="10"/>
      <c r="M51" s="10">
        <f t="shared" si="58"/>
        <v>2997184.709592719</v>
      </c>
      <c r="N51" s="10">
        <f t="shared" si="59"/>
        <v>3078790.2326588207</v>
      </c>
      <c r="P51" s="23">
        <f>'Potentialer og krav'!U51</f>
        <v>0</v>
      </c>
      <c r="Q51" s="10"/>
      <c r="R51" s="23">
        <f t="shared" si="60"/>
        <v>4913.055</v>
      </c>
      <c r="S51" s="23">
        <f t="shared" si="61"/>
        <v>22713.053265</v>
      </c>
      <c r="T51" s="23">
        <f t="shared" si="62"/>
        <v>1029723.0835962</v>
      </c>
      <c r="U51" s="23">
        <f t="shared" si="63"/>
        <v>23683.6309227126</v>
      </c>
      <c r="V51" s="23">
        <f t="shared" si="64"/>
        <v>1053406.7145189126</v>
      </c>
      <c r="W51" s="23">
        <f t="shared" si="65"/>
        <v>1010237.1082649998</v>
      </c>
      <c r="X51" s="23">
        <f t="shared" si="66"/>
        <v>23683.6309227126</v>
      </c>
      <c r="Y51" s="23">
        <f t="shared" si="67"/>
        <v>1053406.7145189126</v>
      </c>
      <c r="Z51" s="23">
        <f t="shared" si="68"/>
        <v>-43169.60625391279</v>
      </c>
      <c r="AA51" s="23">
        <f t="shared" si="69"/>
        <v>0</v>
      </c>
      <c r="AB51" s="23"/>
      <c r="AC51" s="35" t="s">
        <v>58</v>
      </c>
      <c r="AD51" s="6">
        <v>15</v>
      </c>
      <c r="AE51" s="6">
        <v>547837</v>
      </c>
      <c r="AF51" s="6">
        <v>537931</v>
      </c>
      <c r="AG51" s="6">
        <v>1</v>
      </c>
      <c r="AH51" s="6"/>
      <c r="AI51" s="6"/>
      <c r="AJ51" s="6"/>
      <c r="AK51" s="6"/>
      <c r="AL51" s="6">
        <v>150</v>
      </c>
      <c r="AM51" s="6">
        <v>15</v>
      </c>
      <c r="AN51" s="6"/>
      <c r="AO51" s="6"/>
      <c r="AP51" s="6">
        <v>300</v>
      </c>
      <c r="AQ51" s="6">
        <v>1050</v>
      </c>
      <c r="AR51" s="6"/>
      <c r="AS51" s="6"/>
      <c r="AT51" s="6">
        <v>1380</v>
      </c>
      <c r="AU51" s="6">
        <f t="shared" si="70"/>
        <v>1</v>
      </c>
      <c r="AV51" s="6">
        <f t="shared" si="71"/>
        <v>0</v>
      </c>
      <c r="AW51" s="6">
        <f t="shared" si="72"/>
        <v>0</v>
      </c>
      <c r="AX51" s="6"/>
      <c r="AY51" s="6">
        <f t="shared" si="73"/>
        <v>219918.0005685625</v>
      </c>
      <c r="AZ51" s="6">
        <f t="shared" si="74"/>
        <v>988531.7839452968</v>
      </c>
      <c r="BA51" s="6">
        <f t="shared" si="75"/>
        <v>53204</v>
      </c>
      <c r="BB51" s="6">
        <f t="shared" si="76"/>
        <v>996600</v>
      </c>
      <c r="BC51" s="6">
        <f t="shared" si="77"/>
        <v>229500</v>
      </c>
      <c r="BD51" s="6">
        <f t="shared" si="78"/>
        <v>200514.00000000003</v>
      </c>
      <c r="BE51" s="6">
        <v>30.29756519</v>
      </c>
      <c r="BF51" s="6">
        <f t="shared" si="79"/>
        <v>2688267.784513859</v>
      </c>
      <c r="BG51" s="6">
        <f t="shared" si="80"/>
        <v>2769873.3075799607</v>
      </c>
      <c r="BH51" s="6"/>
      <c r="BK51" s="30" t="str">
        <f t="shared" si="81"/>
        <v>Helle Vest Vandværk</v>
      </c>
      <c r="BL51" s="23">
        <f t="shared" si="82"/>
        <v>8.180658260141744</v>
      </c>
      <c r="BM51" s="23">
        <f t="shared" si="83"/>
        <v>36.77207269453853</v>
      </c>
      <c r="BN51" s="23">
        <f t="shared" si="84"/>
        <v>1.9791183120405282</v>
      </c>
      <c r="BO51" s="23">
        <f t="shared" si="85"/>
        <v>37.072199642500394</v>
      </c>
      <c r="BP51" s="23">
        <f t="shared" si="86"/>
        <v>8.537095944163998</v>
      </c>
      <c r="BQ51" s="23">
        <f t="shared" si="87"/>
        <v>7.458855146614815</v>
      </c>
      <c r="BR51" s="23"/>
      <c r="BS51" s="23">
        <f t="shared" si="88"/>
        <v>15.995951090778814</v>
      </c>
      <c r="BT51" s="23"/>
      <c r="BU51" s="23">
        <f t="shared" si="45"/>
        <v>2.9542310447974316</v>
      </c>
      <c r="BV51" s="23">
        <f t="shared" si="46"/>
        <v>-4.976082915781657</v>
      </c>
      <c r="BW51" s="23">
        <f t="shared" si="47"/>
        <v>2.3591470969508723</v>
      </c>
      <c r="BX51" s="23">
        <f t="shared" si="48"/>
        <v>-13.266910615532186</v>
      </c>
      <c r="BY51" s="23">
        <f t="shared" si="49"/>
        <v>7.049350466663757</v>
      </c>
      <c r="BZ51" s="23">
        <f t="shared" si="50"/>
        <v>5.880264922901758</v>
      </c>
      <c r="CA51" s="23"/>
      <c r="CB51" s="23">
        <f t="shared" si="51"/>
        <v>12.929615389565509</v>
      </c>
      <c r="CC51" s="23">
        <f t="shared" si="52"/>
        <v>0</v>
      </c>
    </row>
    <row r="52" spans="1:81" ht="15" customHeight="1">
      <c r="A52" s="1" t="s">
        <v>238</v>
      </c>
      <c r="B52" s="10">
        <v>10729635</v>
      </c>
      <c r="C52" s="10">
        <f t="shared" si="53"/>
        <v>10783283.174999999</v>
      </c>
      <c r="D52" s="10">
        <v>8653481.997267332</v>
      </c>
      <c r="E52" s="10">
        <v>5674930.895227737</v>
      </c>
      <c r="F52" s="23" t="str">
        <f t="shared" si="54"/>
        <v>ingen</v>
      </c>
      <c r="G52" s="3"/>
      <c r="H52" s="10">
        <f t="shared" si="55"/>
        <v>8653481.997267332</v>
      </c>
      <c r="I52" s="10"/>
      <c r="J52" s="10">
        <f t="shared" si="56"/>
        <v>4651839.8</v>
      </c>
      <c r="K52" s="10">
        <f t="shared" si="57"/>
        <v>5578554.878328372</v>
      </c>
      <c r="L52" s="10"/>
      <c r="M52" s="10">
        <f t="shared" si="58"/>
        <v>7247884.3991802</v>
      </c>
      <c r="N52" s="10">
        <f t="shared" si="59"/>
        <v>8174599.477508571</v>
      </c>
      <c r="P52" s="23">
        <f>'Potentialer og krav'!U52</f>
        <v>432674.09986336663</v>
      </c>
      <c r="Q52" s="10"/>
      <c r="R52" s="23">
        <f t="shared" si="60"/>
        <v>53648.175</v>
      </c>
      <c r="S52" s="23">
        <f t="shared" si="61"/>
        <v>248015.51302499996</v>
      </c>
      <c r="T52" s="23">
        <f t="shared" si="62"/>
        <v>2978551.102039595</v>
      </c>
      <c r="U52" s="23">
        <f t="shared" si="63"/>
        <v>199030.08593714863</v>
      </c>
      <c r="V52" s="23">
        <f t="shared" si="64"/>
        <v>8852512.08320448</v>
      </c>
      <c r="W52" s="23">
        <f t="shared" si="65"/>
        <v>11031298.688024998</v>
      </c>
      <c r="X52" s="23">
        <f t="shared" si="66"/>
        <v>199030.08593714863</v>
      </c>
      <c r="Y52" s="23">
        <f t="shared" si="67"/>
        <v>8852512.08320448</v>
      </c>
      <c r="Z52" s="23">
        <f t="shared" si="68"/>
        <v>2178786.604820518</v>
      </c>
      <c r="AA52" s="23" t="str">
        <f t="shared" si="69"/>
        <v>ingen</v>
      </c>
      <c r="AB52" s="23"/>
      <c r="AC52" s="35" t="s">
        <v>59</v>
      </c>
      <c r="AD52" s="6">
        <v>0</v>
      </c>
      <c r="AE52" s="6">
        <v>0</v>
      </c>
      <c r="AF52" s="6">
        <v>0</v>
      </c>
      <c r="AG52" s="6">
        <v>0</v>
      </c>
      <c r="AH52" s="6">
        <v>2</v>
      </c>
      <c r="AI52" s="6">
        <v>1</v>
      </c>
      <c r="AJ52" s="6">
        <v>4</v>
      </c>
      <c r="AK52" s="6">
        <v>1</v>
      </c>
      <c r="AL52" s="6">
        <v>7</v>
      </c>
      <c r="AM52" s="6">
        <v>88</v>
      </c>
      <c r="AN52" s="6">
        <v>21</v>
      </c>
      <c r="AO52" s="6">
        <v>0</v>
      </c>
      <c r="AP52" s="6">
        <v>137</v>
      </c>
      <c r="AQ52" s="6">
        <v>4255</v>
      </c>
      <c r="AR52" s="6">
        <v>602</v>
      </c>
      <c r="AS52" s="6">
        <v>0</v>
      </c>
      <c r="AT52" s="6">
        <v>5286</v>
      </c>
      <c r="AU52" s="6">
        <f t="shared" si="70"/>
        <v>2</v>
      </c>
      <c r="AV52" s="6">
        <f t="shared" si="71"/>
        <v>5</v>
      </c>
      <c r="AW52" s="6">
        <f t="shared" si="72"/>
        <v>1</v>
      </c>
      <c r="AX52" s="6"/>
      <c r="AY52" s="6">
        <f t="shared" si="73"/>
        <v>0</v>
      </c>
      <c r="AZ52" s="6">
        <f t="shared" si="74"/>
        <v>0</v>
      </c>
      <c r="BA52" s="6">
        <f t="shared" si="75"/>
        <v>1144304</v>
      </c>
      <c r="BB52" s="6">
        <f t="shared" si="76"/>
        <v>1673780</v>
      </c>
      <c r="BC52" s="6">
        <f t="shared" si="77"/>
        <v>1065700</v>
      </c>
      <c r="BD52" s="6">
        <f t="shared" si="78"/>
        <v>768055.8</v>
      </c>
      <c r="BE52" s="6">
        <v>39.67859693</v>
      </c>
      <c r="BF52" s="6">
        <f t="shared" si="79"/>
        <v>4651839.8</v>
      </c>
      <c r="BG52" s="6">
        <f t="shared" si="80"/>
        <v>5578554.878328372</v>
      </c>
      <c r="BH52" s="6"/>
      <c r="BK52" s="30" t="str">
        <f t="shared" si="81"/>
        <v>Herlev Vand A/S</v>
      </c>
      <c r="BL52" s="23">
        <f t="shared" si="82"/>
        <v>0</v>
      </c>
      <c r="BM52" s="23">
        <f t="shared" si="83"/>
        <v>0</v>
      </c>
      <c r="BN52" s="23">
        <f t="shared" si="84"/>
        <v>24.59895544984159</v>
      </c>
      <c r="BO52" s="23">
        <f t="shared" si="85"/>
        <v>35.981032708822</v>
      </c>
      <c r="BP52" s="23">
        <f t="shared" si="86"/>
        <v>22.909215403333537</v>
      </c>
      <c r="BQ52" s="23">
        <f t="shared" si="87"/>
        <v>16.510796438002874</v>
      </c>
      <c r="BR52" s="23"/>
      <c r="BS52" s="23">
        <f t="shared" si="88"/>
        <v>39.42001184133641</v>
      </c>
      <c r="BT52" s="23"/>
      <c r="BU52" s="23">
        <f t="shared" si="45"/>
        <v>11.134889304939176</v>
      </c>
      <c r="BV52" s="23">
        <f t="shared" si="46"/>
        <v>31.795989778756873</v>
      </c>
      <c r="BW52" s="23">
        <f t="shared" si="47"/>
        <v>-20.26069004085019</v>
      </c>
      <c r="BX52" s="23">
        <f t="shared" si="48"/>
        <v>-12.175743681853792</v>
      </c>
      <c r="BY52" s="23">
        <f t="shared" si="49"/>
        <v>-7.322768992505782</v>
      </c>
      <c r="BZ52" s="23">
        <f t="shared" si="50"/>
        <v>-3.1716763684863007</v>
      </c>
      <c r="CA52" s="23"/>
      <c r="CB52" s="23">
        <f t="shared" si="51"/>
        <v>-10.494445360992088</v>
      </c>
      <c r="CC52" s="23">
        <f t="shared" si="52"/>
        <v>-0.2825267555264521</v>
      </c>
    </row>
    <row r="53" spans="1:81" ht="15" customHeight="1">
      <c r="A53" s="1" t="s">
        <v>60</v>
      </c>
      <c r="B53" s="10">
        <v>10236210</v>
      </c>
      <c r="C53" s="10">
        <f t="shared" si="53"/>
        <v>10287391.049999999</v>
      </c>
      <c r="D53" s="10">
        <v>10183919.5401776</v>
      </c>
      <c r="E53" s="10">
        <v>5691757.338923322</v>
      </c>
      <c r="F53" s="23" t="str">
        <f t="shared" si="54"/>
        <v>ingen</v>
      </c>
      <c r="G53" s="3"/>
      <c r="H53" s="10">
        <f t="shared" si="55"/>
        <v>10183919.5401776</v>
      </c>
      <c r="I53" s="10"/>
      <c r="J53" s="10">
        <f t="shared" si="56"/>
        <v>7360097.546113996</v>
      </c>
      <c r="K53" s="10">
        <f t="shared" si="57"/>
        <v>8023919.012043066</v>
      </c>
      <c r="L53" s="10"/>
      <c r="M53" s="10">
        <f t="shared" si="58"/>
        <v>10415273.408167277</v>
      </c>
      <c r="N53" s="10">
        <f t="shared" si="59"/>
        <v>11079094.874096347</v>
      </c>
      <c r="P53" s="23">
        <f>'Potentialer og krav'!U53</f>
        <v>509195.97700888006</v>
      </c>
      <c r="Q53" s="10"/>
      <c r="R53" s="23">
        <f t="shared" si="60"/>
        <v>51181.05</v>
      </c>
      <c r="S53" s="23">
        <f t="shared" si="61"/>
        <v>236609.99414999998</v>
      </c>
      <c r="T53" s="23">
        <f t="shared" si="62"/>
        <v>4492162.201254278</v>
      </c>
      <c r="U53" s="23">
        <f t="shared" si="63"/>
        <v>234230.1494240848</v>
      </c>
      <c r="V53" s="23">
        <f t="shared" si="64"/>
        <v>10418149.689601684</v>
      </c>
      <c r="W53" s="23">
        <f t="shared" si="65"/>
        <v>10524001.044149999</v>
      </c>
      <c r="X53" s="23">
        <f t="shared" si="66"/>
        <v>234230.1494240848</v>
      </c>
      <c r="Y53" s="23">
        <f t="shared" si="67"/>
        <v>10418149.689601684</v>
      </c>
      <c r="Z53" s="23">
        <f t="shared" si="68"/>
        <v>105851.35454831459</v>
      </c>
      <c r="AA53" s="23" t="str">
        <f t="shared" si="69"/>
        <v>ingen</v>
      </c>
      <c r="AB53" s="23"/>
      <c r="AC53" s="35" t="s">
        <v>60</v>
      </c>
      <c r="AD53" s="6">
        <v>992</v>
      </c>
      <c r="AE53" s="6">
        <v>1655735</v>
      </c>
      <c r="AF53" s="6">
        <v>1619483</v>
      </c>
      <c r="AG53" s="6"/>
      <c r="AH53" s="6">
        <v>5</v>
      </c>
      <c r="AI53" s="6"/>
      <c r="AJ53" s="6"/>
      <c r="AK53" s="6"/>
      <c r="AL53" s="6">
        <v>38</v>
      </c>
      <c r="AM53" s="6">
        <v>138</v>
      </c>
      <c r="AN53" s="6"/>
      <c r="AO53" s="6"/>
      <c r="AP53" s="6">
        <v>206</v>
      </c>
      <c r="AQ53" s="6">
        <v>4342</v>
      </c>
      <c r="AR53" s="6"/>
      <c r="AS53" s="6"/>
      <c r="AT53" s="6">
        <v>6150</v>
      </c>
      <c r="AU53" s="6">
        <f t="shared" si="70"/>
        <v>5</v>
      </c>
      <c r="AV53" s="6">
        <f t="shared" si="71"/>
        <v>0</v>
      </c>
      <c r="AW53" s="6">
        <f t="shared" si="72"/>
        <v>0</v>
      </c>
      <c r="AX53" s="6"/>
      <c r="AY53" s="6">
        <f t="shared" si="73"/>
        <v>1294959.124257747</v>
      </c>
      <c r="AZ53" s="6">
        <f t="shared" si="74"/>
        <v>3069323.421856249</v>
      </c>
      <c r="BA53" s="6">
        <f t="shared" si="75"/>
        <v>266020</v>
      </c>
      <c r="BB53" s="6">
        <f t="shared" si="76"/>
        <v>1063040</v>
      </c>
      <c r="BC53" s="6">
        <f t="shared" si="77"/>
        <v>773160</v>
      </c>
      <c r="BD53" s="6">
        <f t="shared" si="78"/>
        <v>893595.0000000001</v>
      </c>
      <c r="BE53" s="6">
        <v>33.62177436636433</v>
      </c>
      <c r="BF53" s="6">
        <f t="shared" si="79"/>
        <v>7360097.546113996</v>
      </c>
      <c r="BG53" s="6">
        <f t="shared" si="80"/>
        <v>8023919.012043066</v>
      </c>
      <c r="BH53" s="6"/>
      <c r="BK53" s="30" t="str">
        <f t="shared" si="81"/>
        <v>Hillerød Vand A/S</v>
      </c>
      <c r="BL53" s="23">
        <f t="shared" si="82"/>
        <v>17.59432013155129</v>
      </c>
      <c r="BM53" s="23">
        <f t="shared" si="83"/>
        <v>41.70221118165477</v>
      </c>
      <c r="BN53" s="23">
        <f t="shared" si="84"/>
        <v>3.6143542708948733</v>
      </c>
      <c r="BO53" s="23">
        <f t="shared" si="85"/>
        <v>14.443286836072799</v>
      </c>
      <c r="BP53" s="23">
        <f t="shared" si="86"/>
        <v>10.504752079110895</v>
      </c>
      <c r="BQ53" s="23">
        <f t="shared" si="87"/>
        <v>12.14107550071538</v>
      </c>
      <c r="BR53" s="23"/>
      <c r="BS53" s="23">
        <f t="shared" si="88"/>
        <v>22.645827579826275</v>
      </c>
      <c r="BT53" s="23"/>
      <c r="BU53" s="23">
        <f t="shared" si="45"/>
        <v>-6.459430826612113</v>
      </c>
      <c r="BV53" s="23">
        <f t="shared" si="46"/>
        <v>-9.906221402897895</v>
      </c>
      <c r="BW53" s="23">
        <f t="shared" si="47"/>
        <v>0.7239111380965273</v>
      </c>
      <c r="BX53" s="23">
        <f t="shared" si="48"/>
        <v>9.362002190895408</v>
      </c>
      <c r="BY53" s="23">
        <f t="shared" si="49"/>
        <v>5.081694331716859</v>
      </c>
      <c r="BZ53" s="23">
        <f t="shared" si="50"/>
        <v>1.198044568801194</v>
      </c>
      <c r="CA53" s="23"/>
      <c r="CB53" s="23">
        <f t="shared" si="51"/>
        <v>6.279738900518048</v>
      </c>
      <c r="CC53" s="23">
        <f t="shared" si="52"/>
        <v>0</v>
      </c>
    </row>
    <row r="54" spans="1:81" ht="15" customHeight="1">
      <c r="A54" s="1" t="s">
        <v>61</v>
      </c>
      <c r="B54" s="10">
        <v>1769138</v>
      </c>
      <c r="C54" s="10">
        <f t="shared" si="53"/>
        <v>1777983.6899999997</v>
      </c>
      <c r="D54" s="10">
        <v>1668992</v>
      </c>
      <c r="E54" s="10">
        <v>86422.95752558605</v>
      </c>
      <c r="F54" s="23" t="str">
        <f t="shared" si="54"/>
        <v>ingen</v>
      </c>
      <c r="G54" s="3"/>
      <c r="H54" s="10">
        <f t="shared" si="55"/>
        <v>1668992</v>
      </c>
      <c r="I54" s="10"/>
      <c r="J54" s="10">
        <f t="shared" si="56"/>
        <v>2670661.2539315643</v>
      </c>
      <c r="K54" s="10">
        <f t="shared" si="57"/>
        <v>2562464.095057945</v>
      </c>
      <c r="L54" s="10"/>
      <c r="M54" s="10">
        <f t="shared" si="58"/>
        <v>3171358.8539315644</v>
      </c>
      <c r="N54" s="10">
        <f t="shared" si="59"/>
        <v>3063161.695057945</v>
      </c>
      <c r="P54" s="23">
        <f>'Potentialer og krav'!U54</f>
        <v>0</v>
      </c>
      <c r="Q54" s="10"/>
      <c r="R54" s="23">
        <f t="shared" si="60"/>
        <v>8845.69</v>
      </c>
      <c r="S54" s="23">
        <f t="shared" si="61"/>
        <v>40893.62486999999</v>
      </c>
      <c r="T54" s="23">
        <f t="shared" si="62"/>
        <v>1582569.042474414</v>
      </c>
      <c r="U54" s="23">
        <f t="shared" si="63"/>
        <v>38386.816</v>
      </c>
      <c r="V54" s="23">
        <f t="shared" si="64"/>
        <v>1707378.8159999999</v>
      </c>
      <c r="W54" s="23">
        <f t="shared" si="65"/>
        <v>1818877.3148699997</v>
      </c>
      <c r="X54" s="23">
        <f t="shared" si="66"/>
        <v>38386.816</v>
      </c>
      <c r="Y54" s="23">
        <f t="shared" si="67"/>
        <v>1707378.8159999999</v>
      </c>
      <c r="Z54" s="23">
        <f t="shared" si="68"/>
        <v>111498.49886999978</v>
      </c>
      <c r="AA54" s="23" t="str">
        <f t="shared" si="69"/>
        <v>ingen</v>
      </c>
      <c r="AB54" s="23"/>
      <c r="AC54" s="35" t="s">
        <v>61</v>
      </c>
      <c r="AD54" s="6">
        <v>154</v>
      </c>
      <c r="AE54" s="6">
        <v>377774</v>
      </c>
      <c r="AF54" s="6">
        <v>343431</v>
      </c>
      <c r="AG54" s="6">
        <v>12</v>
      </c>
      <c r="AH54" s="6"/>
      <c r="AI54" s="6"/>
      <c r="AJ54" s="6"/>
      <c r="AK54" s="6"/>
      <c r="AL54" s="6">
        <v>6</v>
      </c>
      <c r="AM54" s="6">
        <v>61</v>
      </c>
      <c r="AN54" s="6"/>
      <c r="AO54" s="6"/>
      <c r="AP54" s="6">
        <v>26</v>
      </c>
      <c r="AQ54" s="6">
        <v>2357</v>
      </c>
      <c r="AR54" s="6"/>
      <c r="AS54" s="6"/>
      <c r="AT54" s="6">
        <v>2395</v>
      </c>
      <c r="AU54" s="6">
        <f t="shared" si="70"/>
        <v>12</v>
      </c>
      <c r="AV54" s="6">
        <f t="shared" si="71"/>
        <v>0</v>
      </c>
      <c r="AW54" s="6">
        <f t="shared" si="72"/>
        <v>0</v>
      </c>
      <c r="AX54" s="6"/>
      <c r="AY54" s="6">
        <f t="shared" si="73"/>
        <v>251202.09199045837</v>
      </c>
      <c r="AZ54" s="6">
        <f t="shared" si="74"/>
        <v>623227.6619411058</v>
      </c>
      <c r="BA54" s="6">
        <f t="shared" si="75"/>
        <v>638448</v>
      </c>
      <c r="BB54" s="6">
        <f t="shared" si="76"/>
        <v>404680</v>
      </c>
      <c r="BC54" s="6">
        <f t="shared" si="77"/>
        <v>405110</v>
      </c>
      <c r="BD54" s="6">
        <f t="shared" si="78"/>
        <v>347993.5</v>
      </c>
      <c r="BE54" s="6">
        <v>26.36037517</v>
      </c>
      <c r="BF54" s="6">
        <f t="shared" si="79"/>
        <v>2670661.2539315643</v>
      </c>
      <c r="BG54" s="6">
        <f t="shared" si="80"/>
        <v>2562464.095057945</v>
      </c>
      <c r="BH54" s="6"/>
      <c r="BK54" s="30" t="str">
        <f t="shared" si="81"/>
        <v>Hinnerup Vandværk A.m.b.a.</v>
      </c>
      <c r="BL54" s="23">
        <f t="shared" si="82"/>
        <v>9.405988558850579</v>
      </c>
      <c r="BM54" s="23">
        <f t="shared" si="83"/>
        <v>23.336080568946468</v>
      </c>
      <c r="BN54" s="23">
        <f t="shared" si="84"/>
        <v>23.905989539486548</v>
      </c>
      <c r="BO54" s="23">
        <f t="shared" si="85"/>
        <v>15.152801554456143</v>
      </c>
      <c r="BP54" s="23">
        <f t="shared" si="86"/>
        <v>15.168902435815282</v>
      </c>
      <c r="BQ54" s="23">
        <f t="shared" si="87"/>
        <v>13.030237342444979</v>
      </c>
      <c r="BR54" s="23"/>
      <c r="BS54" s="23">
        <f t="shared" si="88"/>
        <v>28.19913977826026</v>
      </c>
      <c r="BT54" s="23"/>
      <c r="BU54" s="23">
        <f t="shared" si="45"/>
        <v>1.7289007460885966</v>
      </c>
      <c r="BV54" s="23">
        <f t="shared" si="46"/>
        <v>8.459909209810405</v>
      </c>
      <c r="BW54" s="23">
        <f t="shared" si="47"/>
        <v>-19.567724130495147</v>
      </c>
      <c r="BX54" s="23">
        <f t="shared" si="48"/>
        <v>8.652487472512064</v>
      </c>
      <c r="BY54" s="23">
        <f t="shared" si="49"/>
        <v>0.41754397501247276</v>
      </c>
      <c r="BZ54" s="23">
        <f t="shared" si="50"/>
        <v>0.3088827270715946</v>
      </c>
      <c r="CA54" s="23"/>
      <c r="CB54" s="23">
        <f t="shared" si="51"/>
        <v>0.726426702084062</v>
      </c>
      <c r="CC54" s="23">
        <f t="shared" si="52"/>
        <v>0</v>
      </c>
    </row>
    <row r="55" spans="1:81" ht="15" customHeight="1">
      <c r="A55" s="1" t="s">
        <v>62</v>
      </c>
      <c r="B55" s="10">
        <v>1028758</v>
      </c>
      <c r="C55" s="10">
        <f t="shared" si="53"/>
        <v>1033901.7899999999</v>
      </c>
      <c r="D55" s="10">
        <v>880228.1918654001</v>
      </c>
      <c r="E55" s="10">
        <v>0</v>
      </c>
      <c r="F55" s="23" t="str">
        <f t="shared" si="54"/>
        <v>ingen</v>
      </c>
      <c r="G55" s="3"/>
      <c r="H55" s="10">
        <f t="shared" si="55"/>
        <v>880228.1918654001</v>
      </c>
      <c r="I55" s="10"/>
      <c r="J55" s="10">
        <f t="shared" si="56"/>
        <v>1720346.4659812222</v>
      </c>
      <c r="K55" s="10">
        <f t="shared" si="57"/>
        <v>1564457.59734441</v>
      </c>
      <c r="L55" s="10"/>
      <c r="M55" s="10">
        <f t="shared" si="58"/>
        <v>1984414.9235408423</v>
      </c>
      <c r="N55" s="10">
        <f t="shared" si="59"/>
        <v>1828526.05490403</v>
      </c>
      <c r="P55" s="23">
        <f>'Potentialer og krav'!U55</f>
        <v>0</v>
      </c>
      <c r="Q55" s="10"/>
      <c r="R55" s="23">
        <f t="shared" si="60"/>
        <v>5143.79</v>
      </c>
      <c r="S55" s="23">
        <f t="shared" si="61"/>
        <v>23779.741169999998</v>
      </c>
      <c r="T55" s="23">
        <f t="shared" si="62"/>
        <v>880228.1918654001</v>
      </c>
      <c r="U55" s="23">
        <f t="shared" si="63"/>
        <v>20245.248412904202</v>
      </c>
      <c r="V55" s="23">
        <f t="shared" si="64"/>
        <v>900473.4402783042</v>
      </c>
      <c r="W55" s="23">
        <f t="shared" si="65"/>
        <v>1057681.5311699999</v>
      </c>
      <c r="X55" s="23">
        <f t="shared" si="66"/>
        <v>20245.248412904202</v>
      </c>
      <c r="Y55" s="23">
        <f t="shared" si="67"/>
        <v>900473.4402783042</v>
      </c>
      <c r="Z55" s="23">
        <f t="shared" si="68"/>
        <v>157208.0908916957</v>
      </c>
      <c r="AA55" s="23" t="str">
        <f t="shared" si="69"/>
        <v>ingen</v>
      </c>
      <c r="AB55" s="23"/>
      <c r="AC55" s="35" t="s">
        <v>62</v>
      </c>
      <c r="AD55" s="6">
        <v>0</v>
      </c>
      <c r="AE55" s="6">
        <v>275476</v>
      </c>
      <c r="AF55" s="6">
        <v>273976</v>
      </c>
      <c r="AG55" s="6"/>
      <c r="AH55" s="6"/>
      <c r="AI55" s="6"/>
      <c r="AJ55" s="6"/>
      <c r="AK55" s="6"/>
      <c r="AL55" s="6">
        <v>63</v>
      </c>
      <c r="AM55" s="6">
        <v>48</v>
      </c>
      <c r="AN55" s="6"/>
      <c r="AO55" s="6"/>
      <c r="AP55" s="6">
        <v>379</v>
      </c>
      <c r="AQ55" s="6">
        <v>1395</v>
      </c>
      <c r="AR55" s="6"/>
      <c r="AS55" s="6"/>
      <c r="AT55" s="6">
        <v>1750</v>
      </c>
      <c r="AU55" s="6">
        <f t="shared" si="70"/>
        <v>0</v>
      </c>
      <c r="AV55" s="6">
        <f t="shared" si="71"/>
        <v>0</v>
      </c>
      <c r="AW55" s="6">
        <f t="shared" si="72"/>
        <v>0</v>
      </c>
      <c r="AX55" s="6"/>
      <c r="AY55" s="6">
        <f t="shared" si="73"/>
        <v>0</v>
      </c>
      <c r="AZ55" s="6">
        <f t="shared" si="74"/>
        <v>494051.4659812222</v>
      </c>
      <c r="BA55" s="6">
        <f t="shared" si="75"/>
        <v>0</v>
      </c>
      <c r="BB55" s="6">
        <f t="shared" si="76"/>
        <v>670440</v>
      </c>
      <c r="BC55" s="6">
        <f t="shared" si="77"/>
        <v>301580</v>
      </c>
      <c r="BD55" s="6">
        <f t="shared" si="78"/>
        <v>254275.00000000003</v>
      </c>
      <c r="BE55" s="6">
        <v>23.576954984248903</v>
      </c>
      <c r="BF55" s="6">
        <f t="shared" si="79"/>
        <v>1720346.4659812222</v>
      </c>
      <c r="BG55" s="6">
        <f t="shared" si="80"/>
        <v>1564457.59734441</v>
      </c>
      <c r="BH55" s="6"/>
      <c r="BK55" s="30" t="str">
        <f t="shared" si="81"/>
        <v>Hjallerup Vandforsyning</v>
      </c>
      <c r="BL55" s="23">
        <f t="shared" si="82"/>
        <v>0</v>
      </c>
      <c r="BM55" s="23">
        <f t="shared" si="83"/>
        <v>28.718137639759295</v>
      </c>
      <c r="BN55" s="23">
        <f t="shared" si="84"/>
        <v>0</v>
      </c>
      <c r="BO55" s="23">
        <f t="shared" si="85"/>
        <v>38.97121965008402</v>
      </c>
      <c r="BP55" s="23">
        <f t="shared" si="86"/>
        <v>17.530189759072158</v>
      </c>
      <c r="BQ55" s="23">
        <f t="shared" si="87"/>
        <v>14.780452951084532</v>
      </c>
      <c r="BR55" s="23"/>
      <c r="BS55" s="23">
        <f t="shared" si="88"/>
        <v>32.31064271015669</v>
      </c>
      <c r="BT55" s="23"/>
      <c r="BU55" s="23">
        <f t="shared" si="45"/>
        <v>11.134889304939176</v>
      </c>
      <c r="BV55" s="23">
        <f t="shared" si="46"/>
        <v>3.077852138997578</v>
      </c>
      <c r="BW55" s="23">
        <f t="shared" si="47"/>
        <v>4.338265408991401</v>
      </c>
      <c r="BX55" s="23">
        <f t="shared" si="48"/>
        <v>-15.165930623115809</v>
      </c>
      <c r="BY55" s="23">
        <f t="shared" si="49"/>
        <v>-1.9437433482444035</v>
      </c>
      <c r="BZ55" s="23">
        <f t="shared" si="50"/>
        <v>-1.4413328815679591</v>
      </c>
      <c r="CA55" s="23"/>
      <c r="CB55" s="23">
        <f t="shared" si="51"/>
        <v>-3.3850762298123698</v>
      </c>
      <c r="CC55" s="23">
        <f t="shared" si="52"/>
        <v>0</v>
      </c>
    </row>
    <row r="56" spans="1:81" ht="15" customHeight="1">
      <c r="A56" s="1" t="s">
        <v>63</v>
      </c>
      <c r="B56" s="10">
        <v>1894156</v>
      </c>
      <c r="C56" s="10">
        <f t="shared" si="53"/>
        <v>1903626.7799999998</v>
      </c>
      <c r="D56" s="10">
        <v>1673100.245782</v>
      </c>
      <c r="E56" s="10">
        <v>363119.4281003268</v>
      </c>
      <c r="F56" s="23" t="str">
        <f t="shared" si="54"/>
        <v>ingen</v>
      </c>
      <c r="G56" s="3"/>
      <c r="H56" s="10">
        <f t="shared" si="55"/>
        <v>1673100.245782</v>
      </c>
      <c r="I56" s="10"/>
      <c r="J56" s="10">
        <f t="shared" si="56"/>
        <v>2210654.749702759</v>
      </c>
      <c r="K56" s="10">
        <f t="shared" si="57"/>
        <v>1700521.031462261</v>
      </c>
      <c r="L56" s="10"/>
      <c r="M56" s="10">
        <f t="shared" si="58"/>
        <v>2712584.823437359</v>
      </c>
      <c r="N56" s="10">
        <f t="shared" si="59"/>
        <v>2202451.105196861</v>
      </c>
      <c r="P56" s="23">
        <f>'Potentialer og krav'!U56</f>
        <v>0</v>
      </c>
      <c r="Q56" s="10"/>
      <c r="R56" s="23">
        <f t="shared" si="60"/>
        <v>9470.78</v>
      </c>
      <c r="S56" s="23">
        <f t="shared" si="61"/>
        <v>43783.41593999999</v>
      </c>
      <c r="T56" s="23">
        <f t="shared" si="62"/>
        <v>1309980.8176816732</v>
      </c>
      <c r="U56" s="23">
        <f t="shared" si="63"/>
        <v>38481.305652986</v>
      </c>
      <c r="V56" s="23">
        <f t="shared" si="64"/>
        <v>1711581.5514349858</v>
      </c>
      <c r="W56" s="23">
        <f t="shared" si="65"/>
        <v>1947410.1959399995</v>
      </c>
      <c r="X56" s="23">
        <f t="shared" si="66"/>
        <v>38481.305652986</v>
      </c>
      <c r="Y56" s="23">
        <f t="shared" si="67"/>
        <v>1711581.5514349858</v>
      </c>
      <c r="Z56" s="23">
        <f t="shared" si="68"/>
        <v>235828.6445050137</v>
      </c>
      <c r="AA56" s="23" t="str">
        <f t="shared" si="69"/>
        <v>ingen</v>
      </c>
      <c r="AB56" s="23"/>
      <c r="AC56" s="35" t="s">
        <v>63</v>
      </c>
      <c r="AD56" s="6">
        <v>61</v>
      </c>
      <c r="AE56" s="6">
        <v>374045</v>
      </c>
      <c r="AF56" s="6">
        <v>368344</v>
      </c>
      <c r="AG56" s="6">
        <v>2</v>
      </c>
      <c r="AH56" s="6"/>
      <c r="AI56" s="6"/>
      <c r="AJ56" s="6"/>
      <c r="AK56" s="6"/>
      <c r="AL56" s="6">
        <v>8</v>
      </c>
      <c r="AM56" s="6">
        <v>51</v>
      </c>
      <c r="AN56" s="6"/>
      <c r="AO56" s="6"/>
      <c r="AP56" s="6">
        <v>258</v>
      </c>
      <c r="AQ56" s="6">
        <v>2502</v>
      </c>
      <c r="AR56" s="6"/>
      <c r="AS56" s="6"/>
      <c r="AT56" s="6">
        <v>2760</v>
      </c>
      <c r="AU56" s="6">
        <f t="shared" si="70"/>
        <v>2</v>
      </c>
      <c r="AV56" s="6">
        <f t="shared" si="71"/>
        <v>0</v>
      </c>
      <c r="AW56" s="6">
        <f t="shared" si="72"/>
        <v>0</v>
      </c>
      <c r="AX56" s="6"/>
      <c r="AY56" s="6">
        <f t="shared" si="73"/>
        <v>207909.21320063146</v>
      </c>
      <c r="AZ56" s="6">
        <f t="shared" si="74"/>
        <v>669749.5365021275</v>
      </c>
      <c r="BA56" s="6">
        <f t="shared" si="75"/>
        <v>106408</v>
      </c>
      <c r="BB56" s="6">
        <f t="shared" si="76"/>
        <v>356360</v>
      </c>
      <c r="BC56" s="6">
        <f t="shared" si="77"/>
        <v>469200</v>
      </c>
      <c r="BD56" s="6">
        <f t="shared" si="78"/>
        <v>401028.00000000006</v>
      </c>
      <c r="BE56" s="6">
        <v>15.79103501</v>
      </c>
      <c r="BF56" s="6">
        <f t="shared" si="79"/>
        <v>2210654.749702759</v>
      </c>
      <c r="BG56" s="6">
        <f t="shared" si="80"/>
        <v>1700521.031462261</v>
      </c>
      <c r="BH56" s="6"/>
      <c r="BK56" s="30" t="str">
        <f t="shared" si="81"/>
        <v>Hjerting Vandværk Amba</v>
      </c>
      <c r="BL56" s="23">
        <f t="shared" si="82"/>
        <v>9.404870354748365</v>
      </c>
      <c r="BM56" s="23">
        <f t="shared" si="83"/>
        <v>30.29643306319908</v>
      </c>
      <c r="BN56" s="23">
        <f t="shared" si="84"/>
        <v>4.813415573567399</v>
      </c>
      <c r="BO56" s="23">
        <f t="shared" si="85"/>
        <v>16.12011102357415</v>
      </c>
      <c r="BP56" s="23">
        <f t="shared" si="86"/>
        <v>21.224481120947893</v>
      </c>
      <c r="BQ56" s="23">
        <f t="shared" si="87"/>
        <v>18.140688863963113</v>
      </c>
      <c r="BR56" s="23"/>
      <c r="BS56" s="23">
        <f t="shared" si="88"/>
        <v>39.365169984911006</v>
      </c>
      <c r="BT56" s="23"/>
      <c r="BU56" s="23">
        <f t="shared" si="45"/>
        <v>1.7300189501908108</v>
      </c>
      <c r="BV56" s="23">
        <f t="shared" si="46"/>
        <v>1.4995567155577945</v>
      </c>
      <c r="BW56" s="23">
        <f t="shared" si="47"/>
        <v>-0.47515016457599835</v>
      </c>
      <c r="BX56" s="23">
        <f t="shared" si="48"/>
        <v>7.685178003394057</v>
      </c>
      <c r="BY56" s="23">
        <f t="shared" si="49"/>
        <v>-5.638034710120138</v>
      </c>
      <c r="BZ56" s="23">
        <f t="shared" si="50"/>
        <v>-4.80156879444654</v>
      </c>
      <c r="CA56" s="23"/>
      <c r="CB56" s="23">
        <f t="shared" si="51"/>
        <v>-10.439603504566684</v>
      </c>
      <c r="CC56" s="23">
        <f t="shared" si="52"/>
        <v>-0.25718981785791506</v>
      </c>
    </row>
    <row r="57" spans="1:81" ht="15" customHeight="1">
      <c r="A57" s="1" t="s">
        <v>3</v>
      </c>
      <c r="B57" s="10">
        <v>16346439</v>
      </c>
      <c r="C57" s="10">
        <f t="shared" si="53"/>
        <v>16428171.194999998</v>
      </c>
      <c r="D57" s="10">
        <v>16071428.1284592</v>
      </c>
      <c r="E57" s="10">
        <v>2205724.4683933877</v>
      </c>
      <c r="F57" s="23" t="str">
        <f t="shared" si="54"/>
        <v>ingen</v>
      </c>
      <c r="G57" s="3"/>
      <c r="H57" s="10">
        <f t="shared" si="55"/>
        <v>16071428.1284592</v>
      </c>
      <c r="I57" s="10"/>
      <c r="J57" s="10">
        <f t="shared" si="56"/>
        <v>23289650.790339254</v>
      </c>
      <c r="K57" s="10">
        <f t="shared" si="57"/>
        <v>23726531.8342955</v>
      </c>
      <c r="L57" s="10"/>
      <c r="M57" s="10">
        <f t="shared" si="58"/>
        <v>28111079.228877015</v>
      </c>
      <c r="N57" s="10">
        <f t="shared" si="59"/>
        <v>28547960.272833258</v>
      </c>
      <c r="P57" s="23">
        <f>'Potentialer og krav'!U57</f>
        <v>0</v>
      </c>
      <c r="Q57" s="10"/>
      <c r="R57" s="23">
        <f t="shared" si="60"/>
        <v>81732.195</v>
      </c>
      <c r="S57" s="23">
        <f t="shared" si="61"/>
        <v>377847.93748499994</v>
      </c>
      <c r="T57" s="23">
        <f t="shared" si="62"/>
        <v>13865703.660065813</v>
      </c>
      <c r="U57" s="23">
        <f t="shared" si="63"/>
        <v>369642.8469545616</v>
      </c>
      <c r="V57" s="23">
        <f t="shared" si="64"/>
        <v>16441070.97541376</v>
      </c>
      <c r="W57" s="23">
        <f t="shared" si="65"/>
        <v>16806019.132485</v>
      </c>
      <c r="X57" s="23">
        <f t="shared" si="66"/>
        <v>369642.8469545616</v>
      </c>
      <c r="Y57" s="23">
        <f t="shared" si="67"/>
        <v>16441070.97541376</v>
      </c>
      <c r="Z57" s="23">
        <f t="shared" si="68"/>
        <v>364948.1570712384</v>
      </c>
      <c r="AA57" s="23" t="str">
        <f t="shared" si="69"/>
        <v>ingen</v>
      </c>
      <c r="AB57" s="23"/>
      <c r="AC57" s="35" t="s">
        <v>3</v>
      </c>
      <c r="AD57" s="6">
        <v>2753</v>
      </c>
      <c r="AE57" s="6">
        <v>4128315</v>
      </c>
      <c r="AF57" s="6">
        <v>3827650</v>
      </c>
      <c r="AG57" s="6">
        <v>6</v>
      </c>
      <c r="AH57" s="6">
        <v>1</v>
      </c>
      <c r="AI57" s="6">
        <v>0</v>
      </c>
      <c r="AJ57" s="6">
        <v>0</v>
      </c>
      <c r="AK57" s="6">
        <v>0</v>
      </c>
      <c r="AL57" s="6">
        <v>583</v>
      </c>
      <c r="AM57" s="6">
        <v>278</v>
      </c>
      <c r="AN57" s="6">
        <v>13</v>
      </c>
      <c r="AO57" s="6">
        <v>0</v>
      </c>
      <c r="AP57" s="6">
        <v>5668</v>
      </c>
      <c r="AQ57" s="6">
        <v>11233</v>
      </c>
      <c r="AR57" s="6">
        <v>641</v>
      </c>
      <c r="AS57" s="6">
        <v>0</v>
      </c>
      <c r="AT57" s="6">
        <v>20043</v>
      </c>
      <c r="AU57" s="6">
        <f t="shared" si="70"/>
        <v>7</v>
      </c>
      <c r="AV57" s="6">
        <f t="shared" si="71"/>
        <v>0</v>
      </c>
      <c r="AW57" s="6">
        <f t="shared" si="72"/>
        <v>0</v>
      </c>
      <c r="AX57" s="6"/>
      <c r="AY57" s="6">
        <f t="shared" si="73"/>
        <v>3479510.4221562273</v>
      </c>
      <c r="AZ57" s="6">
        <f t="shared" si="74"/>
        <v>7431184.468183028</v>
      </c>
      <c r="BA57" s="6">
        <f t="shared" si="75"/>
        <v>372428</v>
      </c>
      <c r="BB57" s="6">
        <f t="shared" si="76"/>
        <v>5881380</v>
      </c>
      <c r="BC57" s="6">
        <f t="shared" si="77"/>
        <v>3212900</v>
      </c>
      <c r="BD57" s="6">
        <f t="shared" si="78"/>
        <v>2912247.9000000004</v>
      </c>
      <c r="BE57" s="6">
        <v>29.65325508</v>
      </c>
      <c r="BF57" s="6">
        <f t="shared" si="79"/>
        <v>23289650.790339254</v>
      </c>
      <c r="BG57" s="6">
        <f t="shared" si="80"/>
        <v>23726531.8342955</v>
      </c>
      <c r="BH57" s="6"/>
      <c r="BK57" s="30" t="str">
        <f t="shared" si="81"/>
        <v>Hjørring Vandselskab A/S</v>
      </c>
      <c r="BL57" s="23">
        <f t="shared" si="82"/>
        <v>14.940157125926328</v>
      </c>
      <c r="BM57" s="23">
        <f t="shared" si="83"/>
        <v>31.907668067163748</v>
      </c>
      <c r="BN57" s="23">
        <f t="shared" si="84"/>
        <v>1.5991137151549146</v>
      </c>
      <c r="BO57" s="23">
        <f t="shared" si="85"/>
        <v>25.2531910115185</v>
      </c>
      <c r="BP57" s="23">
        <f t="shared" si="86"/>
        <v>13.795397916969792</v>
      </c>
      <c r="BQ57" s="23">
        <f t="shared" si="87"/>
        <v>12.504472163266723</v>
      </c>
      <c r="BR57" s="23"/>
      <c r="BS57" s="23">
        <f t="shared" si="88"/>
        <v>26.299870080236516</v>
      </c>
      <c r="BT57" s="23"/>
      <c r="BU57" s="23">
        <f t="shared" si="45"/>
        <v>-3.8052678209871527</v>
      </c>
      <c r="BV57" s="23">
        <f t="shared" si="46"/>
        <v>-0.11167828840687477</v>
      </c>
      <c r="BW57" s="23">
        <f t="shared" si="47"/>
        <v>2.7391516938364857</v>
      </c>
      <c r="BX57" s="23">
        <f t="shared" si="48"/>
        <v>-1.4479019845502918</v>
      </c>
      <c r="BY57" s="23">
        <f t="shared" si="49"/>
        <v>1.7910484938579625</v>
      </c>
      <c r="BZ57" s="23">
        <f t="shared" si="50"/>
        <v>0.8346479062498506</v>
      </c>
      <c r="CA57" s="23"/>
      <c r="CB57" s="23">
        <f t="shared" si="51"/>
        <v>2.625696400107806</v>
      </c>
      <c r="CC57" s="23">
        <f t="shared" si="52"/>
        <v>0</v>
      </c>
    </row>
    <row r="58" spans="1:81" ht="15" customHeight="1">
      <c r="A58" s="1" t="s">
        <v>64</v>
      </c>
      <c r="B58" s="10">
        <v>8745675</v>
      </c>
      <c r="C58" s="10">
        <f t="shared" si="53"/>
        <v>8789403.374999998</v>
      </c>
      <c r="D58" s="10">
        <v>10234287.768797401</v>
      </c>
      <c r="E58" s="10">
        <v>4291883.588437204</v>
      </c>
      <c r="F58" s="23" t="s">
        <v>233</v>
      </c>
      <c r="G58" s="3"/>
      <c r="H58" s="10">
        <f t="shared" si="55"/>
        <v>10234287.768797401</v>
      </c>
      <c r="I58" s="10"/>
      <c r="J58" s="10">
        <f t="shared" si="56"/>
        <v>10044880.097694853</v>
      </c>
      <c r="K58" s="10">
        <f t="shared" si="57"/>
        <v>10149600.625566157</v>
      </c>
      <c r="L58" s="10"/>
      <c r="M58" s="10">
        <f t="shared" si="58"/>
        <v>13115166.428334074</v>
      </c>
      <c r="N58" s="10">
        <f t="shared" si="59"/>
        <v>13219886.956205377</v>
      </c>
      <c r="P58" s="23">
        <f>'Potentialer og krav'!U58</f>
        <v>402577.1257336519</v>
      </c>
      <c r="Q58" s="10"/>
      <c r="R58" s="23">
        <f t="shared" si="60"/>
        <v>43728.375</v>
      </c>
      <c r="S58" s="23">
        <f>C58*0.023</f>
        <v>202156.27762499996</v>
      </c>
      <c r="T58" s="23">
        <f t="shared" si="62"/>
        <v>5942404.180360197</v>
      </c>
      <c r="U58" s="23">
        <f t="shared" si="63"/>
        <v>235388.61868234022</v>
      </c>
      <c r="V58" s="23">
        <f t="shared" si="64"/>
        <v>10469676.387479741</v>
      </c>
      <c r="W58" s="23">
        <f>C58*1.023</f>
        <v>8991559.652624996</v>
      </c>
      <c r="X58" s="23">
        <f t="shared" si="66"/>
        <v>235388.61868234022</v>
      </c>
      <c r="Y58" s="23">
        <f t="shared" si="67"/>
        <v>10469676.387479741</v>
      </c>
      <c r="Z58" s="23">
        <f t="shared" si="68"/>
        <v>-1478116.7348547447</v>
      </c>
      <c r="AA58" s="23" t="str">
        <f t="shared" si="69"/>
        <v>ingen</v>
      </c>
      <c r="AB58" s="23"/>
      <c r="AC58" s="35" t="s">
        <v>64</v>
      </c>
      <c r="AD58" s="6">
        <v>265</v>
      </c>
      <c r="AE58" s="6">
        <v>2311657</v>
      </c>
      <c r="AF58" s="6">
        <v>2193857</v>
      </c>
      <c r="AG58" s="6">
        <v>1</v>
      </c>
      <c r="AH58" s="6"/>
      <c r="AI58" s="6"/>
      <c r="AJ58" s="6"/>
      <c r="AK58" s="6"/>
      <c r="AL58" s="6">
        <v>71</v>
      </c>
      <c r="AM58" s="6">
        <v>130</v>
      </c>
      <c r="AN58" s="6">
        <v>14</v>
      </c>
      <c r="AO58" s="6">
        <v>0</v>
      </c>
      <c r="AP58" s="6">
        <v>562</v>
      </c>
      <c r="AQ58" s="6">
        <v>4978</v>
      </c>
      <c r="AR58" s="6">
        <v>786</v>
      </c>
      <c r="AS58" s="6">
        <v>0</v>
      </c>
      <c r="AT58" s="6">
        <v>7618</v>
      </c>
      <c r="AU58" s="6">
        <f t="shared" si="70"/>
        <v>1</v>
      </c>
      <c r="AV58" s="6">
        <f t="shared" si="71"/>
        <v>0</v>
      </c>
      <c r="AW58" s="6">
        <f t="shared" si="72"/>
        <v>0</v>
      </c>
      <c r="AX58" s="6"/>
      <c r="AY58" s="6">
        <f t="shared" si="73"/>
        <v>1335644.7634833045</v>
      </c>
      <c r="AZ58" s="6">
        <f t="shared" si="74"/>
        <v>4193395.934211549</v>
      </c>
      <c r="BA58" s="6">
        <f t="shared" si="75"/>
        <v>53204</v>
      </c>
      <c r="BB58" s="6">
        <f t="shared" si="76"/>
        <v>1947360</v>
      </c>
      <c r="BC58" s="6">
        <f t="shared" si="77"/>
        <v>1358380</v>
      </c>
      <c r="BD58" s="6">
        <f t="shared" si="78"/>
        <v>1106895.4000000001</v>
      </c>
      <c r="BE58" s="6">
        <v>29.19029245</v>
      </c>
      <c r="BF58" s="6">
        <f t="shared" si="79"/>
        <v>10044880.097694853</v>
      </c>
      <c r="BG58" s="6">
        <f t="shared" si="80"/>
        <v>10149600.625566157</v>
      </c>
      <c r="BH58" s="6">
        <v>50000</v>
      </c>
      <c r="BK58" s="30" t="str">
        <f t="shared" si="81"/>
        <v>Holbæk Vand A/S</v>
      </c>
      <c r="BL58" s="23">
        <f t="shared" si="82"/>
        <v>13.363289508508942</v>
      </c>
      <c r="BM58" s="23">
        <f t="shared" si="83"/>
        <v>41.95544011757263</v>
      </c>
      <c r="BN58" s="23">
        <f t="shared" si="84"/>
        <v>0.5323125388194561</v>
      </c>
      <c r="BO58" s="23">
        <f t="shared" si="85"/>
        <v>19.48357540026043</v>
      </c>
      <c r="BP58" s="23">
        <f t="shared" si="86"/>
        <v>13.590758335493058</v>
      </c>
      <c r="BQ58" s="23">
        <f t="shared" si="87"/>
        <v>11.074624099345488</v>
      </c>
      <c r="BR58" s="23"/>
      <c r="BS58" s="23">
        <f t="shared" si="88"/>
        <v>24.66538243483855</v>
      </c>
      <c r="BT58" s="23"/>
      <c r="BU58" s="23">
        <f t="shared" si="45"/>
        <v>-2.228400203569766</v>
      </c>
      <c r="BV58" s="23">
        <f t="shared" si="46"/>
        <v>-10.159450338815756</v>
      </c>
      <c r="BW58" s="23">
        <f t="shared" si="47"/>
        <v>3.8059528701719447</v>
      </c>
      <c r="BX58" s="23">
        <f t="shared" si="48"/>
        <v>4.321713626707776</v>
      </c>
      <c r="BY58" s="23">
        <f t="shared" si="49"/>
        <v>1.9956880753346962</v>
      </c>
      <c r="BZ58" s="23">
        <f t="shared" si="50"/>
        <v>2.264495970171085</v>
      </c>
      <c r="CA58" s="23"/>
      <c r="CB58" s="23">
        <f t="shared" si="51"/>
        <v>4.260184045505774</v>
      </c>
      <c r="CC58" s="23">
        <f t="shared" si="52"/>
        <v>0</v>
      </c>
    </row>
    <row r="59" spans="1:81" ht="15" customHeight="1">
      <c r="A59" s="1" t="s">
        <v>65</v>
      </c>
      <c r="B59" s="10">
        <v>3147564</v>
      </c>
      <c r="C59" s="10">
        <f t="shared" si="53"/>
        <v>3163301.82</v>
      </c>
      <c r="D59" s="10">
        <v>2204439.7056528</v>
      </c>
      <c r="E59" s="10">
        <v>1303275.4580973098</v>
      </c>
      <c r="F59" s="23" t="str">
        <f t="shared" si="54"/>
        <v>ingen</v>
      </c>
      <c r="G59" s="3"/>
      <c r="H59" s="10">
        <f t="shared" si="55"/>
        <v>2204439.7056528</v>
      </c>
      <c r="I59" s="10"/>
      <c r="J59" s="10">
        <f t="shared" si="56"/>
        <v>1520757.7172899772</v>
      </c>
      <c r="K59" s="10">
        <f t="shared" si="57"/>
        <v>1430261.619175532</v>
      </c>
      <c r="L59" s="10"/>
      <c r="M59" s="10">
        <f t="shared" si="58"/>
        <v>2182089.628985817</v>
      </c>
      <c r="N59" s="10">
        <f t="shared" si="59"/>
        <v>2091593.5308713717</v>
      </c>
      <c r="P59" s="23">
        <f>'Potentialer og krav'!U59</f>
        <v>67614.55073243738</v>
      </c>
      <c r="Q59" s="10"/>
      <c r="R59" s="23">
        <f t="shared" si="60"/>
        <v>15737.82</v>
      </c>
      <c r="S59" s="23">
        <f t="shared" si="61"/>
        <v>72755.94185999999</v>
      </c>
      <c r="T59" s="23">
        <f t="shared" si="62"/>
        <v>901164.2475554901</v>
      </c>
      <c r="U59" s="23">
        <f t="shared" si="63"/>
        <v>50702.113230014395</v>
      </c>
      <c r="V59" s="23">
        <f t="shared" si="64"/>
        <v>2255141.818882814</v>
      </c>
      <c r="W59" s="23">
        <f t="shared" si="65"/>
        <v>3236057.7618599995</v>
      </c>
      <c r="X59" s="23">
        <f t="shared" si="66"/>
        <v>50702.113230014395</v>
      </c>
      <c r="Y59" s="23">
        <f t="shared" si="67"/>
        <v>2255141.818882814</v>
      </c>
      <c r="Z59" s="23">
        <f t="shared" si="68"/>
        <v>980915.9429771854</v>
      </c>
      <c r="AA59" s="23" t="str">
        <f t="shared" si="69"/>
        <v>ingen</v>
      </c>
      <c r="AB59" s="23"/>
      <c r="AC59" s="35" t="s">
        <v>65</v>
      </c>
      <c r="AD59" s="6">
        <v>110</v>
      </c>
      <c r="AE59" s="6">
        <v>253210</v>
      </c>
      <c r="AF59" s="6">
        <v>234734</v>
      </c>
      <c r="AG59" s="6"/>
      <c r="AH59" s="6"/>
      <c r="AI59" s="6"/>
      <c r="AJ59" s="6"/>
      <c r="AK59" s="6"/>
      <c r="AL59" s="6">
        <v>17</v>
      </c>
      <c r="AM59" s="6">
        <v>15</v>
      </c>
      <c r="AN59" s="6"/>
      <c r="AO59" s="6"/>
      <c r="AP59" s="6">
        <v>1187</v>
      </c>
      <c r="AQ59" s="6">
        <v>1152</v>
      </c>
      <c r="AR59" s="6"/>
      <c r="AS59" s="6"/>
      <c r="AT59" s="6">
        <v>2353</v>
      </c>
      <c r="AU59" s="6">
        <f t="shared" si="70"/>
        <v>0</v>
      </c>
      <c r="AV59" s="6">
        <f t="shared" si="71"/>
        <v>0</v>
      </c>
      <c r="AW59" s="6">
        <f t="shared" si="72"/>
        <v>0</v>
      </c>
      <c r="AX59" s="6"/>
      <c r="AY59" s="6">
        <f t="shared" si="73"/>
        <v>166497.3165123323</v>
      </c>
      <c r="AZ59" s="6">
        <f t="shared" si="74"/>
        <v>421459.5007776451</v>
      </c>
      <c r="BA59" s="6">
        <f t="shared" si="75"/>
        <v>0</v>
      </c>
      <c r="BB59" s="6">
        <f t="shared" si="76"/>
        <v>193280</v>
      </c>
      <c r="BC59" s="6">
        <f t="shared" si="77"/>
        <v>397630</v>
      </c>
      <c r="BD59" s="6">
        <f t="shared" si="78"/>
        <v>341890.9</v>
      </c>
      <c r="BE59" s="6">
        <v>25.3051532</v>
      </c>
      <c r="BF59" s="6">
        <f t="shared" si="79"/>
        <v>1520757.7172899772</v>
      </c>
      <c r="BG59" s="6">
        <f t="shared" si="80"/>
        <v>1430261.619175532</v>
      </c>
      <c r="BH59" s="6"/>
      <c r="BK59" s="30" t="str">
        <f t="shared" si="81"/>
        <v>Hornbæk Vandværk, a.m.b.a.</v>
      </c>
      <c r="BL59" s="23">
        <f t="shared" si="82"/>
        <v>10.948313108614965</v>
      </c>
      <c r="BM59" s="23">
        <f t="shared" si="83"/>
        <v>27.713783463725893</v>
      </c>
      <c r="BN59" s="23">
        <f t="shared" si="84"/>
        <v>0</v>
      </c>
      <c r="BO59" s="23">
        <f t="shared" si="85"/>
        <v>12.709453833607965</v>
      </c>
      <c r="BP59" s="23">
        <f t="shared" si="86"/>
        <v>26.14683427078609</v>
      </c>
      <c r="BQ59" s="23">
        <f t="shared" si="87"/>
        <v>22.481615323265096</v>
      </c>
      <c r="BR59" s="23"/>
      <c r="BS59" s="23">
        <f t="shared" si="88"/>
        <v>48.62844959405119</v>
      </c>
      <c r="BT59" s="23"/>
      <c r="BU59" s="23">
        <f t="shared" si="45"/>
        <v>0.18657619632421074</v>
      </c>
      <c r="BV59" s="23">
        <f t="shared" si="46"/>
        <v>4.08220631503098</v>
      </c>
      <c r="BW59" s="23">
        <f t="shared" si="47"/>
        <v>4.338265408991401</v>
      </c>
      <c r="BX59" s="23">
        <f t="shared" si="48"/>
        <v>11.095835193360243</v>
      </c>
      <c r="BY59" s="23">
        <f t="shared" si="49"/>
        <v>-10.560387859958336</v>
      </c>
      <c r="BZ59" s="23">
        <f t="shared" si="50"/>
        <v>-9.142495253748523</v>
      </c>
      <c r="CA59" s="23"/>
      <c r="CB59" s="23">
        <f t="shared" si="51"/>
        <v>-19.702883113706868</v>
      </c>
      <c r="CC59" s="23">
        <f t="shared" si="52"/>
        <v>-4.5368249972806804</v>
      </c>
    </row>
    <row r="60" spans="1:81" ht="15" customHeight="1">
      <c r="A60" s="1" t="s">
        <v>66</v>
      </c>
      <c r="B60" s="10">
        <v>1400293</v>
      </c>
      <c r="C60" s="10">
        <f t="shared" si="53"/>
        <v>1407294.4649999999</v>
      </c>
      <c r="D60" s="10">
        <v>963253</v>
      </c>
      <c r="E60" s="10">
        <v>58145.89010861331</v>
      </c>
      <c r="F60" s="23" t="str">
        <f t="shared" si="54"/>
        <v>ingen</v>
      </c>
      <c r="G60" s="10"/>
      <c r="H60" s="10">
        <f t="shared" si="55"/>
        <v>963253</v>
      </c>
      <c r="I60" s="10"/>
      <c r="J60" s="10">
        <f t="shared" si="56"/>
        <v>1481303.803116313</v>
      </c>
      <c r="K60" s="10">
        <f t="shared" si="57"/>
        <v>1656141.0201043596</v>
      </c>
      <c r="L60" s="10"/>
      <c r="M60" s="10">
        <f t="shared" si="58"/>
        <v>1770279.7031163129</v>
      </c>
      <c r="N60" s="10">
        <f t="shared" si="59"/>
        <v>1945116.9201043595</v>
      </c>
      <c r="P60" s="23">
        <f>'Potentialer og krav'!U60</f>
        <v>0</v>
      </c>
      <c r="Q60" s="10"/>
      <c r="R60" s="23">
        <f t="shared" si="60"/>
        <v>7001.465</v>
      </c>
      <c r="S60" s="23">
        <f t="shared" si="61"/>
        <v>32367.772694999996</v>
      </c>
      <c r="T60" s="23">
        <f t="shared" si="62"/>
        <v>905107.1098913867</v>
      </c>
      <c r="U60" s="23">
        <f t="shared" si="63"/>
        <v>22154.819</v>
      </c>
      <c r="V60" s="23">
        <f t="shared" si="64"/>
        <v>985407.8189999999</v>
      </c>
      <c r="W60" s="23">
        <f t="shared" si="65"/>
        <v>1439662.2376949997</v>
      </c>
      <c r="X60" s="23">
        <f t="shared" si="66"/>
        <v>22154.819</v>
      </c>
      <c r="Y60" s="23">
        <f t="shared" si="67"/>
        <v>985407.8189999999</v>
      </c>
      <c r="Z60" s="23">
        <f t="shared" si="68"/>
        <v>454254.41869499977</v>
      </c>
      <c r="AA60" s="23" t="str">
        <f t="shared" si="69"/>
        <v>ingen</v>
      </c>
      <c r="AB60" s="23"/>
      <c r="AC60" s="35" t="s">
        <v>66</v>
      </c>
      <c r="AD60" s="6">
        <v>21</v>
      </c>
      <c r="AE60" s="6">
        <v>226917</v>
      </c>
      <c r="AF60" s="6">
        <v>220162</v>
      </c>
      <c r="AG60" s="6">
        <v>2</v>
      </c>
      <c r="AH60" s="6">
        <v>0</v>
      </c>
      <c r="AI60" s="6">
        <v>0</v>
      </c>
      <c r="AJ60" s="6">
        <v>0</v>
      </c>
      <c r="AK60" s="6">
        <v>0</v>
      </c>
      <c r="AL60" s="6">
        <v>9</v>
      </c>
      <c r="AM60" s="6">
        <v>38</v>
      </c>
      <c r="AN60" s="6">
        <v>0</v>
      </c>
      <c r="AO60" s="6">
        <v>0</v>
      </c>
      <c r="AP60" s="6">
        <v>82</v>
      </c>
      <c r="AQ60" s="6">
        <v>1779</v>
      </c>
      <c r="AR60" s="6">
        <v>0</v>
      </c>
      <c r="AS60" s="6">
        <v>0</v>
      </c>
      <c r="AT60" s="6">
        <v>1861</v>
      </c>
      <c r="AU60" s="6">
        <f t="shared" si="70"/>
        <v>2</v>
      </c>
      <c r="AV60" s="6">
        <f t="shared" si="71"/>
        <v>0</v>
      </c>
      <c r="AW60" s="6">
        <f t="shared" si="72"/>
        <v>0</v>
      </c>
      <c r="AX60" s="6"/>
      <c r="AY60" s="6">
        <f t="shared" si="73"/>
        <v>109655.4159565455</v>
      </c>
      <c r="AZ60" s="6">
        <f t="shared" si="74"/>
        <v>394587.08715976734</v>
      </c>
      <c r="BA60" s="6">
        <f t="shared" si="75"/>
        <v>106408</v>
      </c>
      <c r="BB60" s="6">
        <f t="shared" si="76"/>
        <v>283880</v>
      </c>
      <c r="BC60" s="6">
        <f t="shared" si="77"/>
        <v>316370</v>
      </c>
      <c r="BD60" s="6">
        <f t="shared" si="78"/>
        <v>270403.30000000005</v>
      </c>
      <c r="BE60" s="6">
        <v>35.16829317</v>
      </c>
      <c r="BF60" s="6">
        <f t="shared" si="79"/>
        <v>1481303.803116313</v>
      </c>
      <c r="BG60" s="6">
        <f t="shared" si="80"/>
        <v>1656141.0201043596</v>
      </c>
      <c r="BH60" s="6"/>
      <c r="BK60" s="30" t="str">
        <f t="shared" si="81"/>
        <v>Hornslet Vandværk A.m.b.a</v>
      </c>
      <c r="BL60" s="23">
        <f t="shared" si="82"/>
        <v>7.402628395731951</v>
      </c>
      <c r="BM60" s="23">
        <f t="shared" si="83"/>
        <v>26.63782313456898</v>
      </c>
      <c r="BN60" s="23">
        <f t="shared" si="84"/>
        <v>7.183401526151672</v>
      </c>
      <c r="BO60" s="23">
        <f t="shared" si="85"/>
        <v>19.164198417825133</v>
      </c>
      <c r="BP60" s="23">
        <f t="shared" si="86"/>
        <v>21.357536471210857</v>
      </c>
      <c r="BQ60" s="23">
        <f t="shared" si="87"/>
        <v>18.254412054511402</v>
      </c>
      <c r="BR60" s="23"/>
      <c r="BS60" s="23">
        <f t="shared" si="88"/>
        <v>39.611948525722255</v>
      </c>
      <c r="BT60" s="23"/>
      <c r="BU60" s="23">
        <f t="shared" si="45"/>
        <v>3.7322609092072243</v>
      </c>
      <c r="BV60" s="23">
        <f t="shared" si="46"/>
        <v>5.158166644187894</v>
      </c>
      <c r="BW60" s="23">
        <f t="shared" si="47"/>
        <v>-2.845136117160272</v>
      </c>
      <c r="BX60" s="23">
        <f t="shared" si="48"/>
        <v>4.641090609143074</v>
      </c>
      <c r="BY60" s="23">
        <f t="shared" si="49"/>
        <v>-5.771090060383102</v>
      </c>
      <c r="BZ60" s="23">
        <f t="shared" si="50"/>
        <v>-4.915291984994829</v>
      </c>
      <c r="CA60" s="23"/>
      <c r="CB60" s="23">
        <f t="shared" si="51"/>
        <v>-10.686382045377933</v>
      </c>
      <c r="CC60" s="23">
        <f t="shared" si="52"/>
        <v>-0.37120150371271216</v>
      </c>
    </row>
    <row r="61" spans="1:81" ht="15" customHeight="1">
      <c r="A61" s="1" t="s">
        <v>67</v>
      </c>
      <c r="B61" s="10">
        <v>10167941</v>
      </c>
      <c r="C61" s="10">
        <f t="shared" si="53"/>
        <v>10218780.704999998</v>
      </c>
      <c r="D61" s="10">
        <v>9447931.937379599</v>
      </c>
      <c r="E61" s="10">
        <v>2709666.879640469</v>
      </c>
      <c r="F61" s="23" t="str">
        <f t="shared" si="54"/>
        <v>ingen</v>
      </c>
      <c r="G61" s="10"/>
      <c r="H61" s="10">
        <f t="shared" si="55"/>
        <v>9447931.937379599</v>
      </c>
      <c r="I61" s="10"/>
      <c r="J61" s="10">
        <f t="shared" si="56"/>
        <v>11168649.460827371</v>
      </c>
      <c r="K61" s="10">
        <f t="shared" si="57"/>
        <v>11891208.53914838</v>
      </c>
      <c r="L61" s="10"/>
      <c r="M61" s="10">
        <f t="shared" si="58"/>
        <v>14003029.04204125</v>
      </c>
      <c r="N61" s="10">
        <f t="shared" si="59"/>
        <v>14725588.12036226</v>
      </c>
      <c r="P61" s="23">
        <f>'Potentialer og krav'!U61</f>
        <v>262450.97263227415</v>
      </c>
      <c r="Q61" s="10"/>
      <c r="R61" s="23">
        <f t="shared" si="60"/>
        <v>50839.705</v>
      </c>
      <c r="S61" s="23">
        <f t="shared" si="61"/>
        <v>235031.95621499995</v>
      </c>
      <c r="T61" s="23">
        <f t="shared" si="62"/>
        <v>6738265.057739129</v>
      </c>
      <c r="U61" s="23">
        <f t="shared" si="63"/>
        <v>217302.43455973075</v>
      </c>
      <c r="V61" s="23">
        <f t="shared" si="64"/>
        <v>9665234.37193933</v>
      </c>
      <c r="W61" s="23">
        <f t="shared" si="65"/>
        <v>10453812.661214998</v>
      </c>
      <c r="X61" s="23">
        <f t="shared" si="66"/>
        <v>217302.43455973075</v>
      </c>
      <c r="Y61" s="23">
        <f t="shared" si="67"/>
        <v>9665234.37193933</v>
      </c>
      <c r="Z61" s="23">
        <f t="shared" si="68"/>
        <v>788578.2892756686</v>
      </c>
      <c r="AA61" s="23" t="str">
        <f t="shared" si="69"/>
        <v>ingen</v>
      </c>
      <c r="AB61" s="23"/>
      <c r="AC61" s="35" t="s">
        <v>67</v>
      </c>
      <c r="AD61" s="6">
        <v>78</v>
      </c>
      <c r="AE61" s="6">
        <v>1125011</v>
      </c>
      <c r="AF61" s="6">
        <v>2373252</v>
      </c>
      <c r="AG61" s="6">
        <v>1</v>
      </c>
      <c r="AH61" s="6">
        <v>0</v>
      </c>
      <c r="AI61" s="6">
        <v>0</v>
      </c>
      <c r="AJ61" s="6">
        <v>4</v>
      </c>
      <c r="AK61" s="6">
        <v>1</v>
      </c>
      <c r="AL61" s="6">
        <v>19</v>
      </c>
      <c r="AM61" s="6">
        <v>141</v>
      </c>
      <c r="AN61" s="6">
        <v>28</v>
      </c>
      <c r="AO61" s="6">
        <v>0</v>
      </c>
      <c r="AP61" s="6">
        <v>138</v>
      </c>
      <c r="AQ61" s="6">
        <v>5810</v>
      </c>
      <c r="AR61" s="6">
        <v>898</v>
      </c>
      <c r="AS61" s="6">
        <v>0</v>
      </c>
      <c r="AT61" s="6">
        <v>8063</v>
      </c>
      <c r="AU61" s="6">
        <f t="shared" si="70"/>
        <v>1</v>
      </c>
      <c r="AV61" s="6">
        <f t="shared" si="71"/>
        <v>4</v>
      </c>
      <c r="AW61" s="6">
        <f t="shared" si="72"/>
        <v>1</v>
      </c>
      <c r="AX61" s="6"/>
      <c r="AY61" s="6">
        <f t="shared" si="73"/>
        <v>564788.8356001003</v>
      </c>
      <c r="AZ61" s="6">
        <f t="shared" si="74"/>
        <v>4546290.725227269</v>
      </c>
      <c r="BA61" s="6">
        <f t="shared" si="75"/>
        <v>965876</v>
      </c>
      <c r="BB61" s="6">
        <f t="shared" si="76"/>
        <v>2433040</v>
      </c>
      <c r="BC61" s="6">
        <f t="shared" si="77"/>
        <v>1487100</v>
      </c>
      <c r="BD61" s="6">
        <f t="shared" si="78"/>
        <v>1171553.9000000001</v>
      </c>
      <c r="BE61" s="6">
        <v>32.2052942</v>
      </c>
      <c r="BF61" s="6">
        <f t="shared" si="79"/>
        <v>11168649.460827371</v>
      </c>
      <c r="BG61" s="6">
        <f t="shared" si="80"/>
        <v>11891208.53914838</v>
      </c>
      <c r="BH61" s="6"/>
      <c r="BK61" s="30" t="str">
        <f t="shared" si="81"/>
        <v>HTK Vand A/S</v>
      </c>
      <c r="BL61" s="23">
        <f t="shared" si="82"/>
        <v>5.0569125441802605</v>
      </c>
      <c r="BM61" s="23">
        <f t="shared" si="83"/>
        <v>40.70582339586188</v>
      </c>
      <c r="BN61" s="23">
        <f t="shared" si="84"/>
        <v>8.648100232599191</v>
      </c>
      <c r="BO61" s="23">
        <f t="shared" si="85"/>
        <v>21.784549766142998</v>
      </c>
      <c r="BP61" s="23">
        <f t="shared" si="86"/>
        <v>13.31494918177722</v>
      </c>
      <c r="BQ61" s="23">
        <f t="shared" si="87"/>
        <v>10.489664879438445</v>
      </c>
      <c r="BR61" s="23"/>
      <c r="BS61" s="23">
        <f t="shared" si="88"/>
        <v>23.804614061215666</v>
      </c>
      <c r="BT61" s="23"/>
      <c r="BU61" s="23">
        <f t="shared" si="45"/>
        <v>6.077976760758915</v>
      </c>
      <c r="BV61" s="23">
        <f t="shared" si="46"/>
        <v>-8.909833617105004</v>
      </c>
      <c r="BW61" s="23">
        <f t="shared" si="47"/>
        <v>-4.30983482360779</v>
      </c>
      <c r="BX61" s="23">
        <f t="shared" si="48"/>
        <v>2.0207392608252093</v>
      </c>
      <c r="BY61" s="23">
        <f t="shared" si="49"/>
        <v>2.271497229050535</v>
      </c>
      <c r="BZ61" s="23">
        <f t="shared" si="50"/>
        <v>2.849455190078128</v>
      </c>
      <c r="CA61" s="23"/>
      <c r="CB61" s="23">
        <f t="shared" si="51"/>
        <v>5.120952419128656</v>
      </c>
      <c r="CC61" s="23">
        <f t="shared" si="52"/>
        <v>0</v>
      </c>
    </row>
    <row r="62" spans="1:81" ht="15" customHeight="1">
      <c r="A62" s="1" t="s">
        <v>68</v>
      </c>
      <c r="B62" s="10">
        <v>1792155</v>
      </c>
      <c r="C62" s="10">
        <f t="shared" si="53"/>
        <v>1801115.775</v>
      </c>
      <c r="D62" s="10">
        <v>1733803.142582</v>
      </c>
      <c r="E62" s="10">
        <v>567.0384339883421</v>
      </c>
      <c r="F62" s="23" t="str">
        <f t="shared" si="54"/>
        <v>ingen</v>
      </c>
      <c r="G62" s="10"/>
      <c r="H62" s="10">
        <f t="shared" si="55"/>
        <v>1733803.142582</v>
      </c>
      <c r="I62" s="10"/>
      <c r="J62" s="10">
        <f t="shared" si="56"/>
        <v>2909591.7329877117</v>
      </c>
      <c r="K62" s="10">
        <f t="shared" si="57"/>
        <v>2974245.43962964</v>
      </c>
      <c r="L62" s="10"/>
      <c r="M62" s="10">
        <f t="shared" si="58"/>
        <v>3429732.6757623116</v>
      </c>
      <c r="N62" s="10">
        <f t="shared" si="59"/>
        <v>3494386.38240424</v>
      </c>
      <c r="P62" s="23">
        <f>'Potentialer og krav'!U62</f>
        <v>0</v>
      </c>
      <c r="Q62" s="10"/>
      <c r="R62" s="23">
        <f t="shared" si="60"/>
        <v>8960.775</v>
      </c>
      <c r="S62" s="23">
        <f t="shared" si="61"/>
        <v>41425.662825</v>
      </c>
      <c r="T62" s="23">
        <f t="shared" si="62"/>
        <v>1733236.1041480117</v>
      </c>
      <c r="U62" s="23">
        <f t="shared" si="63"/>
        <v>39877.472279386</v>
      </c>
      <c r="V62" s="23">
        <f t="shared" si="64"/>
        <v>1773680.614861386</v>
      </c>
      <c r="W62" s="23">
        <f t="shared" si="65"/>
        <v>1842541.4378249997</v>
      </c>
      <c r="X62" s="23">
        <f t="shared" si="66"/>
        <v>39877.472279386</v>
      </c>
      <c r="Y62" s="23">
        <f t="shared" si="67"/>
        <v>1773680.614861386</v>
      </c>
      <c r="Z62" s="23">
        <f t="shared" si="68"/>
        <v>68860.82296361378</v>
      </c>
      <c r="AA62" s="23" t="str">
        <f t="shared" si="69"/>
        <v>ingen</v>
      </c>
      <c r="AB62" s="23"/>
      <c r="AC62" s="35" t="s">
        <v>68</v>
      </c>
      <c r="AD62" s="6">
        <v>301</v>
      </c>
      <c r="AE62" s="6">
        <v>393918</v>
      </c>
      <c r="AF62" s="6">
        <v>383918</v>
      </c>
      <c r="AG62" s="6">
        <v>8</v>
      </c>
      <c r="AH62" s="6"/>
      <c r="AI62" s="6"/>
      <c r="AJ62" s="6"/>
      <c r="AK62" s="6"/>
      <c r="AL62" s="6">
        <v>81</v>
      </c>
      <c r="AM62" s="6">
        <v>54</v>
      </c>
      <c r="AN62" s="6"/>
      <c r="AO62" s="6"/>
      <c r="AP62" s="6">
        <v>287</v>
      </c>
      <c r="AQ62" s="6">
        <v>1842</v>
      </c>
      <c r="AR62" s="6"/>
      <c r="AS62" s="6"/>
      <c r="AT62" s="6">
        <v>2140</v>
      </c>
      <c r="AU62" s="6">
        <f t="shared" si="70"/>
        <v>8</v>
      </c>
      <c r="AV62" s="6">
        <f t="shared" si="71"/>
        <v>0</v>
      </c>
      <c r="AW62" s="6">
        <f t="shared" si="72"/>
        <v>0</v>
      </c>
      <c r="AX62" s="6"/>
      <c r="AY62" s="6">
        <f t="shared" si="73"/>
        <v>296810.53242236003</v>
      </c>
      <c r="AZ62" s="6">
        <f t="shared" si="74"/>
        <v>698877.2005653515</v>
      </c>
      <c r="BA62" s="6">
        <f t="shared" si="75"/>
        <v>425632</v>
      </c>
      <c r="BB62" s="6">
        <f t="shared" si="76"/>
        <v>815400</v>
      </c>
      <c r="BC62" s="6">
        <f t="shared" si="77"/>
        <v>361930</v>
      </c>
      <c r="BD62" s="6">
        <f t="shared" si="78"/>
        <v>310942</v>
      </c>
      <c r="BE62" s="6">
        <v>29.84560478611545</v>
      </c>
      <c r="BF62" s="6">
        <f t="shared" si="79"/>
        <v>2909591.7329877117</v>
      </c>
      <c r="BG62" s="6">
        <f t="shared" si="80"/>
        <v>2974245.43962964</v>
      </c>
      <c r="BH62" s="6"/>
      <c r="BK62" s="30" t="str">
        <f t="shared" si="81"/>
        <v>Hurup Vandværk</v>
      </c>
      <c r="BL62" s="23">
        <f t="shared" si="82"/>
        <v>10.20110584784967</v>
      </c>
      <c r="BM62" s="23">
        <f t="shared" si="83"/>
        <v>24.0197685689638</v>
      </c>
      <c r="BN62" s="23">
        <f t="shared" si="84"/>
        <v>14.628581569515948</v>
      </c>
      <c r="BO62" s="23">
        <f t="shared" si="85"/>
        <v>28.024550343449985</v>
      </c>
      <c r="BP62" s="23">
        <f t="shared" si="86"/>
        <v>12.43920223915238</v>
      </c>
      <c r="BQ62" s="23">
        <f t="shared" si="87"/>
        <v>10.686791431068217</v>
      </c>
      <c r="BR62" s="23"/>
      <c r="BS62" s="23">
        <f t="shared" si="88"/>
        <v>23.125993670220595</v>
      </c>
      <c r="BT62" s="23"/>
      <c r="BU62" s="23">
        <f t="shared" si="45"/>
        <v>0.9337834570895058</v>
      </c>
      <c r="BV62" s="23">
        <f t="shared" si="46"/>
        <v>7.776221209793071</v>
      </c>
      <c r="BW62" s="23">
        <f t="shared" si="47"/>
        <v>-10.290316160524547</v>
      </c>
      <c r="BX62" s="23">
        <f t="shared" si="48"/>
        <v>-4.219261316481777</v>
      </c>
      <c r="BY62" s="23">
        <f t="shared" si="49"/>
        <v>3.147244171675375</v>
      </c>
      <c r="BZ62" s="23">
        <f t="shared" si="50"/>
        <v>2.652328638448356</v>
      </c>
      <c r="CA62" s="23"/>
      <c r="CB62" s="23">
        <f t="shared" si="51"/>
        <v>5.799572810123728</v>
      </c>
      <c r="CC62" s="23">
        <f t="shared" si="52"/>
        <v>0</v>
      </c>
    </row>
    <row r="63" spans="1:81" ht="15" customHeight="1">
      <c r="A63" s="1" t="s">
        <v>69</v>
      </c>
      <c r="B63" s="10">
        <v>1694244</v>
      </c>
      <c r="C63" s="10">
        <f t="shared" si="53"/>
        <v>1702715.2199999997</v>
      </c>
      <c r="D63" s="10">
        <v>1558923.9337182</v>
      </c>
      <c r="E63" s="10">
        <v>435014.50774517085</v>
      </c>
      <c r="F63" s="23" t="str">
        <f t="shared" si="54"/>
        <v>ingen</v>
      </c>
      <c r="G63" s="3"/>
      <c r="H63" s="10">
        <f t="shared" si="55"/>
        <v>1558923.9337182</v>
      </c>
      <c r="I63" s="10"/>
      <c r="J63" s="10">
        <f t="shared" si="56"/>
        <v>1846699.96166752</v>
      </c>
      <c r="K63" s="10">
        <f t="shared" si="57"/>
        <v>2001591.0848405086</v>
      </c>
      <c r="L63" s="10"/>
      <c r="M63" s="10">
        <f t="shared" si="58"/>
        <v>2314377.14178298</v>
      </c>
      <c r="N63" s="10">
        <f t="shared" si="59"/>
        <v>2469268.2649559686</v>
      </c>
      <c r="P63" s="23">
        <f>'Potentialer og krav'!U63</f>
        <v>40290.53274445223</v>
      </c>
      <c r="Q63" s="10"/>
      <c r="R63" s="23">
        <f t="shared" si="60"/>
        <v>8471.22</v>
      </c>
      <c r="S63" s="23">
        <f t="shared" si="61"/>
        <v>39162.450059999996</v>
      </c>
      <c r="T63" s="23">
        <f t="shared" si="62"/>
        <v>1123909.4259730293</v>
      </c>
      <c r="U63" s="23">
        <f t="shared" si="63"/>
        <v>35855.2504755186</v>
      </c>
      <c r="V63" s="23">
        <f t="shared" si="64"/>
        <v>1594779.1841937185</v>
      </c>
      <c r="W63" s="23">
        <f t="shared" si="65"/>
        <v>1741877.6700599997</v>
      </c>
      <c r="X63" s="23">
        <f t="shared" si="66"/>
        <v>35855.2504755186</v>
      </c>
      <c r="Y63" s="23">
        <f t="shared" si="67"/>
        <v>1594779.1841937185</v>
      </c>
      <c r="Z63" s="23">
        <f t="shared" si="68"/>
        <v>147098.4858662812</v>
      </c>
      <c r="AA63" s="23" t="str">
        <f t="shared" si="69"/>
        <v>ingen</v>
      </c>
      <c r="AB63" s="23"/>
      <c r="AC63" s="35" t="s">
        <v>69</v>
      </c>
      <c r="AD63" s="6">
        <v>22</v>
      </c>
      <c r="AE63" s="6">
        <v>279836</v>
      </c>
      <c r="AF63" s="6">
        <v>276836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39</v>
      </c>
      <c r="AM63" s="6">
        <v>52</v>
      </c>
      <c r="AN63" s="6">
        <v>0</v>
      </c>
      <c r="AO63" s="6">
        <v>0</v>
      </c>
      <c r="AP63" s="6">
        <v>281</v>
      </c>
      <c r="AQ63" s="6">
        <v>1862</v>
      </c>
      <c r="AR63" s="6">
        <v>0</v>
      </c>
      <c r="AS63" s="6">
        <v>0</v>
      </c>
      <c r="AT63" s="6">
        <v>2070</v>
      </c>
      <c r="AU63" s="6">
        <f t="shared" si="70"/>
        <v>0</v>
      </c>
      <c r="AV63" s="6">
        <f t="shared" si="71"/>
        <v>0</v>
      </c>
      <c r="AW63" s="6">
        <f t="shared" si="72"/>
        <v>0</v>
      </c>
      <c r="AX63" s="6"/>
      <c r="AY63" s="6">
        <f t="shared" si="73"/>
        <v>132624.97867145846</v>
      </c>
      <c r="AZ63" s="6">
        <f t="shared" si="74"/>
        <v>499353.9829960616</v>
      </c>
      <c r="BA63" s="6">
        <f t="shared" si="75"/>
        <v>0</v>
      </c>
      <c r="BB63" s="6">
        <f t="shared" si="76"/>
        <v>549640</v>
      </c>
      <c r="BC63" s="6">
        <f t="shared" si="77"/>
        <v>364310</v>
      </c>
      <c r="BD63" s="6">
        <f t="shared" si="78"/>
        <v>300771</v>
      </c>
      <c r="BE63" s="6">
        <v>33.27080818</v>
      </c>
      <c r="BF63" s="6">
        <f t="shared" si="79"/>
        <v>1846699.96166752</v>
      </c>
      <c r="BG63" s="6">
        <f t="shared" si="80"/>
        <v>2001591.0848405086</v>
      </c>
      <c r="BH63" s="6"/>
      <c r="BK63" s="30" t="str">
        <f t="shared" si="81"/>
        <v>Høng Vandværk a.m.b.a.</v>
      </c>
      <c r="BL63" s="23">
        <f t="shared" si="82"/>
        <v>7.181728565787249</v>
      </c>
      <c r="BM63" s="23">
        <f t="shared" si="83"/>
        <v>27.040341872599516</v>
      </c>
      <c r="BN63" s="23">
        <f t="shared" si="84"/>
        <v>0</v>
      </c>
      <c r="BO63" s="23">
        <f t="shared" si="85"/>
        <v>29.763362289978605</v>
      </c>
      <c r="BP63" s="23">
        <f t="shared" si="86"/>
        <v>19.727622654577733</v>
      </c>
      <c r="BQ63" s="23">
        <f t="shared" si="87"/>
        <v>16.2869446170569</v>
      </c>
      <c r="BR63" s="23"/>
      <c r="BS63" s="23">
        <f t="shared" si="88"/>
        <v>36.01456727163463</v>
      </c>
      <c r="BT63" s="23"/>
      <c r="BU63" s="23">
        <f t="shared" si="45"/>
        <v>3.953160739151927</v>
      </c>
      <c r="BV63" s="23">
        <f t="shared" si="46"/>
        <v>4.755647906157357</v>
      </c>
      <c r="BW63" s="23">
        <f t="shared" si="47"/>
        <v>4.338265408991401</v>
      </c>
      <c r="BX63" s="23">
        <f t="shared" si="48"/>
        <v>-5.958073263010398</v>
      </c>
      <c r="BY63" s="23">
        <f t="shared" si="49"/>
        <v>-4.141176243749978</v>
      </c>
      <c r="BZ63" s="23">
        <f t="shared" si="50"/>
        <v>-2.9478245475403266</v>
      </c>
      <c r="CA63" s="23"/>
      <c r="CB63" s="23">
        <f t="shared" si="51"/>
        <v>-7.08900079129031</v>
      </c>
      <c r="CC63" s="23">
        <f t="shared" si="52"/>
        <v>0</v>
      </c>
    </row>
    <row r="64" spans="1:81" ht="15" customHeight="1">
      <c r="A64" s="1" t="s">
        <v>70</v>
      </c>
      <c r="B64" s="10">
        <v>1600367</v>
      </c>
      <c r="C64" s="10">
        <f t="shared" si="53"/>
        <v>1608368.8349999997</v>
      </c>
      <c r="D64" s="10">
        <v>1518462</v>
      </c>
      <c r="E64" s="10">
        <v>0</v>
      </c>
      <c r="F64" s="23" t="str">
        <f t="shared" si="54"/>
        <v>ingen</v>
      </c>
      <c r="G64" s="3"/>
      <c r="H64" s="10">
        <f t="shared" si="55"/>
        <v>1518462</v>
      </c>
      <c r="I64" s="10"/>
      <c r="J64" s="10">
        <f t="shared" si="56"/>
        <v>2650912.3730378672</v>
      </c>
      <c r="K64" s="10">
        <f t="shared" si="57"/>
        <v>2854112.4045822998</v>
      </c>
      <c r="L64" s="10"/>
      <c r="M64" s="10">
        <f t="shared" si="58"/>
        <v>3106450.9730378673</v>
      </c>
      <c r="N64" s="10">
        <f t="shared" si="59"/>
        <v>3309651.0045823</v>
      </c>
      <c r="P64" s="23">
        <f>'Potentialer og krav'!U64</f>
        <v>0</v>
      </c>
      <c r="Q64" s="10"/>
      <c r="R64" s="23">
        <f t="shared" si="60"/>
        <v>8001.835</v>
      </c>
      <c r="S64" s="23">
        <f t="shared" si="61"/>
        <v>36992.48320499999</v>
      </c>
      <c r="T64" s="23">
        <f t="shared" si="62"/>
        <v>1518462</v>
      </c>
      <c r="U64" s="23">
        <f t="shared" si="63"/>
        <v>34924.626</v>
      </c>
      <c r="V64" s="23">
        <f t="shared" si="64"/>
        <v>1553386.626</v>
      </c>
      <c r="W64" s="23">
        <f t="shared" si="65"/>
        <v>1645361.3182049997</v>
      </c>
      <c r="X64" s="23">
        <f t="shared" si="66"/>
        <v>34924.626</v>
      </c>
      <c r="Y64" s="23">
        <f t="shared" si="67"/>
        <v>1553386.626</v>
      </c>
      <c r="Z64" s="23">
        <f t="shared" si="68"/>
        <v>91974.69220499974</v>
      </c>
      <c r="AA64" s="23" t="str">
        <f t="shared" si="69"/>
        <v>ingen</v>
      </c>
      <c r="AB64" s="23"/>
      <c r="AC64" s="35" t="s">
        <v>70</v>
      </c>
      <c r="AD64" s="6">
        <v>0</v>
      </c>
      <c r="AE64" s="6">
        <v>389829</v>
      </c>
      <c r="AF64" s="6">
        <v>382732</v>
      </c>
      <c r="AG64" s="6">
        <v>8</v>
      </c>
      <c r="AH64" s="6"/>
      <c r="AI64" s="6"/>
      <c r="AJ64" s="6"/>
      <c r="AK64" s="6"/>
      <c r="AL64" s="6">
        <v>101</v>
      </c>
      <c r="AM64" s="6">
        <v>26</v>
      </c>
      <c r="AN64" s="6">
        <v>0</v>
      </c>
      <c r="AO64" s="6">
        <v>0</v>
      </c>
      <c r="AP64" s="6">
        <v>1144</v>
      </c>
      <c r="AQ64" s="6">
        <v>1263</v>
      </c>
      <c r="AR64" s="6">
        <v>0</v>
      </c>
      <c r="AS64" s="6">
        <v>0</v>
      </c>
      <c r="AT64" s="6">
        <v>2425</v>
      </c>
      <c r="AU64" s="6">
        <f t="shared" si="70"/>
        <v>8</v>
      </c>
      <c r="AV64" s="6">
        <f t="shared" si="71"/>
        <v>0</v>
      </c>
      <c r="AW64" s="6">
        <f t="shared" si="72"/>
        <v>0</v>
      </c>
      <c r="AX64" s="6"/>
      <c r="AY64" s="6">
        <f t="shared" si="73"/>
        <v>0</v>
      </c>
      <c r="AZ64" s="6">
        <f t="shared" si="74"/>
        <v>696657.873037867</v>
      </c>
      <c r="BA64" s="6">
        <f t="shared" si="75"/>
        <v>425632</v>
      </c>
      <c r="BB64" s="6">
        <f t="shared" si="76"/>
        <v>767080</v>
      </c>
      <c r="BC64" s="6">
        <f t="shared" si="77"/>
        <v>409190</v>
      </c>
      <c r="BD64" s="6">
        <f t="shared" si="78"/>
        <v>352352.5</v>
      </c>
      <c r="BE64" s="6">
        <v>32.86960368</v>
      </c>
      <c r="BF64" s="6">
        <f t="shared" si="79"/>
        <v>2650912.3730378672</v>
      </c>
      <c r="BG64" s="6">
        <f t="shared" si="80"/>
        <v>2854112.4045822998</v>
      </c>
      <c r="BH64" s="6"/>
      <c r="BK64" s="30" t="str">
        <f t="shared" si="81"/>
        <v>Haarby Vandværk</v>
      </c>
      <c r="BL64" s="23">
        <f t="shared" si="82"/>
        <v>0</v>
      </c>
      <c r="BM64" s="23">
        <f t="shared" si="83"/>
        <v>26.279928379507982</v>
      </c>
      <c r="BN64" s="23">
        <f t="shared" si="84"/>
        <v>16.056056938322648</v>
      </c>
      <c r="BO64" s="23">
        <f t="shared" si="85"/>
        <v>28.936452513552872</v>
      </c>
      <c r="BP64" s="23">
        <f t="shared" si="86"/>
        <v>15.435817651380168</v>
      </c>
      <c r="BQ64" s="23">
        <f t="shared" si="87"/>
        <v>13.291744517236323</v>
      </c>
      <c r="BR64" s="23"/>
      <c r="BS64" s="23">
        <f t="shared" si="88"/>
        <v>28.72756216861649</v>
      </c>
      <c r="BT64" s="23"/>
      <c r="BU64" s="23">
        <f t="shared" si="45"/>
        <v>11.134889304939176</v>
      </c>
      <c r="BV64" s="23">
        <f t="shared" si="46"/>
        <v>5.5160613992488905</v>
      </c>
      <c r="BW64" s="23">
        <f t="shared" si="47"/>
        <v>-11.717791529331247</v>
      </c>
      <c r="BX64" s="23">
        <f t="shared" si="48"/>
        <v>-5.131163486584665</v>
      </c>
      <c r="BY64" s="23">
        <f t="shared" si="49"/>
        <v>0.1506287594475868</v>
      </c>
      <c r="BZ64" s="23">
        <f t="shared" si="50"/>
        <v>0.04737555228025059</v>
      </c>
      <c r="CA64" s="23"/>
      <c r="CB64" s="23">
        <f t="shared" si="51"/>
        <v>0.19800431172783206</v>
      </c>
      <c r="CC64" s="23">
        <f t="shared" si="52"/>
        <v>0</v>
      </c>
    </row>
    <row r="65" spans="1:81" ht="15" customHeight="1">
      <c r="A65" s="13" t="s">
        <v>125</v>
      </c>
      <c r="B65" s="10">
        <v>1707532</v>
      </c>
      <c r="C65" s="10">
        <f t="shared" si="53"/>
        <v>1716069.66</v>
      </c>
      <c r="D65" s="10">
        <v>1413070.0484320002</v>
      </c>
      <c r="E65" s="10">
        <v>404272.55812016275</v>
      </c>
      <c r="F65" s="23" t="str">
        <f t="shared" si="54"/>
        <v>ingen</v>
      </c>
      <c r="G65" s="3"/>
      <c r="H65" s="10">
        <f t="shared" si="55"/>
        <v>1413070.0484320002</v>
      </c>
      <c r="I65" s="10"/>
      <c r="J65" s="10">
        <f t="shared" si="56"/>
        <v>1702394.2363599555</v>
      </c>
      <c r="K65" s="10">
        <f t="shared" si="57"/>
        <v>1644858.4043391412</v>
      </c>
      <c r="L65" s="10"/>
      <c r="M65" s="10">
        <f t="shared" si="58"/>
        <v>2126315.2508895556</v>
      </c>
      <c r="N65" s="10">
        <f t="shared" si="59"/>
        <v>2068779.4188687413</v>
      </c>
      <c r="P65" s="23">
        <f>'Potentialer og krav'!U65</f>
        <v>38266.805458651856</v>
      </c>
      <c r="Q65" s="10"/>
      <c r="R65" s="23">
        <f t="shared" si="60"/>
        <v>8537.66</v>
      </c>
      <c r="S65" s="23">
        <f t="shared" si="61"/>
        <v>39469.602179999994</v>
      </c>
      <c r="T65" s="23">
        <f t="shared" si="62"/>
        <v>1008797.4903118375</v>
      </c>
      <c r="U65" s="23">
        <f t="shared" si="63"/>
        <v>32500.611113936004</v>
      </c>
      <c r="V65" s="23">
        <f t="shared" si="64"/>
        <v>1445570.6595459362</v>
      </c>
      <c r="W65" s="23">
        <f t="shared" si="65"/>
        <v>1755539.2621799998</v>
      </c>
      <c r="X65" s="23">
        <f t="shared" si="66"/>
        <v>32500.611113936004</v>
      </c>
      <c r="Y65" s="23">
        <f t="shared" si="67"/>
        <v>1445570.6595459362</v>
      </c>
      <c r="Z65" s="23">
        <f t="shared" si="68"/>
        <v>309968.6026340637</v>
      </c>
      <c r="AA65" s="23" t="str">
        <f t="shared" si="69"/>
        <v>ingen</v>
      </c>
      <c r="AB65" s="23"/>
      <c r="AC65" s="13" t="s">
        <v>181</v>
      </c>
      <c r="AD65" s="3">
        <v>145</v>
      </c>
      <c r="AE65" s="3">
        <v>235885</v>
      </c>
      <c r="AF65" s="3">
        <v>227138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69.6</v>
      </c>
      <c r="AM65" s="3">
        <v>35</v>
      </c>
      <c r="AN65" s="3">
        <v>0</v>
      </c>
      <c r="AO65" s="3">
        <v>0</v>
      </c>
      <c r="AP65" s="3">
        <v>280</v>
      </c>
      <c r="AQ65" s="3">
        <v>1212</v>
      </c>
      <c r="AR65" s="3">
        <v>0</v>
      </c>
      <c r="AS65" s="3">
        <v>0</v>
      </c>
      <c r="AT65" s="3">
        <v>1681</v>
      </c>
      <c r="AU65" s="6">
        <f t="shared" si="70"/>
        <v>0</v>
      </c>
      <c r="AV65" s="6">
        <f t="shared" si="71"/>
        <v>0</v>
      </c>
      <c r="AW65" s="6">
        <f t="shared" si="72"/>
        <v>0</v>
      </c>
      <c r="AX65" s="6"/>
      <c r="AY65" s="6">
        <f t="shared" si="73"/>
        <v>165275.33592335702</v>
      </c>
      <c r="AZ65" s="6">
        <f t="shared" si="74"/>
        <v>407445.6004365983</v>
      </c>
      <c r="BA65" s="6">
        <f t="shared" si="75"/>
        <v>0</v>
      </c>
      <c r="BB65" s="6">
        <f t="shared" si="76"/>
        <v>631784</v>
      </c>
      <c r="BC65" s="6">
        <f t="shared" si="77"/>
        <v>253640</v>
      </c>
      <c r="BD65" s="6">
        <f t="shared" si="78"/>
        <v>244249.30000000002</v>
      </c>
      <c r="BE65" s="3">
        <v>26.733499542652066</v>
      </c>
      <c r="BF65" s="6">
        <f t="shared" si="79"/>
        <v>1702394.2363599555</v>
      </c>
      <c r="BG65" s="6">
        <f t="shared" si="80"/>
        <v>1644858.4043391412</v>
      </c>
      <c r="BH65" s="6"/>
      <c r="BK65" s="30" t="str">
        <f t="shared" si="81"/>
        <v>Haarlev Vandværk</v>
      </c>
      <c r="BL65" s="23">
        <f t="shared" si="82"/>
        <v>9.708405514620825</v>
      </c>
      <c r="BM65" s="23">
        <f t="shared" si="83"/>
        <v>23.93368067949965</v>
      </c>
      <c r="BN65" s="23">
        <f t="shared" si="84"/>
        <v>0</v>
      </c>
      <c r="BO65" s="23">
        <f t="shared" si="85"/>
        <v>37.11149782502054</v>
      </c>
      <c r="BP65" s="23">
        <f t="shared" si="86"/>
        <v>14.89901660747694</v>
      </c>
      <c r="BQ65" s="23">
        <f t="shared" si="87"/>
        <v>14.347399373382027</v>
      </c>
      <c r="BR65" s="23"/>
      <c r="BS65" s="23">
        <f t="shared" si="88"/>
        <v>29.246415980858966</v>
      </c>
      <c r="BT65" s="23"/>
      <c r="BU65" s="23">
        <f t="shared" si="45"/>
        <v>1.4264837903183505</v>
      </c>
      <c r="BV65" s="23">
        <f t="shared" si="46"/>
        <v>7.862309099257224</v>
      </c>
      <c r="BW65" s="23">
        <f t="shared" si="47"/>
        <v>4.338265408991401</v>
      </c>
      <c r="BX65" s="23">
        <f t="shared" si="48"/>
        <v>-13.306208798052335</v>
      </c>
      <c r="BY65" s="23">
        <f t="shared" si="49"/>
        <v>0.687429803350815</v>
      </c>
      <c r="BZ65" s="23">
        <f t="shared" si="50"/>
        <v>-1.0082793038654536</v>
      </c>
      <c r="CA65" s="23"/>
      <c r="CB65" s="23">
        <f t="shared" si="51"/>
        <v>-0.3208495005146439</v>
      </c>
      <c r="CC65" s="23">
        <f t="shared" si="52"/>
        <v>0</v>
      </c>
    </row>
    <row r="66" spans="1:81" ht="15" customHeight="1">
      <c r="A66" s="1" t="s">
        <v>71</v>
      </c>
      <c r="B66" s="10">
        <v>1132392</v>
      </c>
      <c r="C66" s="10">
        <f t="shared" si="53"/>
        <v>1138053.96</v>
      </c>
      <c r="D66" s="10">
        <v>913807.4000664</v>
      </c>
      <c r="E66" s="10">
        <v>0</v>
      </c>
      <c r="F66" s="23" t="str">
        <f t="shared" si="54"/>
        <v>ingen</v>
      </c>
      <c r="G66" s="10"/>
      <c r="H66" s="10">
        <f t="shared" si="55"/>
        <v>913807.4000664</v>
      </c>
      <c r="I66" s="10"/>
      <c r="J66" s="10">
        <f t="shared" si="56"/>
        <v>1575424.5581094897</v>
      </c>
      <c r="K66" s="10">
        <f t="shared" si="57"/>
        <v>1661525.9929232108</v>
      </c>
      <c r="L66" s="10"/>
      <c r="M66" s="10">
        <f t="shared" si="58"/>
        <v>1849566.7781294098</v>
      </c>
      <c r="N66" s="10">
        <f t="shared" si="59"/>
        <v>1935668.2129431309</v>
      </c>
      <c r="P66" s="23">
        <f>'Potentialer og krav'!U66</f>
        <v>0</v>
      </c>
      <c r="Q66" s="10"/>
      <c r="R66" s="23">
        <f t="shared" si="60"/>
        <v>5661.96</v>
      </c>
      <c r="S66" s="23">
        <f t="shared" si="61"/>
        <v>26175.24108</v>
      </c>
      <c r="T66" s="23">
        <f t="shared" si="62"/>
        <v>913807.4000664</v>
      </c>
      <c r="U66" s="23">
        <f t="shared" si="63"/>
        <v>21017.5702015272</v>
      </c>
      <c r="V66" s="23">
        <f t="shared" si="64"/>
        <v>934824.970267927</v>
      </c>
      <c r="W66" s="23">
        <f t="shared" si="65"/>
        <v>1164229.2010799998</v>
      </c>
      <c r="X66" s="23">
        <f t="shared" si="66"/>
        <v>21017.5702015272</v>
      </c>
      <c r="Y66" s="23">
        <f t="shared" si="67"/>
        <v>934824.970267927</v>
      </c>
      <c r="Z66" s="23">
        <f t="shared" si="68"/>
        <v>229404.23081207275</v>
      </c>
      <c r="AA66" s="23" t="str">
        <f t="shared" si="69"/>
        <v>ingen</v>
      </c>
      <c r="AB66" s="23"/>
      <c r="AC66" s="35" t="s">
        <v>71</v>
      </c>
      <c r="AD66" s="6">
        <v>262</v>
      </c>
      <c r="AE66" s="6">
        <v>378023</v>
      </c>
      <c r="AF66" s="6">
        <v>377583</v>
      </c>
      <c r="AG66" s="6">
        <v>2</v>
      </c>
      <c r="AH66" s="6"/>
      <c r="AI66" s="6"/>
      <c r="AJ66" s="6"/>
      <c r="AK66" s="6"/>
      <c r="AL66" s="6">
        <v>18</v>
      </c>
      <c r="AM66" s="6">
        <v>22</v>
      </c>
      <c r="AN66" s="6"/>
      <c r="AO66" s="6"/>
      <c r="AP66" s="6">
        <v>45</v>
      </c>
      <c r="AQ66" s="6">
        <v>840</v>
      </c>
      <c r="AR66" s="6"/>
      <c r="AS66" s="6"/>
      <c r="AT66" s="6">
        <v>765</v>
      </c>
      <c r="AU66" s="6">
        <f t="shared" si="70"/>
        <v>2</v>
      </c>
      <c r="AV66" s="6">
        <f t="shared" si="71"/>
        <v>0</v>
      </c>
      <c r="AW66" s="6">
        <f t="shared" si="72"/>
        <v>0</v>
      </c>
      <c r="AX66" s="6"/>
      <c r="AY66" s="6">
        <f t="shared" si="73"/>
        <v>278787.1197842143</v>
      </c>
      <c r="AZ66" s="6">
        <f t="shared" si="74"/>
        <v>687024.9383252753</v>
      </c>
      <c r="BA66" s="6">
        <f t="shared" si="75"/>
        <v>106408</v>
      </c>
      <c r="BB66" s="6">
        <f t="shared" si="76"/>
        <v>241600</v>
      </c>
      <c r="BC66" s="6">
        <f t="shared" si="77"/>
        <v>150450</v>
      </c>
      <c r="BD66" s="6">
        <f t="shared" si="78"/>
        <v>111154.50000000001</v>
      </c>
      <c r="BE66" s="6">
        <v>31.6473803</v>
      </c>
      <c r="BF66" s="6">
        <f t="shared" si="79"/>
        <v>1575424.5581094897</v>
      </c>
      <c r="BG66" s="6">
        <f t="shared" si="80"/>
        <v>1661525.9929232108</v>
      </c>
      <c r="BH66" s="6"/>
      <c r="BK66" s="30" t="str">
        <f t="shared" si="81"/>
        <v>I/S Ørslev Vandværk</v>
      </c>
      <c r="BL66" s="23">
        <f t="shared" si="82"/>
        <v>17.695999364054536</v>
      </c>
      <c r="BM66" s="23">
        <f t="shared" si="83"/>
        <v>43.60887576550829</v>
      </c>
      <c r="BN66" s="23">
        <f t="shared" si="84"/>
        <v>6.754242813612709</v>
      </c>
      <c r="BO66" s="23">
        <f t="shared" si="85"/>
        <v>15.335548678377853</v>
      </c>
      <c r="BP66" s="23">
        <f t="shared" si="86"/>
        <v>9.549806699759719</v>
      </c>
      <c r="BQ66" s="23">
        <f t="shared" si="87"/>
        <v>7.055526678686885</v>
      </c>
      <c r="BR66" s="23"/>
      <c r="BS66" s="23">
        <f t="shared" si="88"/>
        <v>16.605333378446602</v>
      </c>
      <c r="BT66" s="23"/>
      <c r="BU66" s="23">
        <f t="shared" si="45"/>
        <v>-6.561110059115361</v>
      </c>
      <c r="BV66" s="23">
        <f t="shared" si="46"/>
        <v>-11.812885986751414</v>
      </c>
      <c r="BW66" s="23">
        <f t="shared" si="47"/>
        <v>-2.4159774046213087</v>
      </c>
      <c r="BX66" s="23">
        <f t="shared" si="48"/>
        <v>8.469740348590355</v>
      </c>
      <c r="BY66" s="23">
        <f t="shared" si="49"/>
        <v>6.036639711068036</v>
      </c>
      <c r="BZ66" s="23">
        <f t="shared" si="50"/>
        <v>6.283593390829688</v>
      </c>
      <c r="CA66" s="23"/>
      <c r="CB66" s="23">
        <f t="shared" si="51"/>
        <v>12.32023310189772</v>
      </c>
      <c r="CC66" s="23">
        <f t="shared" si="52"/>
        <v>0</v>
      </c>
    </row>
    <row r="67" spans="1:81" ht="15" customHeight="1">
      <c r="A67" s="1" t="s">
        <v>4</v>
      </c>
      <c r="B67" s="10">
        <v>726957</v>
      </c>
      <c r="C67" s="10">
        <f t="shared" si="53"/>
        <v>730591.7849999999</v>
      </c>
      <c r="D67" s="10">
        <v>864339.208628</v>
      </c>
      <c r="E67" s="10">
        <v>0</v>
      </c>
      <c r="F67" s="23">
        <f t="shared" si="54"/>
        <v>133747.42362800008</v>
      </c>
      <c r="G67" s="3"/>
      <c r="H67" s="10">
        <f t="shared" si="55"/>
        <v>864339.208628</v>
      </c>
      <c r="I67" s="10"/>
      <c r="J67" s="10">
        <f t="shared" si="56"/>
        <v>1638922.0541032772</v>
      </c>
      <c r="K67" s="10">
        <f t="shared" si="57"/>
        <v>1768471.060878228</v>
      </c>
      <c r="L67" s="10"/>
      <c r="M67" s="10">
        <f t="shared" si="58"/>
        <v>1898223.816691677</v>
      </c>
      <c r="N67" s="10">
        <f t="shared" si="59"/>
        <v>2027772.8234666279</v>
      </c>
      <c r="P67" s="23">
        <f>'Potentialer og krav'!U67</f>
        <v>0</v>
      </c>
      <c r="Q67" s="10"/>
      <c r="R67" s="23">
        <f t="shared" si="60"/>
        <v>3634.785</v>
      </c>
      <c r="S67" s="23">
        <f t="shared" si="61"/>
        <v>16803.611054999998</v>
      </c>
      <c r="T67" s="23">
        <f t="shared" si="62"/>
        <v>864339.208628</v>
      </c>
      <c r="U67" s="23">
        <f t="shared" si="63"/>
        <v>19879.801798444</v>
      </c>
      <c r="V67" s="23">
        <f t="shared" si="64"/>
        <v>884219.0104264439</v>
      </c>
      <c r="W67" s="23">
        <f t="shared" si="65"/>
        <v>747395.3960549999</v>
      </c>
      <c r="X67" s="23">
        <f t="shared" si="66"/>
        <v>19879.801798444</v>
      </c>
      <c r="Y67" s="23">
        <f>D67*1.023</f>
        <v>884219.0104264439</v>
      </c>
      <c r="Z67" s="23">
        <f t="shared" si="68"/>
        <v>-136823.61437144398</v>
      </c>
      <c r="AA67" s="23">
        <f t="shared" si="69"/>
        <v>0</v>
      </c>
      <c r="AB67" s="23"/>
      <c r="AC67" s="35" t="s">
        <v>4</v>
      </c>
      <c r="AD67" s="6">
        <v>277</v>
      </c>
      <c r="AE67" s="6">
        <v>149581</v>
      </c>
      <c r="AF67" s="6">
        <v>149581</v>
      </c>
      <c r="AG67" s="6">
        <v>5</v>
      </c>
      <c r="AH67" s="6">
        <v>0</v>
      </c>
      <c r="AI67" s="6">
        <v>0</v>
      </c>
      <c r="AJ67" s="6">
        <v>0</v>
      </c>
      <c r="AK67" s="6">
        <v>0</v>
      </c>
      <c r="AL67" s="6">
        <v>117</v>
      </c>
      <c r="AM67" s="6">
        <v>0</v>
      </c>
      <c r="AN67" s="6">
        <v>0</v>
      </c>
      <c r="AO67" s="6">
        <v>0</v>
      </c>
      <c r="AP67" s="6">
        <v>843</v>
      </c>
      <c r="AQ67" s="6">
        <v>0</v>
      </c>
      <c r="AR67" s="6">
        <v>0</v>
      </c>
      <c r="AS67" s="6">
        <v>0</v>
      </c>
      <c r="AT67" s="6">
        <v>903</v>
      </c>
      <c r="AU67" s="6">
        <f t="shared" si="70"/>
        <v>5</v>
      </c>
      <c r="AV67" s="6">
        <f t="shared" si="71"/>
        <v>0</v>
      </c>
      <c r="AW67" s="6">
        <f t="shared" si="72"/>
        <v>0</v>
      </c>
      <c r="AX67" s="6"/>
      <c r="AY67" s="6">
        <f t="shared" si="73"/>
        <v>126504.2161321418</v>
      </c>
      <c r="AZ67" s="6">
        <f t="shared" si="74"/>
        <v>265201.93797113554</v>
      </c>
      <c r="BA67" s="6">
        <f t="shared" si="75"/>
        <v>266020</v>
      </c>
      <c r="BB67" s="6">
        <f t="shared" si="76"/>
        <v>706680</v>
      </c>
      <c r="BC67" s="6">
        <f t="shared" si="77"/>
        <v>143310</v>
      </c>
      <c r="BD67" s="6">
        <f t="shared" si="78"/>
        <v>131205.90000000002</v>
      </c>
      <c r="BE67" s="6">
        <v>33.002514</v>
      </c>
      <c r="BF67" s="6">
        <f t="shared" si="79"/>
        <v>1638922.0541032772</v>
      </c>
      <c r="BG67" s="6">
        <f t="shared" si="80"/>
        <v>1768471.060878228</v>
      </c>
      <c r="BH67" s="6"/>
      <c r="BK67" s="30" t="str">
        <f t="shared" si="81"/>
        <v>Jammerbugt Forsyning A/S</v>
      </c>
      <c r="BL67" s="23">
        <f t="shared" si="82"/>
        <v>7.718745123687872</v>
      </c>
      <c r="BM67" s="23">
        <f t="shared" si="83"/>
        <v>16.181485709290712</v>
      </c>
      <c r="BN67" s="23">
        <f t="shared" si="84"/>
        <v>16.231400348416855</v>
      </c>
      <c r="BO67" s="23">
        <f t="shared" si="85"/>
        <v>43.11858506209767</v>
      </c>
      <c r="BP67" s="23">
        <f t="shared" si="86"/>
        <v>8.744162032672804</v>
      </c>
      <c r="BQ67" s="23">
        <f t="shared" si="87"/>
        <v>8.0056217238341</v>
      </c>
      <c r="BR67" s="23"/>
      <c r="BS67" s="23">
        <f t="shared" si="88"/>
        <v>16.749783756506904</v>
      </c>
      <c r="BT67" s="23"/>
      <c r="BU67" s="23">
        <f t="shared" si="45"/>
        <v>3.416144181251304</v>
      </c>
      <c r="BV67" s="23">
        <f t="shared" si="46"/>
        <v>15.614504069466161</v>
      </c>
      <c r="BW67" s="23">
        <f t="shared" si="47"/>
        <v>-11.893134939425455</v>
      </c>
      <c r="BX67" s="23">
        <f t="shared" si="48"/>
        <v>-19.313296035129465</v>
      </c>
      <c r="BY67" s="23">
        <f t="shared" si="49"/>
        <v>6.84228437815495</v>
      </c>
      <c r="BZ67" s="23">
        <f t="shared" si="50"/>
        <v>5.333498345682473</v>
      </c>
      <c r="CA67" s="23"/>
      <c r="CB67" s="23">
        <f t="shared" si="51"/>
        <v>12.175782723837418</v>
      </c>
      <c r="CC67" s="23">
        <f t="shared" si="52"/>
        <v>0</v>
      </c>
    </row>
    <row r="68" spans="1:81" ht="15" customHeight="1">
      <c r="A68" s="1" t="s">
        <v>72</v>
      </c>
      <c r="B68" s="10">
        <f>5751188+327121</f>
        <v>6078309</v>
      </c>
      <c r="C68" s="10">
        <f t="shared" si="53"/>
        <v>6108700.544999999</v>
      </c>
      <c r="D68" s="10">
        <v>3158988</v>
      </c>
      <c r="E68" s="10">
        <v>667178.2656</v>
      </c>
      <c r="F68" s="23" t="str">
        <f t="shared" si="54"/>
        <v>ingen</v>
      </c>
      <c r="G68" s="10"/>
      <c r="H68" s="10">
        <f t="shared" si="55"/>
        <v>3158988</v>
      </c>
      <c r="I68" s="10"/>
      <c r="J68" s="10">
        <f t="shared" si="56"/>
        <v>4999746.95673473</v>
      </c>
      <c r="K68" s="10">
        <f t="shared" si="57"/>
        <v>3526949.378308768</v>
      </c>
      <c r="L68" s="10"/>
      <c r="M68" s="10">
        <f t="shared" si="58"/>
        <v>5947443.35673473</v>
      </c>
      <c r="N68" s="10">
        <f t="shared" si="59"/>
        <v>4474645.778308768</v>
      </c>
      <c r="P68" s="23">
        <f>'Potentialer og krav'!U68</f>
        <v>0</v>
      </c>
      <c r="Q68" s="10"/>
      <c r="R68" s="23">
        <f t="shared" si="60"/>
        <v>30391.545000000002</v>
      </c>
      <c r="S68" s="23">
        <f t="shared" si="61"/>
        <v>140500.11253499996</v>
      </c>
      <c r="T68" s="23">
        <f t="shared" si="62"/>
        <v>2491809.7344</v>
      </c>
      <c r="U68" s="23">
        <f t="shared" si="63"/>
        <v>72656.724</v>
      </c>
      <c r="V68" s="23">
        <f t="shared" si="64"/>
        <v>3231644.724</v>
      </c>
      <c r="W68" s="23">
        <f t="shared" si="65"/>
        <v>6249200.657534999</v>
      </c>
      <c r="X68" s="23">
        <f t="shared" si="66"/>
        <v>72656.724</v>
      </c>
      <c r="Y68" s="23">
        <f t="shared" si="67"/>
        <v>3231644.724</v>
      </c>
      <c r="Z68" s="23">
        <f t="shared" si="68"/>
        <v>3017555.933534999</v>
      </c>
      <c r="AA68" s="23" t="str">
        <f t="shared" si="69"/>
        <v>ingen</v>
      </c>
      <c r="AB68" s="23"/>
      <c r="AC68" s="35" t="s">
        <v>72</v>
      </c>
      <c r="AD68" s="6">
        <f>1.8-1.8</f>
        <v>0</v>
      </c>
      <c r="AE68" s="6">
        <f>3891893-3891893</f>
        <v>0</v>
      </c>
      <c r="AF68" s="6">
        <v>886164</v>
      </c>
      <c r="AG68" s="6">
        <v>0</v>
      </c>
      <c r="AH68" s="6">
        <v>0</v>
      </c>
      <c r="AI68" s="6">
        <v>0</v>
      </c>
      <c r="AJ68" s="6">
        <v>0</v>
      </c>
      <c r="AK68" s="6">
        <v>1</v>
      </c>
      <c r="AL68" s="6"/>
      <c r="AM68" s="6"/>
      <c r="AN68" s="6">
        <v>0</v>
      </c>
      <c r="AO68" s="6">
        <v>0</v>
      </c>
      <c r="AP68" s="6">
        <v>0</v>
      </c>
      <c r="AQ68" s="6">
        <v>6</v>
      </c>
      <c r="AR68" s="6">
        <v>0</v>
      </c>
      <c r="AS68" s="6">
        <v>0</v>
      </c>
      <c r="AT68" s="6">
        <v>8</v>
      </c>
      <c r="AU68" s="6">
        <f t="shared" si="70"/>
        <v>0</v>
      </c>
      <c r="AV68" s="6">
        <f t="shared" si="71"/>
        <v>0</v>
      </c>
      <c r="AW68" s="6">
        <f t="shared" si="72"/>
        <v>1</v>
      </c>
      <c r="AX68" s="6">
        <f>1735575-184320+1383149</f>
        <v>2934404</v>
      </c>
      <c r="AY68" s="6">
        <f t="shared" si="73"/>
        <v>0</v>
      </c>
      <c r="AZ68" s="6">
        <f t="shared" si="74"/>
        <v>1651384.5567347298</v>
      </c>
      <c r="BA68" s="6">
        <f t="shared" si="75"/>
        <v>411776</v>
      </c>
      <c r="BB68" s="6">
        <f t="shared" si="76"/>
        <v>0</v>
      </c>
      <c r="BC68" s="6">
        <f t="shared" si="77"/>
        <v>1020</v>
      </c>
      <c r="BD68" s="6">
        <f t="shared" si="78"/>
        <v>1162.4</v>
      </c>
      <c r="BE68" s="6">
        <v>12.24586535</v>
      </c>
      <c r="BF68" s="6">
        <f t="shared" si="79"/>
        <v>4999746.95673473</v>
      </c>
      <c r="BG68" s="6">
        <f t="shared" si="80"/>
        <v>3526949.378308768</v>
      </c>
      <c r="BH68" s="6"/>
      <c r="BK68" s="30" t="str">
        <f t="shared" si="81"/>
        <v>Kalundborg Overfladevand A/S</v>
      </c>
      <c r="BL68" s="23">
        <f t="shared" si="82"/>
        <v>0</v>
      </c>
      <c r="BM68" s="23">
        <f t="shared" si="83"/>
        <v>79.95691714782029</v>
      </c>
      <c r="BN68" s="23">
        <f t="shared" si="84"/>
        <v>19.93741517152243</v>
      </c>
      <c r="BO68" s="23">
        <f t="shared" si="85"/>
        <v>0</v>
      </c>
      <c r="BP68" s="23">
        <f t="shared" si="86"/>
        <v>0.0493864709816815</v>
      </c>
      <c r="BQ68" s="23">
        <f t="shared" si="87"/>
        <v>0.05628120967559469</v>
      </c>
      <c r="BR68" s="23"/>
      <c r="BS68" s="23">
        <f t="shared" si="88"/>
        <v>0.10566768065727619</v>
      </c>
      <c r="BT68" s="23"/>
      <c r="BU68" s="23">
        <f t="shared" si="45"/>
        <v>11.134889304939176</v>
      </c>
      <c r="BV68" s="23">
        <f t="shared" si="46"/>
        <v>-48.160927369063415</v>
      </c>
      <c r="BW68" s="23">
        <f t="shared" si="47"/>
        <v>-15.599149762531031</v>
      </c>
      <c r="BX68" s="23">
        <f t="shared" si="48"/>
        <v>23.805289026968207</v>
      </c>
      <c r="BY68" s="23">
        <f t="shared" si="49"/>
        <v>15.537059939846072</v>
      </c>
      <c r="BZ68" s="23">
        <f t="shared" si="50"/>
        <v>13.282838859840979</v>
      </c>
      <c r="CA68" s="23"/>
      <c r="CB68" s="23">
        <f t="shared" si="51"/>
        <v>28.819898799687046</v>
      </c>
      <c r="CC68" s="23">
        <f t="shared" si="52"/>
        <v>0</v>
      </c>
    </row>
    <row r="69" spans="1:81" ht="15" customHeight="1">
      <c r="A69" s="1" t="s">
        <v>73</v>
      </c>
      <c r="B69" s="10">
        <v>14551595</v>
      </c>
      <c r="C69" s="10">
        <f t="shared" si="53"/>
        <v>14624352.974999998</v>
      </c>
      <c r="D69" s="10">
        <v>14442086.4997262</v>
      </c>
      <c r="E69" s="10">
        <v>9155530.471737428</v>
      </c>
      <c r="F69" s="23" t="str">
        <f t="shared" si="54"/>
        <v>ingen</v>
      </c>
      <c r="G69" s="10"/>
      <c r="H69" s="10">
        <f t="shared" si="55"/>
        <v>14442086.4997262</v>
      </c>
      <c r="I69" s="10"/>
      <c r="J69" s="10">
        <f t="shared" si="56"/>
        <v>8921315.73119133</v>
      </c>
      <c r="K69" s="10">
        <f t="shared" si="57"/>
        <v>8500205.298823688</v>
      </c>
      <c r="L69" s="10"/>
      <c r="M69" s="10">
        <f t="shared" si="58"/>
        <v>13253941.68110919</v>
      </c>
      <c r="N69" s="10">
        <f t="shared" si="59"/>
        <v>12832831.248741549</v>
      </c>
      <c r="P69" s="23">
        <f>'Potentialer og krav'!U69</f>
        <v>722104.3249863101</v>
      </c>
      <c r="Q69" s="10"/>
      <c r="R69" s="23">
        <f t="shared" si="60"/>
        <v>72757.975</v>
      </c>
      <c r="S69" s="23">
        <f t="shared" si="61"/>
        <v>336360.11842499994</v>
      </c>
      <c r="T69" s="23">
        <f t="shared" si="62"/>
        <v>5286556.027988773</v>
      </c>
      <c r="U69" s="23">
        <f t="shared" si="63"/>
        <v>332167.9894937026</v>
      </c>
      <c r="V69" s="23">
        <f t="shared" si="64"/>
        <v>14774254.489219902</v>
      </c>
      <c r="W69" s="23">
        <f t="shared" si="65"/>
        <v>14960713.093424996</v>
      </c>
      <c r="X69" s="23">
        <f t="shared" si="66"/>
        <v>332167.9894937026</v>
      </c>
      <c r="Y69" s="23">
        <f t="shared" si="67"/>
        <v>14774254.489219902</v>
      </c>
      <c r="Z69" s="23">
        <f t="shared" si="68"/>
        <v>186458.60420509428</v>
      </c>
      <c r="AA69" s="23" t="str">
        <f t="shared" si="69"/>
        <v>ingen</v>
      </c>
      <c r="AB69" s="23"/>
      <c r="AC69" s="35" t="s">
        <v>73</v>
      </c>
      <c r="AD69" s="6">
        <v>202</v>
      </c>
      <c r="AE69" s="6">
        <v>2088412</v>
      </c>
      <c r="AF69" s="6">
        <v>1969529</v>
      </c>
      <c r="AG69" s="6">
        <v>3</v>
      </c>
      <c r="AH69" s="6">
        <v>1</v>
      </c>
      <c r="AI69" s="6">
        <v>1</v>
      </c>
      <c r="AJ69" s="6"/>
      <c r="AK69" s="6"/>
      <c r="AL69" s="6">
        <v>52</v>
      </c>
      <c r="AM69" s="6">
        <v>184</v>
      </c>
      <c r="AN69" s="6"/>
      <c r="AO69" s="6"/>
      <c r="AP69" s="6">
        <v>183</v>
      </c>
      <c r="AQ69" s="6">
        <v>6355</v>
      </c>
      <c r="AR69" s="6"/>
      <c r="AS69" s="6"/>
      <c r="AT69" s="6">
        <v>7796</v>
      </c>
      <c r="AU69" s="6">
        <f t="shared" si="70"/>
        <v>4</v>
      </c>
      <c r="AV69" s="6">
        <f t="shared" si="71"/>
        <v>1</v>
      </c>
      <c r="AW69" s="6">
        <f t="shared" si="72"/>
        <v>0</v>
      </c>
      <c r="AX69" s="6"/>
      <c r="AY69" s="6">
        <f t="shared" si="73"/>
        <v>1160360.4131664578</v>
      </c>
      <c r="AZ69" s="6">
        <f t="shared" si="74"/>
        <v>3753256.518024871</v>
      </c>
      <c r="BA69" s="6">
        <f t="shared" si="75"/>
        <v>338040</v>
      </c>
      <c r="BB69" s="6">
        <f t="shared" si="76"/>
        <v>1425440</v>
      </c>
      <c r="BC69" s="6">
        <f t="shared" si="77"/>
        <v>1111460</v>
      </c>
      <c r="BD69" s="6">
        <f t="shared" si="78"/>
        <v>1132758.8</v>
      </c>
      <c r="BE69" s="6">
        <v>25.98873738</v>
      </c>
      <c r="BF69" s="6">
        <f t="shared" si="79"/>
        <v>8921315.73119133</v>
      </c>
      <c r="BG69" s="6">
        <f t="shared" si="80"/>
        <v>8500205.298823688</v>
      </c>
      <c r="BH69" s="6"/>
      <c r="BK69" s="30" t="str">
        <f t="shared" si="81"/>
        <v>Køge Vand A/S</v>
      </c>
      <c r="BL69" s="23">
        <f t="shared" si="82"/>
        <v>13.006606291373865</v>
      </c>
      <c r="BM69" s="23">
        <f t="shared" si="83"/>
        <v>42.07066122435811</v>
      </c>
      <c r="BN69" s="23">
        <f t="shared" si="84"/>
        <v>3.7891271891445437</v>
      </c>
      <c r="BO69" s="23">
        <f t="shared" si="85"/>
        <v>15.977912260366223</v>
      </c>
      <c r="BP69" s="23">
        <f t="shared" si="86"/>
        <v>12.45847623253637</v>
      </c>
      <c r="BQ69" s="23">
        <f t="shared" si="87"/>
        <v>12.69721680222088</v>
      </c>
      <c r="BR69" s="23"/>
      <c r="BS69" s="23">
        <f t="shared" si="88"/>
        <v>25.15569303475725</v>
      </c>
      <c r="BT69" s="23"/>
      <c r="BU69" s="23">
        <f aca="true" t="shared" si="89" ref="BU69:BU100">$BL$128-BL69</f>
        <v>-1.8717169864346896</v>
      </c>
      <c r="BV69" s="23">
        <f aca="true" t="shared" si="90" ref="BV69:BV100">$BM$128-BM69</f>
        <v>-10.27467144560124</v>
      </c>
      <c r="BW69" s="23">
        <f aca="true" t="shared" si="91" ref="BW69:BW100">$BN$128-BN69</f>
        <v>0.5491382198468568</v>
      </c>
      <c r="BX69" s="23">
        <f aca="true" t="shared" si="92" ref="BX69:BX100">$BO$128-BO69</f>
        <v>7.827376766601985</v>
      </c>
      <c r="BY69" s="23">
        <f aca="true" t="shared" si="93" ref="BY69:BY100">$BP$128-BP69</f>
        <v>3.1279701782913847</v>
      </c>
      <c r="BZ69" s="23">
        <f aca="true" t="shared" si="94" ref="BZ69:BZ100">$BQ$128-BQ69</f>
        <v>0.6419032672956941</v>
      </c>
      <c r="CA69" s="23"/>
      <c r="CB69" s="23">
        <f aca="true" t="shared" si="95" ref="CB69:CB100">$BS$128-BS69</f>
        <v>3.7698734455870735</v>
      </c>
      <c r="CC69" s="23">
        <f aca="true" t="shared" si="96" ref="CC69:CC100">IF(CB69&lt;$BS$132,(CB69-$BS$132)*0.66*0.7,0)</f>
        <v>0</v>
      </c>
    </row>
    <row r="70" spans="1:81" ht="15" customHeight="1">
      <c r="A70" s="1" t="s">
        <v>74</v>
      </c>
      <c r="B70" s="10">
        <v>5189119</v>
      </c>
      <c r="C70" s="10">
        <f t="shared" si="53"/>
        <v>5215064.595</v>
      </c>
      <c r="D70" s="10">
        <v>4047698.3427089998</v>
      </c>
      <c r="E70" s="10">
        <v>4059.9864654500207</v>
      </c>
      <c r="F70" s="23" t="str">
        <f t="shared" si="54"/>
        <v>ingen</v>
      </c>
      <c r="G70" s="10"/>
      <c r="H70" s="10">
        <f t="shared" si="55"/>
        <v>4047698.3427089998</v>
      </c>
      <c r="I70" s="10"/>
      <c r="J70" s="10">
        <f t="shared" si="56"/>
        <v>6672566.591096405</v>
      </c>
      <c r="K70" s="10">
        <f t="shared" si="57"/>
        <v>7169207.908271074</v>
      </c>
      <c r="L70" s="10"/>
      <c r="M70" s="10">
        <f t="shared" si="58"/>
        <v>7886876.093909105</v>
      </c>
      <c r="N70" s="10">
        <f t="shared" si="59"/>
        <v>8383517.411083775</v>
      </c>
      <c r="P70" s="23">
        <f>'Potentialer og krav'!U70</f>
        <v>0</v>
      </c>
      <c r="Q70" s="10"/>
      <c r="R70" s="23">
        <f t="shared" si="60"/>
        <v>25945.595</v>
      </c>
      <c r="S70" s="23">
        <f t="shared" si="61"/>
        <v>119946.48568499999</v>
      </c>
      <c r="T70" s="23">
        <f t="shared" si="62"/>
        <v>4043638.35624355</v>
      </c>
      <c r="U70" s="23">
        <f t="shared" si="63"/>
        <v>93097.061882307</v>
      </c>
      <c r="V70" s="23">
        <f t="shared" si="64"/>
        <v>4140795.4045913066</v>
      </c>
      <c r="W70" s="23">
        <f t="shared" si="65"/>
        <v>5335011.080684999</v>
      </c>
      <c r="X70" s="23">
        <f t="shared" si="66"/>
        <v>93097.061882307</v>
      </c>
      <c r="Y70" s="23">
        <f t="shared" si="67"/>
        <v>4140795.4045913066</v>
      </c>
      <c r="Z70" s="23">
        <f t="shared" si="68"/>
        <v>1194215.6760936924</v>
      </c>
      <c r="AA70" s="23" t="str">
        <f t="shared" si="69"/>
        <v>ingen</v>
      </c>
      <c r="AB70" s="23"/>
      <c r="AC70" s="35" t="s">
        <v>74</v>
      </c>
      <c r="AD70" s="6">
        <v>378</v>
      </c>
      <c r="AE70" s="6">
        <v>960874</v>
      </c>
      <c r="AF70" s="6">
        <v>1005683</v>
      </c>
      <c r="AG70" s="6">
        <v>2</v>
      </c>
      <c r="AH70" s="6">
        <v>1</v>
      </c>
      <c r="AI70" s="6">
        <v>0</v>
      </c>
      <c r="AJ70" s="6">
        <v>0</v>
      </c>
      <c r="AK70" s="6">
        <v>0</v>
      </c>
      <c r="AL70" s="6">
        <v>268</v>
      </c>
      <c r="AM70" s="6">
        <v>60</v>
      </c>
      <c r="AN70" s="6">
        <v>0</v>
      </c>
      <c r="AO70" s="6">
        <v>0</v>
      </c>
      <c r="AP70" s="6">
        <v>3342</v>
      </c>
      <c r="AQ70" s="6">
        <v>1960</v>
      </c>
      <c r="AR70" s="6">
        <v>0</v>
      </c>
      <c r="AS70" s="6">
        <v>0</v>
      </c>
      <c r="AT70" s="6">
        <v>7428</v>
      </c>
      <c r="AU70" s="6">
        <f t="shared" si="70"/>
        <v>3</v>
      </c>
      <c r="AV70" s="6">
        <f t="shared" si="71"/>
        <v>0</v>
      </c>
      <c r="AW70" s="6">
        <f t="shared" si="72"/>
        <v>0</v>
      </c>
      <c r="AX70" s="6"/>
      <c r="AY70" s="6">
        <f t="shared" si="73"/>
        <v>670444.6265802392</v>
      </c>
      <c r="AZ70" s="6">
        <f t="shared" si="74"/>
        <v>1880761.564516165</v>
      </c>
      <c r="BA70" s="6">
        <f t="shared" si="75"/>
        <v>159612</v>
      </c>
      <c r="BB70" s="6">
        <f t="shared" si="76"/>
        <v>1981120.0000000002</v>
      </c>
      <c r="BC70" s="6">
        <f t="shared" si="77"/>
        <v>901340</v>
      </c>
      <c r="BD70" s="6">
        <f t="shared" si="78"/>
        <v>1079288.4000000001</v>
      </c>
      <c r="BE70" s="6">
        <v>32.74612931</v>
      </c>
      <c r="BF70" s="6">
        <f t="shared" si="79"/>
        <v>6672566.591096405</v>
      </c>
      <c r="BG70" s="6">
        <f t="shared" si="80"/>
        <v>7169207.908271074</v>
      </c>
      <c r="BH70" s="6"/>
      <c r="BK70" s="30" t="str">
        <f t="shared" si="81"/>
        <v>Langeland Vand ApS</v>
      </c>
      <c r="BL70" s="23">
        <f t="shared" si="82"/>
        <v>10.047777229752231</v>
      </c>
      <c r="BM70" s="23">
        <f t="shared" si="83"/>
        <v>28.186478753554518</v>
      </c>
      <c r="BN70" s="23">
        <f t="shared" si="84"/>
        <v>2.392063051314911</v>
      </c>
      <c r="BO70" s="23">
        <f t="shared" si="85"/>
        <v>29.690524222621086</v>
      </c>
      <c r="BP70" s="23">
        <f t="shared" si="86"/>
        <v>13.508145444403816</v>
      </c>
      <c r="BQ70" s="23">
        <f t="shared" si="87"/>
        <v>16.175011298353432</v>
      </c>
      <c r="BR70" s="23"/>
      <c r="BS70" s="23">
        <f t="shared" si="88"/>
        <v>29.683156742757248</v>
      </c>
      <c r="BT70" s="23"/>
      <c r="BU70" s="23">
        <f t="shared" si="89"/>
        <v>1.087112075186944</v>
      </c>
      <c r="BV70" s="23">
        <f t="shared" si="90"/>
        <v>3.6095110252023552</v>
      </c>
      <c r="BW70" s="23">
        <f t="shared" si="91"/>
        <v>1.9462023576764897</v>
      </c>
      <c r="BX70" s="23">
        <f t="shared" si="92"/>
        <v>-5.885235195652879</v>
      </c>
      <c r="BY70" s="23">
        <f t="shared" si="93"/>
        <v>2.0783009664239387</v>
      </c>
      <c r="BZ70" s="23">
        <f t="shared" si="94"/>
        <v>-2.835891228836859</v>
      </c>
      <c r="CA70" s="23"/>
      <c r="CB70" s="23">
        <f t="shared" si="95"/>
        <v>-0.7575902624129256</v>
      </c>
      <c r="CC70" s="23">
        <f t="shared" si="96"/>
        <v>0</v>
      </c>
    </row>
    <row r="71" spans="1:81" ht="15" customHeight="1">
      <c r="A71" s="1" t="s">
        <v>75</v>
      </c>
      <c r="B71" s="10">
        <v>1357672</v>
      </c>
      <c r="C71" s="10">
        <f t="shared" si="53"/>
        <v>1364460.3599999999</v>
      </c>
      <c r="D71" s="10">
        <v>1145992.4782362</v>
      </c>
      <c r="E71" s="10">
        <v>0</v>
      </c>
      <c r="F71" s="23" t="str">
        <f t="shared" si="54"/>
        <v>ingen</v>
      </c>
      <c r="G71" s="10"/>
      <c r="H71" s="10">
        <f t="shared" si="55"/>
        <v>1145992.4782362</v>
      </c>
      <c r="I71" s="10"/>
      <c r="J71" s="10">
        <f t="shared" si="56"/>
        <v>2222896.0278142733</v>
      </c>
      <c r="K71" s="10">
        <f t="shared" si="57"/>
        <v>2195180.4450055594</v>
      </c>
      <c r="L71" s="10"/>
      <c r="M71" s="10">
        <f t="shared" si="58"/>
        <v>2566693.7712851334</v>
      </c>
      <c r="N71" s="10">
        <f t="shared" si="59"/>
        <v>2538978.1884764195</v>
      </c>
      <c r="P71" s="23">
        <f>'Potentialer og krav'!U71</f>
        <v>0</v>
      </c>
      <c r="Q71" s="10"/>
      <c r="R71" s="23">
        <f t="shared" si="60"/>
        <v>6788.360000000001</v>
      </c>
      <c r="S71" s="23">
        <f t="shared" si="61"/>
        <v>31382.588279999996</v>
      </c>
      <c r="T71" s="23">
        <f t="shared" si="62"/>
        <v>1145992.4782362</v>
      </c>
      <c r="U71" s="23">
        <f t="shared" si="63"/>
        <v>26357.8269994326</v>
      </c>
      <c r="V71" s="23">
        <f t="shared" si="64"/>
        <v>1172350.3052356325</v>
      </c>
      <c r="W71" s="23">
        <f t="shared" si="65"/>
        <v>1395842.9482799997</v>
      </c>
      <c r="X71" s="23">
        <f t="shared" si="66"/>
        <v>26357.8269994326</v>
      </c>
      <c r="Y71" s="23">
        <f t="shared" si="67"/>
        <v>1172350.3052356325</v>
      </c>
      <c r="Z71" s="23">
        <f t="shared" si="68"/>
        <v>223492.6430443672</v>
      </c>
      <c r="AA71" s="23" t="str">
        <f t="shared" si="69"/>
        <v>ingen</v>
      </c>
      <c r="AB71" s="23"/>
      <c r="AC71" s="35" t="s">
        <v>75</v>
      </c>
      <c r="AD71" s="6">
        <v>40</v>
      </c>
      <c r="AE71" s="6">
        <v>346100</v>
      </c>
      <c r="AF71" s="6">
        <v>343108</v>
      </c>
      <c r="AG71" s="6"/>
      <c r="AH71" s="6"/>
      <c r="AI71" s="6"/>
      <c r="AJ71" s="6"/>
      <c r="AK71" s="6"/>
      <c r="AL71" s="6">
        <v>56.676</v>
      </c>
      <c r="AM71" s="6">
        <v>45.569</v>
      </c>
      <c r="AN71" s="6"/>
      <c r="AO71" s="6"/>
      <c r="AP71" s="6">
        <v>598</v>
      </c>
      <c r="AQ71" s="6">
        <v>1749</v>
      </c>
      <c r="AR71" s="6"/>
      <c r="AS71" s="6"/>
      <c r="AT71" s="6">
        <v>2785</v>
      </c>
      <c r="AU71" s="6">
        <f t="shared" si="70"/>
        <v>0</v>
      </c>
      <c r="AV71" s="6">
        <f t="shared" si="71"/>
        <v>0</v>
      </c>
      <c r="AW71" s="6">
        <f t="shared" si="72"/>
        <v>0</v>
      </c>
      <c r="AX71" s="6"/>
      <c r="AY71" s="6">
        <f t="shared" si="73"/>
        <v>179060.62149615498</v>
      </c>
      <c r="AZ71" s="6">
        <f t="shared" si="74"/>
        <v>622625.1063181183</v>
      </c>
      <c r="BA71" s="6">
        <f t="shared" si="75"/>
        <v>0</v>
      </c>
      <c r="BB71" s="6">
        <f t="shared" si="76"/>
        <v>617559.8</v>
      </c>
      <c r="BC71" s="6">
        <f t="shared" si="77"/>
        <v>398990</v>
      </c>
      <c r="BD71" s="6">
        <f t="shared" si="78"/>
        <v>404660.50000000006</v>
      </c>
      <c r="BE71" s="6">
        <v>27.91843157</v>
      </c>
      <c r="BF71" s="6">
        <f t="shared" si="79"/>
        <v>2222896.0278142733</v>
      </c>
      <c r="BG71" s="6">
        <f t="shared" si="80"/>
        <v>2195180.4450055594</v>
      </c>
      <c r="BH71" s="6"/>
      <c r="BK71" s="30" t="str">
        <f t="shared" si="81"/>
        <v>Langeskov Vandværk</v>
      </c>
      <c r="BL71" s="23">
        <f t="shared" si="82"/>
        <v>8.05528550393882</v>
      </c>
      <c r="BM71" s="23">
        <f t="shared" si="83"/>
        <v>28.009636911823193</v>
      </c>
      <c r="BN71" s="23">
        <f t="shared" si="84"/>
        <v>0</v>
      </c>
      <c r="BO71" s="23">
        <f t="shared" si="85"/>
        <v>27.78176722045041</v>
      </c>
      <c r="BP71" s="23">
        <f t="shared" si="86"/>
        <v>17.949107605915263</v>
      </c>
      <c r="BQ71" s="23">
        <f t="shared" si="87"/>
        <v>18.204202757872316</v>
      </c>
      <c r="BR71" s="23"/>
      <c r="BS71" s="23">
        <f t="shared" si="88"/>
        <v>36.15331036378758</v>
      </c>
      <c r="BT71" s="23"/>
      <c r="BU71" s="23">
        <f t="shared" si="89"/>
        <v>3.0796038010003564</v>
      </c>
      <c r="BV71" s="23">
        <f t="shared" si="90"/>
        <v>3.7863528669336795</v>
      </c>
      <c r="BW71" s="23">
        <f t="shared" si="91"/>
        <v>4.338265408991401</v>
      </c>
      <c r="BX71" s="23">
        <f t="shared" si="92"/>
        <v>-3.976478193482201</v>
      </c>
      <c r="BY71" s="23">
        <f t="shared" si="93"/>
        <v>-2.362661195087508</v>
      </c>
      <c r="BZ71" s="23">
        <f t="shared" si="94"/>
        <v>-4.865082688355743</v>
      </c>
      <c r="CA71" s="23"/>
      <c r="CB71" s="23">
        <f t="shared" si="95"/>
        <v>-7.22774388344326</v>
      </c>
      <c r="CC71" s="23">
        <f t="shared" si="96"/>
        <v>0</v>
      </c>
    </row>
    <row r="72" spans="1:81" ht="15" customHeight="1">
      <c r="A72" s="1" t="s">
        <v>76</v>
      </c>
      <c r="B72" s="10">
        <v>1888027</v>
      </c>
      <c r="C72" s="10">
        <f t="shared" si="53"/>
        <v>1897467.1349999998</v>
      </c>
      <c r="D72" s="10">
        <v>1268383.5265458</v>
      </c>
      <c r="E72" s="10">
        <v>455883.16814120737</v>
      </c>
      <c r="F72" s="23" t="str">
        <f t="shared" si="54"/>
        <v>ingen</v>
      </c>
      <c r="G72" s="10"/>
      <c r="H72" s="10">
        <f t="shared" si="55"/>
        <v>1268383.5265458</v>
      </c>
      <c r="I72" s="10"/>
      <c r="J72" s="10">
        <f t="shared" si="56"/>
        <v>1337023.1573255996</v>
      </c>
      <c r="K72" s="10">
        <f t="shared" si="57"/>
        <v>1444734.5268031673</v>
      </c>
      <c r="L72" s="10"/>
      <c r="M72" s="10">
        <f t="shared" si="58"/>
        <v>1717538.2152893397</v>
      </c>
      <c r="N72" s="10">
        <f t="shared" si="59"/>
        <v>1825249.5847669074</v>
      </c>
      <c r="P72" s="23">
        <f>'Potentialer og krav'!U72</f>
        <v>52691.68129944448</v>
      </c>
      <c r="Q72" s="10"/>
      <c r="R72" s="23">
        <f t="shared" si="60"/>
        <v>9440.135</v>
      </c>
      <c r="S72" s="23">
        <f t="shared" si="61"/>
        <v>43641.74410499999</v>
      </c>
      <c r="T72" s="23">
        <f t="shared" si="62"/>
        <v>812500.3584045926</v>
      </c>
      <c r="U72" s="23">
        <f t="shared" si="63"/>
        <v>29172.8211105534</v>
      </c>
      <c r="V72" s="23">
        <f t="shared" si="64"/>
        <v>1297556.3476563534</v>
      </c>
      <c r="W72" s="23">
        <f t="shared" si="65"/>
        <v>1941108.8791049996</v>
      </c>
      <c r="X72" s="23">
        <f t="shared" si="66"/>
        <v>29172.8211105534</v>
      </c>
      <c r="Y72" s="23">
        <f t="shared" si="67"/>
        <v>1297556.3476563534</v>
      </c>
      <c r="Z72" s="23">
        <f t="shared" si="68"/>
        <v>643552.5314486462</v>
      </c>
      <c r="AA72" s="23" t="str">
        <f t="shared" si="69"/>
        <v>ingen</v>
      </c>
      <c r="AB72" s="23"/>
      <c r="AC72" s="35" t="s">
        <v>76</v>
      </c>
      <c r="AD72" s="6">
        <v>48</v>
      </c>
      <c r="AE72" s="6">
        <v>104525</v>
      </c>
      <c r="AF72" s="6">
        <v>104282</v>
      </c>
      <c r="AG72" s="6">
        <v>1</v>
      </c>
      <c r="AH72" s="6">
        <v>0</v>
      </c>
      <c r="AI72" s="6">
        <v>0</v>
      </c>
      <c r="AJ72" s="6">
        <v>0</v>
      </c>
      <c r="AK72" s="6">
        <v>0</v>
      </c>
      <c r="AL72" s="6">
        <v>50</v>
      </c>
      <c r="AM72" s="6">
        <v>27</v>
      </c>
      <c r="AN72" s="6">
        <v>0</v>
      </c>
      <c r="AO72" s="6">
        <v>0</v>
      </c>
      <c r="AP72" s="6">
        <v>440</v>
      </c>
      <c r="AQ72" s="6">
        <v>1203</v>
      </c>
      <c r="AR72" s="6">
        <v>0</v>
      </c>
      <c r="AS72" s="6">
        <v>0</v>
      </c>
      <c r="AT72" s="6">
        <v>1999</v>
      </c>
      <c r="AU72" s="6">
        <f t="shared" si="70"/>
        <v>1</v>
      </c>
      <c r="AV72" s="6">
        <f t="shared" si="71"/>
        <v>0</v>
      </c>
      <c r="AW72" s="6">
        <f t="shared" si="72"/>
        <v>0</v>
      </c>
      <c r="AX72" s="6"/>
      <c r="AY72" s="6">
        <f t="shared" si="73"/>
        <v>65944.1813218214</v>
      </c>
      <c r="AZ72" s="6">
        <f t="shared" si="74"/>
        <v>183030.27600377824</v>
      </c>
      <c r="BA72" s="6">
        <f t="shared" si="75"/>
        <v>53204</v>
      </c>
      <c r="BB72" s="6">
        <f t="shared" si="76"/>
        <v>465080</v>
      </c>
      <c r="BC72" s="6">
        <f t="shared" si="77"/>
        <v>279310</v>
      </c>
      <c r="BD72" s="6">
        <f t="shared" si="78"/>
        <v>290454.7</v>
      </c>
      <c r="BE72" s="6">
        <v>33.08669924</v>
      </c>
      <c r="BF72" s="6">
        <f t="shared" si="79"/>
        <v>1337023.1573255996</v>
      </c>
      <c r="BG72" s="6">
        <f t="shared" si="80"/>
        <v>1444734.5268031673</v>
      </c>
      <c r="BH72" s="6"/>
      <c r="BK72" s="30" t="str">
        <f t="shared" si="81"/>
        <v>Lejre Vand A/S</v>
      </c>
      <c r="BL72" s="23">
        <f t="shared" si="82"/>
        <v>4.93216448499869</v>
      </c>
      <c r="BM72" s="23">
        <f t="shared" si="83"/>
        <v>13.689387128483792</v>
      </c>
      <c r="BN72" s="23">
        <f t="shared" si="84"/>
        <v>3.979287846174788</v>
      </c>
      <c r="BO72" s="23">
        <f t="shared" si="85"/>
        <v>34.78473782984307</v>
      </c>
      <c r="BP72" s="23">
        <f t="shared" si="86"/>
        <v>20.890438469195548</v>
      </c>
      <c r="BQ72" s="23">
        <f t="shared" si="87"/>
        <v>21.723984241304116</v>
      </c>
      <c r="BR72" s="23"/>
      <c r="BS72" s="23">
        <f t="shared" si="88"/>
        <v>42.61442271049967</v>
      </c>
      <c r="BT72" s="23"/>
      <c r="BU72" s="23">
        <f t="shared" si="89"/>
        <v>6.202724819940485</v>
      </c>
      <c r="BV72" s="23">
        <f t="shared" si="90"/>
        <v>18.106602650273082</v>
      </c>
      <c r="BW72" s="23">
        <f t="shared" si="91"/>
        <v>0.35897756281661275</v>
      </c>
      <c r="BX72" s="23">
        <f t="shared" si="92"/>
        <v>-10.97944880287486</v>
      </c>
      <c r="BY72" s="23">
        <f t="shared" si="93"/>
        <v>-5.303992058367793</v>
      </c>
      <c r="BZ72" s="23">
        <f t="shared" si="94"/>
        <v>-8.384864171787543</v>
      </c>
      <c r="CA72" s="23"/>
      <c r="CB72" s="23">
        <f t="shared" si="95"/>
        <v>-13.688856230155345</v>
      </c>
      <c r="CC72" s="23">
        <f t="shared" si="96"/>
        <v>-1.7583445770798767</v>
      </c>
    </row>
    <row r="73" spans="1:81" ht="15" customHeight="1">
      <c r="A73" s="1" t="s">
        <v>5</v>
      </c>
      <c r="B73" s="10">
        <v>11219000</v>
      </c>
      <c r="C73" s="10">
        <f t="shared" si="53"/>
        <v>11275094.999999998</v>
      </c>
      <c r="D73" s="10">
        <v>7844857.152509999</v>
      </c>
      <c r="E73" s="10">
        <v>0</v>
      </c>
      <c r="F73" s="23" t="str">
        <f t="shared" si="54"/>
        <v>ingen</v>
      </c>
      <c r="G73" s="10"/>
      <c r="H73" s="10">
        <f t="shared" si="55"/>
        <v>7844857.152509999</v>
      </c>
      <c r="I73" s="10"/>
      <c r="J73" s="10">
        <f t="shared" si="56"/>
        <v>13549069.027146408</v>
      </c>
      <c r="K73" s="10">
        <f t="shared" si="57"/>
        <v>13242532.730567588</v>
      </c>
      <c r="L73" s="10"/>
      <c r="M73" s="10">
        <f t="shared" si="58"/>
        <v>15902526.172899408</v>
      </c>
      <c r="N73" s="10">
        <f t="shared" si="59"/>
        <v>15595989.876320587</v>
      </c>
      <c r="P73" s="23">
        <f>'Potentialer og krav'!U73</f>
        <v>0</v>
      </c>
      <c r="Q73" s="10"/>
      <c r="R73" s="23">
        <f t="shared" si="60"/>
        <v>56095</v>
      </c>
      <c r="S73" s="23">
        <f t="shared" si="61"/>
        <v>259327.18499999994</v>
      </c>
      <c r="T73" s="23">
        <f t="shared" si="62"/>
        <v>7844857.152509999</v>
      </c>
      <c r="U73" s="23">
        <f t="shared" si="63"/>
        <v>180431.71450772998</v>
      </c>
      <c r="V73" s="23">
        <f t="shared" si="64"/>
        <v>8025288.867017728</v>
      </c>
      <c r="W73" s="23">
        <f t="shared" si="65"/>
        <v>11534422.184999997</v>
      </c>
      <c r="X73" s="23">
        <f t="shared" si="66"/>
        <v>180431.71450772998</v>
      </c>
      <c r="Y73" s="23">
        <f t="shared" si="67"/>
        <v>8025288.867017728</v>
      </c>
      <c r="Z73" s="23">
        <f t="shared" si="68"/>
        <v>3509133.3179822685</v>
      </c>
      <c r="AA73" s="23" t="str">
        <f t="shared" si="69"/>
        <v>ingen</v>
      </c>
      <c r="AB73" s="23"/>
      <c r="AC73" s="35" t="s">
        <v>5</v>
      </c>
      <c r="AD73" s="6">
        <v>353</v>
      </c>
      <c r="AE73" s="6">
        <v>2247179</v>
      </c>
      <c r="AF73" s="6">
        <v>2213322</v>
      </c>
      <c r="AG73" s="6">
        <v>16</v>
      </c>
      <c r="AH73" s="6">
        <v>5</v>
      </c>
      <c r="AI73" s="6"/>
      <c r="AJ73" s="6"/>
      <c r="AK73" s="6"/>
      <c r="AL73" s="6">
        <v>459</v>
      </c>
      <c r="AM73" s="6">
        <v>209</v>
      </c>
      <c r="AN73" s="6"/>
      <c r="AO73" s="6"/>
      <c r="AP73" s="6">
        <v>1509</v>
      </c>
      <c r="AQ73" s="6">
        <v>7200</v>
      </c>
      <c r="AR73" s="6"/>
      <c r="AS73" s="6"/>
      <c r="AT73" s="6">
        <v>8992</v>
      </c>
      <c r="AU73" s="6">
        <f t="shared" si="70"/>
        <v>21</v>
      </c>
      <c r="AV73" s="6">
        <f t="shared" si="71"/>
        <v>0</v>
      </c>
      <c r="AW73" s="6">
        <f t="shared" si="72"/>
        <v>0</v>
      </c>
      <c r="AX73" s="6"/>
      <c r="AY73" s="6">
        <f t="shared" si="73"/>
        <v>1378349.0774154782</v>
      </c>
      <c r="AZ73" s="6">
        <f t="shared" si="74"/>
        <v>4231648.349730929</v>
      </c>
      <c r="BA73" s="6">
        <f t="shared" si="75"/>
        <v>1117284</v>
      </c>
      <c r="BB73" s="6">
        <f t="shared" si="76"/>
        <v>4034720</v>
      </c>
      <c r="BC73" s="6">
        <f t="shared" si="77"/>
        <v>1480530</v>
      </c>
      <c r="BD73" s="6">
        <f t="shared" si="78"/>
        <v>1306537.6</v>
      </c>
      <c r="BE73" s="6">
        <v>27.35421337</v>
      </c>
      <c r="BF73" s="6">
        <f t="shared" si="79"/>
        <v>13549069.027146408</v>
      </c>
      <c r="BG73" s="6">
        <f t="shared" si="80"/>
        <v>13242532.730567588</v>
      </c>
      <c r="BH73" s="6"/>
      <c r="BK73" s="30" t="str">
        <f t="shared" si="81"/>
        <v>Lemvig Vand og Spildevand A/S</v>
      </c>
      <c r="BL73" s="23">
        <f t="shared" si="82"/>
        <v>10.173016866722499</v>
      </c>
      <c r="BM73" s="23">
        <f t="shared" si="83"/>
        <v>31.232022962260782</v>
      </c>
      <c r="BN73" s="23">
        <f t="shared" si="84"/>
        <v>8.246204944129014</v>
      </c>
      <c r="BO73" s="23">
        <f t="shared" si="85"/>
        <v>29.778577346651534</v>
      </c>
      <c r="BP73" s="23">
        <f t="shared" si="86"/>
        <v>10.927171431732065</v>
      </c>
      <c r="BQ73" s="23">
        <f t="shared" si="87"/>
        <v>9.643006448504101</v>
      </c>
      <c r="BR73" s="23"/>
      <c r="BS73" s="23">
        <f t="shared" si="88"/>
        <v>20.570177880236166</v>
      </c>
      <c r="BT73" s="23"/>
      <c r="BU73" s="23">
        <f t="shared" si="89"/>
        <v>0.9618724382166768</v>
      </c>
      <c r="BV73" s="23">
        <f t="shared" si="90"/>
        <v>0.5639668164960909</v>
      </c>
      <c r="BW73" s="23">
        <f t="shared" si="91"/>
        <v>-3.907939535137613</v>
      </c>
      <c r="BX73" s="23">
        <f t="shared" si="92"/>
        <v>-5.973288319683327</v>
      </c>
      <c r="BY73" s="23">
        <f t="shared" si="93"/>
        <v>4.65927497909569</v>
      </c>
      <c r="BZ73" s="23">
        <f t="shared" si="94"/>
        <v>3.696113621012472</v>
      </c>
      <c r="CA73" s="23"/>
      <c r="CB73" s="23">
        <f t="shared" si="95"/>
        <v>8.355388600108157</v>
      </c>
      <c r="CC73" s="23">
        <f t="shared" si="96"/>
        <v>0</v>
      </c>
    </row>
    <row r="74" spans="1:81" ht="15" customHeight="1">
      <c r="A74" s="1" t="s">
        <v>77</v>
      </c>
      <c r="B74" s="10">
        <v>3949914</v>
      </c>
      <c r="C74" s="10">
        <f t="shared" si="53"/>
        <v>3969663.5699999994</v>
      </c>
      <c r="D74" s="10">
        <v>3080449.0461906</v>
      </c>
      <c r="E74" s="10">
        <v>512343.4716954383</v>
      </c>
      <c r="F74" s="23" t="str">
        <f t="shared" si="54"/>
        <v>ingen</v>
      </c>
      <c r="G74" s="10"/>
      <c r="H74" s="10">
        <f t="shared" si="55"/>
        <v>3080449.0461906</v>
      </c>
      <c r="I74" s="10"/>
      <c r="J74" s="10">
        <f t="shared" si="56"/>
        <v>4333801.077141853</v>
      </c>
      <c r="K74" s="10">
        <f t="shared" si="57"/>
        <v>4088133.022511482</v>
      </c>
      <c r="L74" s="10"/>
      <c r="M74" s="10">
        <f t="shared" si="58"/>
        <v>5257935.790999033</v>
      </c>
      <c r="N74" s="10">
        <f t="shared" si="59"/>
        <v>5012267.736368662</v>
      </c>
      <c r="P74" s="23">
        <f>'Potentialer og krav'!U74</f>
        <v>0</v>
      </c>
      <c r="Q74" s="10"/>
      <c r="R74" s="23">
        <f t="shared" si="60"/>
        <v>19749.57</v>
      </c>
      <c r="S74" s="23">
        <f t="shared" si="61"/>
        <v>91302.26210999998</v>
      </c>
      <c r="T74" s="23">
        <f t="shared" si="62"/>
        <v>2568105.5744951614</v>
      </c>
      <c r="U74" s="23">
        <f t="shared" si="63"/>
        <v>70850.32806238379</v>
      </c>
      <c r="V74" s="23">
        <f t="shared" si="64"/>
        <v>3151299.3742529834</v>
      </c>
      <c r="W74" s="23">
        <f t="shared" si="65"/>
        <v>4060965.832109999</v>
      </c>
      <c r="X74" s="23">
        <f t="shared" si="66"/>
        <v>70850.32806238379</v>
      </c>
      <c r="Y74" s="23">
        <f t="shared" si="67"/>
        <v>3151299.3742529834</v>
      </c>
      <c r="Z74" s="23">
        <f t="shared" si="68"/>
        <v>909666.4578570155</v>
      </c>
      <c r="AA74" s="23" t="str">
        <f t="shared" si="69"/>
        <v>ingen</v>
      </c>
      <c r="AB74" s="23"/>
      <c r="AC74" s="35" t="s">
        <v>77</v>
      </c>
      <c r="AD74" s="6">
        <v>466</v>
      </c>
      <c r="AE74" s="6">
        <v>730633</v>
      </c>
      <c r="AF74" s="6">
        <v>704842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6</v>
      </c>
      <c r="AM74" s="6">
        <v>65</v>
      </c>
      <c r="AN74" s="6">
        <v>10</v>
      </c>
      <c r="AO74" s="6">
        <v>0</v>
      </c>
      <c r="AP74" s="6">
        <v>60</v>
      </c>
      <c r="AQ74" s="6">
        <v>3245</v>
      </c>
      <c r="AR74" s="6">
        <v>795</v>
      </c>
      <c r="AS74" s="6">
        <v>0</v>
      </c>
      <c r="AT74" s="6">
        <v>3728</v>
      </c>
      <c r="AU74" s="6">
        <f t="shared" si="70"/>
        <v>0</v>
      </c>
      <c r="AV74" s="6">
        <f t="shared" si="71"/>
        <v>0</v>
      </c>
      <c r="AW74" s="6">
        <f t="shared" si="72"/>
        <v>0</v>
      </c>
      <c r="AX74" s="6"/>
      <c r="AY74" s="6">
        <f t="shared" si="73"/>
        <v>551187.8584743774</v>
      </c>
      <c r="AZ74" s="6">
        <f t="shared" si="74"/>
        <v>1305094.8186674758</v>
      </c>
      <c r="BA74" s="6">
        <f t="shared" si="75"/>
        <v>0</v>
      </c>
      <c r="BB74" s="6">
        <f t="shared" si="76"/>
        <v>952640</v>
      </c>
      <c r="BC74" s="6">
        <f t="shared" si="77"/>
        <v>983200</v>
      </c>
      <c r="BD74" s="6">
        <f t="shared" si="78"/>
        <v>541678.4</v>
      </c>
      <c r="BE74" s="6">
        <v>25.4618606</v>
      </c>
      <c r="BF74" s="6">
        <f t="shared" si="79"/>
        <v>4333801.077141853</v>
      </c>
      <c r="BG74" s="6">
        <f t="shared" si="80"/>
        <v>4088133.022511482</v>
      </c>
      <c r="BH74" s="6"/>
      <c r="BK74" s="30" t="str">
        <f t="shared" si="81"/>
        <v>Lillerød Andelsvandværk a.m.b.a.</v>
      </c>
      <c r="BL74" s="23">
        <f t="shared" si="82"/>
        <v>12.718346981395982</v>
      </c>
      <c r="BM74" s="23">
        <f t="shared" si="83"/>
        <v>30.114322172077806</v>
      </c>
      <c r="BN74" s="23">
        <f t="shared" si="84"/>
        <v>0</v>
      </c>
      <c r="BO74" s="23">
        <f t="shared" si="85"/>
        <v>21.98162728383157</v>
      </c>
      <c r="BP74" s="23">
        <f t="shared" si="86"/>
        <v>22.686781938049208</v>
      </c>
      <c r="BQ74" s="23">
        <f t="shared" si="87"/>
        <v>12.498921624645439</v>
      </c>
      <c r="BR74" s="23"/>
      <c r="BS74" s="23">
        <f t="shared" si="88"/>
        <v>35.18570356269465</v>
      </c>
      <c r="BT74" s="23"/>
      <c r="BU74" s="23">
        <f t="shared" si="89"/>
        <v>-1.5834576764568062</v>
      </c>
      <c r="BV74" s="23">
        <f t="shared" si="90"/>
        <v>1.681667606679067</v>
      </c>
      <c r="BW74" s="23">
        <f t="shared" si="91"/>
        <v>4.338265408991401</v>
      </c>
      <c r="BX74" s="23">
        <f t="shared" si="92"/>
        <v>1.8236617431366362</v>
      </c>
      <c r="BY74" s="23">
        <f t="shared" si="93"/>
        <v>-7.1003355272214534</v>
      </c>
      <c r="BZ74" s="23">
        <f t="shared" si="94"/>
        <v>0.8401984448711346</v>
      </c>
      <c r="CA74" s="23"/>
      <c r="CB74" s="23">
        <f t="shared" si="95"/>
        <v>-6.260137082350326</v>
      </c>
      <c r="CC74" s="23">
        <f t="shared" si="96"/>
        <v>0</v>
      </c>
    </row>
    <row r="75" spans="1:81" ht="15" customHeight="1">
      <c r="A75" s="1" t="s">
        <v>78</v>
      </c>
      <c r="B75" s="10">
        <v>3399317</v>
      </c>
      <c r="C75" s="10">
        <f t="shared" si="53"/>
        <v>3416313.5849999995</v>
      </c>
      <c r="D75" s="10">
        <v>1555642.4752008</v>
      </c>
      <c r="E75" s="10">
        <v>531600.2136312707</v>
      </c>
      <c r="F75" s="23" t="str">
        <f t="shared" si="54"/>
        <v>ingen</v>
      </c>
      <c r="G75" s="10"/>
      <c r="H75" s="10">
        <f t="shared" si="55"/>
        <v>1555642.4752008</v>
      </c>
      <c r="I75" s="10"/>
      <c r="J75" s="10">
        <f t="shared" si="56"/>
        <v>1720525.1717640506</v>
      </c>
      <c r="K75" s="10">
        <f t="shared" si="57"/>
        <v>1749851.4584185593</v>
      </c>
      <c r="L75" s="10"/>
      <c r="M75" s="10">
        <f t="shared" si="58"/>
        <v>2187217.9143242906</v>
      </c>
      <c r="N75" s="10">
        <f t="shared" si="59"/>
        <v>2216544.2009787993</v>
      </c>
      <c r="P75" s="23">
        <f>'Potentialer og krav'!U75</f>
        <v>63651.3836818099</v>
      </c>
      <c r="Q75" s="10"/>
      <c r="R75" s="23">
        <f t="shared" si="60"/>
        <v>16996.585</v>
      </c>
      <c r="S75" s="23">
        <f t="shared" si="61"/>
        <v>78575.21245499999</v>
      </c>
      <c r="T75" s="23">
        <f t="shared" si="62"/>
        <v>1024042.2615695293</v>
      </c>
      <c r="U75" s="23">
        <f t="shared" si="63"/>
        <v>35779.7769296184</v>
      </c>
      <c r="V75" s="23">
        <f t="shared" si="64"/>
        <v>1591422.2521304183</v>
      </c>
      <c r="W75" s="23">
        <f t="shared" si="65"/>
        <v>3494888.7974549993</v>
      </c>
      <c r="X75" s="23">
        <f t="shared" si="66"/>
        <v>35779.7769296184</v>
      </c>
      <c r="Y75" s="23">
        <f t="shared" si="67"/>
        <v>1591422.2521304183</v>
      </c>
      <c r="Z75" s="23">
        <f t="shared" si="68"/>
        <v>1903466.545324581</v>
      </c>
      <c r="AA75" s="23" t="str">
        <f t="shared" si="69"/>
        <v>ingen</v>
      </c>
      <c r="AB75" s="23"/>
      <c r="AC75" s="35" t="s">
        <v>78</v>
      </c>
      <c r="AD75" s="6">
        <v>596</v>
      </c>
      <c r="AE75" s="6">
        <v>292431</v>
      </c>
      <c r="AF75" s="6">
        <v>277490</v>
      </c>
      <c r="AG75" s="6">
        <v>1</v>
      </c>
      <c r="AH75" s="6">
        <v>0</v>
      </c>
      <c r="AI75" s="6">
        <v>0</v>
      </c>
      <c r="AJ75" s="6">
        <v>0</v>
      </c>
      <c r="AK75" s="6">
        <v>0</v>
      </c>
      <c r="AL75" s="6">
        <v>1</v>
      </c>
      <c r="AM75" s="6">
        <v>44</v>
      </c>
      <c r="AN75" s="6">
        <v>0</v>
      </c>
      <c r="AO75" s="6">
        <v>0</v>
      </c>
      <c r="AP75" s="6">
        <v>36</v>
      </c>
      <c r="AQ75" s="6">
        <v>1971</v>
      </c>
      <c r="AR75" s="6"/>
      <c r="AS75" s="6"/>
      <c r="AT75" s="6">
        <v>2007</v>
      </c>
      <c r="AU75" s="6">
        <f t="shared" si="70"/>
        <v>1</v>
      </c>
      <c r="AV75" s="6">
        <f t="shared" si="71"/>
        <v>0</v>
      </c>
      <c r="AW75" s="6">
        <f t="shared" si="72"/>
        <v>0</v>
      </c>
      <c r="AX75" s="6"/>
      <c r="AY75" s="6">
        <f t="shared" si="73"/>
        <v>262147.33908913186</v>
      </c>
      <c r="AZ75" s="6">
        <f t="shared" si="74"/>
        <v>500566.7326749187</v>
      </c>
      <c r="BA75" s="6">
        <f t="shared" si="75"/>
        <v>53204</v>
      </c>
      <c r="BB75" s="6">
        <f t="shared" si="76"/>
        <v>271800</v>
      </c>
      <c r="BC75" s="6">
        <f t="shared" si="77"/>
        <v>341190</v>
      </c>
      <c r="BD75" s="6">
        <f t="shared" si="78"/>
        <v>291617.10000000003</v>
      </c>
      <c r="BE75" s="6">
        <v>29.55805346</v>
      </c>
      <c r="BF75" s="6">
        <f t="shared" si="79"/>
        <v>1720525.1717640506</v>
      </c>
      <c r="BG75" s="6">
        <f t="shared" si="80"/>
        <v>1749851.4584185593</v>
      </c>
      <c r="BH75" s="6"/>
      <c r="BK75" s="30" t="str">
        <f t="shared" si="81"/>
        <v>Løgten Skødstrup Vandværk A.m.b.a.</v>
      </c>
      <c r="BL75" s="23">
        <f t="shared" si="82"/>
        <v>15.236472176710603</v>
      </c>
      <c r="BM75" s="23">
        <f t="shared" si="83"/>
        <v>29.0938337252973</v>
      </c>
      <c r="BN75" s="23">
        <f t="shared" si="84"/>
        <v>3.0923116309568464</v>
      </c>
      <c r="BO75" s="23">
        <f t="shared" si="85"/>
        <v>15.797502091836533</v>
      </c>
      <c r="BP75" s="23">
        <f t="shared" si="86"/>
        <v>19.830572990116654</v>
      </c>
      <c r="BQ75" s="23">
        <f t="shared" si="87"/>
        <v>16.94930738508206</v>
      </c>
      <c r="BR75" s="23"/>
      <c r="BS75" s="23">
        <f t="shared" si="88"/>
        <v>36.779880375198715</v>
      </c>
      <c r="BT75" s="23"/>
      <c r="BU75" s="23">
        <f t="shared" si="89"/>
        <v>-4.101582871771427</v>
      </c>
      <c r="BV75" s="23">
        <f t="shared" si="90"/>
        <v>2.7021560534595714</v>
      </c>
      <c r="BW75" s="23">
        <f t="shared" si="91"/>
        <v>1.2459537780345542</v>
      </c>
      <c r="BX75" s="23">
        <f t="shared" si="92"/>
        <v>8.007786935131675</v>
      </c>
      <c r="BY75" s="23">
        <f t="shared" si="93"/>
        <v>-4.244126579288899</v>
      </c>
      <c r="BZ75" s="23">
        <f t="shared" si="94"/>
        <v>-3.610187315565488</v>
      </c>
      <c r="CA75" s="23"/>
      <c r="CB75" s="23">
        <f t="shared" si="95"/>
        <v>-7.854313894854393</v>
      </c>
      <c r="CC75" s="23">
        <f t="shared" si="96"/>
        <v>0</v>
      </c>
    </row>
    <row r="76" spans="1:81" ht="15" customHeight="1">
      <c r="A76" s="1" t="s">
        <v>79</v>
      </c>
      <c r="B76" s="10">
        <v>1535994</v>
      </c>
      <c r="C76" s="10">
        <f t="shared" si="53"/>
        <v>1543673.9699999997</v>
      </c>
      <c r="D76" s="10">
        <v>1454245.2902768</v>
      </c>
      <c r="E76" s="10">
        <v>283444.4773108576</v>
      </c>
      <c r="F76" s="23" t="str">
        <f t="shared" si="54"/>
        <v>ingen</v>
      </c>
      <c r="G76" s="10"/>
      <c r="H76" s="10">
        <f t="shared" si="55"/>
        <v>1454245.2902768</v>
      </c>
      <c r="I76" s="10"/>
      <c r="J76" s="10">
        <f t="shared" si="56"/>
        <v>1975782.3335267159</v>
      </c>
      <c r="K76" s="10">
        <f t="shared" si="57"/>
        <v>1913952.9873056056</v>
      </c>
      <c r="L76" s="10"/>
      <c r="M76" s="10">
        <f t="shared" si="58"/>
        <v>2412055.920609756</v>
      </c>
      <c r="N76" s="10">
        <f t="shared" si="59"/>
        <v>2350226.5743886456</v>
      </c>
      <c r="P76" s="23">
        <f>'Potentialer og krav'!U76</f>
        <v>0</v>
      </c>
      <c r="Q76" s="10"/>
      <c r="R76" s="23">
        <f t="shared" si="60"/>
        <v>7679.97</v>
      </c>
      <c r="S76" s="23">
        <f t="shared" si="61"/>
        <v>35504.50130999999</v>
      </c>
      <c r="T76" s="23">
        <f t="shared" si="62"/>
        <v>1170800.8129659425</v>
      </c>
      <c r="U76" s="23">
        <f t="shared" si="63"/>
        <v>33447.6416763664</v>
      </c>
      <c r="V76" s="23">
        <f t="shared" si="64"/>
        <v>1487692.9319531664</v>
      </c>
      <c r="W76" s="23">
        <f t="shared" si="65"/>
        <v>1579178.4713099997</v>
      </c>
      <c r="X76" s="23">
        <f t="shared" si="66"/>
        <v>33447.6416763664</v>
      </c>
      <c r="Y76" s="23">
        <f t="shared" si="67"/>
        <v>1487692.9319531664</v>
      </c>
      <c r="Z76" s="23">
        <f t="shared" si="68"/>
        <v>91485.53935683332</v>
      </c>
      <c r="AA76" s="23" t="str">
        <f t="shared" si="69"/>
        <v>ingen</v>
      </c>
      <c r="AB76" s="23"/>
      <c r="AC76" s="35" t="s">
        <v>79</v>
      </c>
      <c r="AD76" s="6">
        <v>342</v>
      </c>
      <c r="AE76" s="6">
        <v>275423</v>
      </c>
      <c r="AF76" s="6">
        <v>264301</v>
      </c>
      <c r="AG76" s="6"/>
      <c r="AH76" s="6"/>
      <c r="AI76" s="6"/>
      <c r="AJ76" s="6"/>
      <c r="AK76" s="6"/>
      <c r="AL76" s="6">
        <v>19</v>
      </c>
      <c r="AM76" s="6">
        <v>54</v>
      </c>
      <c r="AN76" s="6"/>
      <c r="AO76" s="6"/>
      <c r="AP76" s="6">
        <v>24</v>
      </c>
      <c r="AQ76" s="6">
        <v>2660</v>
      </c>
      <c r="AR76" s="6"/>
      <c r="AS76" s="6"/>
      <c r="AT76" s="6">
        <v>2609</v>
      </c>
      <c r="AU76" s="6">
        <f t="shared" si="70"/>
        <v>0</v>
      </c>
      <c r="AV76" s="6">
        <f t="shared" si="71"/>
        <v>0</v>
      </c>
      <c r="AW76" s="6">
        <f t="shared" si="72"/>
        <v>0</v>
      </c>
      <c r="AX76" s="6"/>
      <c r="AY76" s="6">
        <f t="shared" si="73"/>
        <v>223369.29566320646</v>
      </c>
      <c r="AZ76" s="6">
        <f t="shared" si="74"/>
        <v>476125.3378635093</v>
      </c>
      <c r="BA76" s="6">
        <f t="shared" si="75"/>
        <v>0</v>
      </c>
      <c r="BB76" s="6">
        <f t="shared" si="76"/>
        <v>440920</v>
      </c>
      <c r="BC76" s="6">
        <f t="shared" si="77"/>
        <v>456280</v>
      </c>
      <c r="BD76" s="6">
        <f t="shared" si="78"/>
        <v>379087.7</v>
      </c>
      <c r="BE76" s="6">
        <v>26.87257766</v>
      </c>
      <c r="BF76" s="6">
        <f t="shared" si="79"/>
        <v>1975782.3335267159</v>
      </c>
      <c r="BG76" s="6">
        <f t="shared" si="80"/>
        <v>1913952.9873056056</v>
      </c>
      <c r="BH76" s="6"/>
      <c r="BK76" s="30" t="str">
        <f t="shared" si="81"/>
        <v>Løkken Vandværk</v>
      </c>
      <c r="BL76" s="23">
        <f t="shared" si="82"/>
        <v>11.305359495977402</v>
      </c>
      <c r="BM76" s="23">
        <f t="shared" si="83"/>
        <v>24.098066360054904</v>
      </c>
      <c r="BN76" s="23">
        <f t="shared" si="84"/>
        <v>0</v>
      </c>
      <c r="BO76" s="23">
        <f t="shared" si="85"/>
        <v>22.31622342796082</v>
      </c>
      <c r="BP76" s="23">
        <f t="shared" si="86"/>
        <v>23.093636999251483</v>
      </c>
      <c r="BQ76" s="23">
        <f t="shared" si="87"/>
        <v>19.186713716755385</v>
      </c>
      <c r="BR76" s="23"/>
      <c r="BS76" s="23">
        <f t="shared" si="88"/>
        <v>42.280350716006865</v>
      </c>
      <c r="BT76" s="23"/>
      <c r="BU76" s="23">
        <f t="shared" si="89"/>
        <v>-0.17047019103822691</v>
      </c>
      <c r="BV76" s="23">
        <f t="shared" si="90"/>
        <v>7.6979234187019685</v>
      </c>
      <c r="BW76" s="23">
        <f t="shared" si="91"/>
        <v>4.338265408991401</v>
      </c>
      <c r="BX76" s="23">
        <f t="shared" si="92"/>
        <v>1.489065599007386</v>
      </c>
      <c r="BY76" s="23">
        <f t="shared" si="93"/>
        <v>-7.507190588423729</v>
      </c>
      <c r="BZ76" s="23">
        <f t="shared" si="94"/>
        <v>-5.847593647238812</v>
      </c>
      <c r="CA76" s="23"/>
      <c r="CB76" s="23">
        <f t="shared" si="95"/>
        <v>-13.354784235662542</v>
      </c>
      <c r="CC76" s="23">
        <f t="shared" si="96"/>
        <v>-1.604003315624202</v>
      </c>
    </row>
    <row r="77" spans="1:81" ht="15" customHeight="1">
      <c r="A77" s="1" t="s">
        <v>80</v>
      </c>
      <c r="B77" s="10">
        <v>936809</v>
      </c>
      <c r="C77" s="10">
        <f t="shared" si="53"/>
        <v>941493.0449999999</v>
      </c>
      <c r="D77" s="10">
        <v>731619.3289552</v>
      </c>
      <c r="E77" s="10">
        <v>0</v>
      </c>
      <c r="F77" s="23" t="str">
        <f t="shared" si="54"/>
        <v>ingen</v>
      </c>
      <c r="G77" s="10"/>
      <c r="H77" s="10">
        <f t="shared" si="55"/>
        <v>731619.3289552</v>
      </c>
      <c r="I77" s="10"/>
      <c r="J77" s="10">
        <f t="shared" si="56"/>
        <v>1636836.1926534385</v>
      </c>
      <c r="K77" s="10">
        <f t="shared" si="57"/>
        <v>1500185.7776692056</v>
      </c>
      <c r="L77" s="10"/>
      <c r="M77" s="10">
        <f t="shared" si="58"/>
        <v>1856321.9913399986</v>
      </c>
      <c r="N77" s="10">
        <f t="shared" si="59"/>
        <v>1719671.5763557656</v>
      </c>
      <c r="P77" s="23">
        <f>'Potentialer og krav'!U77</f>
        <v>0</v>
      </c>
      <c r="Q77" s="10"/>
      <c r="R77" s="23">
        <f t="shared" si="60"/>
        <v>4684.045</v>
      </c>
      <c r="S77" s="23">
        <f t="shared" si="61"/>
        <v>21654.340034999997</v>
      </c>
      <c r="T77" s="23">
        <f t="shared" si="62"/>
        <v>731619.3289552</v>
      </c>
      <c r="U77" s="23">
        <f t="shared" si="63"/>
        <v>16827.244565969602</v>
      </c>
      <c r="V77" s="23">
        <f t="shared" si="64"/>
        <v>748446.5735211696</v>
      </c>
      <c r="W77" s="23">
        <f t="shared" si="65"/>
        <v>963147.3850349998</v>
      </c>
      <c r="X77" s="23">
        <f t="shared" si="66"/>
        <v>16827.244565969602</v>
      </c>
      <c r="Y77" s="23">
        <f t="shared" si="67"/>
        <v>748446.5735211696</v>
      </c>
      <c r="Z77" s="23">
        <f t="shared" si="68"/>
        <v>214700.8115138302</v>
      </c>
      <c r="AA77" s="23" t="str">
        <f t="shared" si="69"/>
        <v>ingen</v>
      </c>
      <c r="AB77" s="23"/>
      <c r="AC77" s="35" t="s">
        <v>80</v>
      </c>
      <c r="AD77" s="6">
        <v>138</v>
      </c>
      <c r="AE77" s="6">
        <v>249118</v>
      </c>
      <c r="AF77" s="6">
        <v>226391</v>
      </c>
      <c r="AG77" s="6">
        <v>3</v>
      </c>
      <c r="AH77" s="6"/>
      <c r="AI77" s="6"/>
      <c r="AJ77" s="6"/>
      <c r="AK77" s="6"/>
      <c r="AL77" s="6">
        <v>51</v>
      </c>
      <c r="AM77" s="6">
        <v>26</v>
      </c>
      <c r="AN77" s="6"/>
      <c r="AO77" s="6"/>
      <c r="AP77" s="6">
        <v>464</v>
      </c>
      <c r="AQ77" s="6">
        <v>914</v>
      </c>
      <c r="AR77" s="6"/>
      <c r="AS77" s="6"/>
      <c r="AT77" s="6">
        <v>1378</v>
      </c>
      <c r="AU77" s="6">
        <f t="shared" si="70"/>
        <v>3</v>
      </c>
      <c r="AV77" s="6">
        <f t="shared" si="71"/>
        <v>0</v>
      </c>
      <c r="AW77" s="6">
        <f t="shared" si="72"/>
        <v>0</v>
      </c>
      <c r="AX77" s="6"/>
      <c r="AY77" s="6">
        <f t="shared" si="73"/>
        <v>171592.6348920875</v>
      </c>
      <c r="AZ77" s="6">
        <f t="shared" si="74"/>
        <v>406068.15776135126</v>
      </c>
      <c r="BA77" s="6">
        <f t="shared" si="75"/>
        <v>159612</v>
      </c>
      <c r="BB77" s="6">
        <f t="shared" si="76"/>
        <v>465080</v>
      </c>
      <c r="BC77" s="6">
        <f t="shared" si="77"/>
        <v>234260</v>
      </c>
      <c r="BD77" s="6">
        <f t="shared" si="78"/>
        <v>200223.40000000002</v>
      </c>
      <c r="BE77" s="6">
        <v>23.97308456</v>
      </c>
      <c r="BF77" s="6">
        <f t="shared" si="79"/>
        <v>1636836.1926534385</v>
      </c>
      <c r="BG77" s="6">
        <f t="shared" si="80"/>
        <v>1500185.7776692056</v>
      </c>
      <c r="BH77" s="6"/>
      <c r="BK77" s="30" t="str">
        <f t="shared" si="81"/>
        <v>Mariager Vand Amba</v>
      </c>
      <c r="BL77" s="23">
        <f t="shared" si="82"/>
        <v>10.483189195243936</v>
      </c>
      <c r="BM77" s="23">
        <f t="shared" si="83"/>
        <v>24.808112111883553</v>
      </c>
      <c r="BN77" s="23">
        <f t="shared" si="84"/>
        <v>9.751250657602856</v>
      </c>
      <c r="BO77" s="23">
        <f t="shared" si="85"/>
        <v>28.413350223278556</v>
      </c>
      <c r="BP77" s="23">
        <f t="shared" si="86"/>
        <v>14.311755877064666</v>
      </c>
      <c r="BQ77" s="23">
        <f t="shared" si="87"/>
        <v>12.232341934926447</v>
      </c>
      <c r="BR77" s="23"/>
      <c r="BS77" s="23">
        <f t="shared" si="88"/>
        <v>26.544097811991115</v>
      </c>
      <c r="BT77" s="23"/>
      <c r="BU77" s="23">
        <f t="shared" si="89"/>
        <v>0.6517001096952395</v>
      </c>
      <c r="BV77" s="23">
        <f t="shared" si="90"/>
        <v>6.98787766687332</v>
      </c>
      <c r="BW77" s="23">
        <f t="shared" si="91"/>
        <v>-5.412985248611456</v>
      </c>
      <c r="BX77" s="23">
        <f t="shared" si="92"/>
        <v>-4.608061196310349</v>
      </c>
      <c r="BY77" s="23">
        <f t="shared" si="93"/>
        <v>1.2746905337630885</v>
      </c>
      <c r="BZ77" s="23">
        <f t="shared" si="94"/>
        <v>1.106778134590126</v>
      </c>
      <c r="CA77" s="23"/>
      <c r="CB77" s="23">
        <f t="shared" si="95"/>
        <v>2.3814686683532074</v>
      </c>
      <c r="CC77" s="23">
        <f t="shared" si="96"/>
        <v>0</v>
      </c>
    </row>
    <row r="78" spans="1:81" ht="15" customHeight="1">
      <c r="A78" s="1" t="s">
        <v>81</v>
      </c>
      <c r="B78" s="10">
        <v>6954454</v>
      </c>
      <c r="C78" s="10">
        <f t="shared" si="53"/>
        <v>6989226.27</v>
      </c>
      <c r="D78" s="10">
        <v>4561879.117084334</v>
      </c>
      <c r="E78" s="10">
        <v>0</v>
      </c>
      <c r="F78" s="23" t="str">
        <f t="shared" si="54"/>
        <v>ingen</v>
      </c>
      <c r="G78" s="10"/>
      <c r="H78" s="10">
        <f t="shared" si="55"/>
        <v>4561879.117084334</v>
      </c>
      <c r="I78" s="10"/>
      <c r="J78" s="10">
        <f t="shared" si="56"/>
        <v>8340599.274944547</v>
      </c>
      <c r="K78" s="10">
        <f t="shared" si="57"/>
        <v>8169533.1234143535</v>
      </c>
      <c r="L78" s="10"/>
      <c r="M78" s="10">
        <f t="shared" si="58"/>
        <v>9709163.010069847</v>
      </c>
      <c r="N78" s="10">
        <f t="shared" si="59"/>
        <v>9538096.858539654</v>
      </c>
      <c r="P78" s="23">
        <f>'Potentialer og krav'!U78</f>
        <v>0</v>
      </c>
      <c r="Q78" s="10"/>
      <c r="R78" s="23">
        <f t="shared" si="60"/>
        <v>34772.270000000004</v>
      </c>
      <c r="S78" s="23">
        <f t="shared" si="61"/>
        <v>160752.20421</v>
      </c>
      <c r="T78" s="23">
        <f t="shared" si="62"/>
        <v>4561879.117084334</v>
      </c>
      <c r="U78" s="23">
        <f t="shared" si="63"/>
        <v>104923.21969293967</v>
      </c>
      <c r="V78" s="23">
        <f t="shared" si="64"/>
        <v>4666802.336777273</v>
      </c>
      <c r="W78" s="23">
        <f t="shared" si="65"/>
        <v>7149978.474209999</v>
      </c>
      <c r="X78" s="23">
        <f t="shared" si="66"/>
        <v>104923.21969293967</v>
      </c>
      <c r="Y78" s="23">
        <f t="shared" si="67"/>
        <v>4666802.336777273</v>
      </c>
      <c r="Z78" s="23">
        <f t="shared" si="68"/>
        <v>2483176.137432726</v>
      </c>
      <c r="AA78" s="23" t="str">
        <f t="shared" si="69"/>
        <v>ingen</v>
      </c>
      <c r="AB78" s="23"/>
      <c r="AC78" s="35" t="s">
        <v>81</v>
      </c>
      <c r="AD78" s="6">
        <v>14</v>
      </c>
      <c r="AE78" s="6">
        <v>1662457</v>
      </c>
      <c r="AF78" s="6">
        <v>1643988</v>
      </c>
      <c r="AG78" s="6">
        <v>1</v>
      </c>
      <c r="AH78" s="6">
        <v>0</v>
      </c>
      <c r="AI78" s="6">
        <v>1</v>
      </c>
      <c r="AJ78" s="6">
        <v>0</v>
      </c>
      <c r="AK78" s="6">
        <v>0</v>
      </c>
      <c r="AL78" s="6">
        <v>257</v>
      </c>
      <c r="AM78" s="6">
        <v>139</v>
      </c>
      <c r="AN78" s="6">
        <v>0</v>
      </c>
      <c r="AO78" s="6">
        <v>0</v>
      </c>
      <c r="AP78" s="6">
        <v>2768</v>
      </c>
      <c r="AQ78" s="6">
        <v>3873</v>
      </c>
      <c r="AR78" s="6">
        <v>0</v>
      </c>
      <c r="AS78" s="6">
        <v>0</v>
      </c>
      <c r="AT78" s="6">
        <v>6594</v>
      </c>
      <c r="AU78" s="6">
        <f t="shared" si="70"/>
        <v>1</v>
      </c>
      <c r="AV78" s="6">
        <f t="shared" si="71"/>
        <v>1</v>
      </c>
      <c r="AW78" s="6">
        <f t="shared" si="72"/>
        <v>0</v>
      </c>
      <c r="AX78" s="6"/>
      <c r="AY78" s="6">
        <f t="shared" si="73"/>
        <v>566176.1072504233</v>
      </c>
      <c r="AZ78" s="6">
        <f t="shared" si="74"/>
        <v>3117076.9676941233</v>
      </c>
      <c r="BA78" s="6">
        <f t="shared" si="75"/>
        <v>178428</v>
      </c>
      <c r="BB78" s="6">
        <f t="shared" si="76"/>
        <v>2391840</v>
      </c>
      <c r="BC78" s="6">
        <f t="shared" si="77"/>
        <v>1128970</v>
      </c>
      <c r="BD78" s="6">
        <f t="shared" si="78"/>
        <v>958108.2000000001</v>
      </c>
      <c r="BE78" s="6">
        <v>27.4716636</v>
      </c>
      <c r="BF78" s="6">
        <f t="shared" si="79"/>
        <v>8340599.274944547</v>
      </c>
      <c r="BG78" s="6">
        <f t="shared" si="80"/>
        <v>8169533.1234143535</v>
      </c>
      <c r="BH78" s="6"/>
      <c r="BK78" s="30" t="str">
        <f t="shared" si="81"/>
        <v>Midtfyns Vandforsyning A.m.b.A.</v>
      </c>
      <c r="BL78" s="23">
        <f t="shared" si="82"/>
        <v>6.788194571956432</v>
      </c>
      <c r="BM78" s="23">
        <f t="shared" si="83"/>
        <v>37.372338185074206</v>
      </c>
      <c r="BN78" s="23">
        <f t="shared" si="84"/>
        <v>2.139270742043728</v>
      </c>
      <c r="BO78" s="23">
        <f t="shared" si="85"/>
        <v>28.677076084750546</v>
      </c>
      <c r="BP78" s="23">
        <f t="shared" si="86"/>
        <v>13.5358379270356</v>
      </c>
      <c r="BQ78" s="23">
        <f t="shared" si="87"/>
        <v>11.487282489139488</v>
      </c>
      <c r="BR78" s="23"/>
      <c r="BS78" s="23">
        <f t="shared" si="88"/>
        <v>25.02312041617509</v>
      </c>
      <c r="BT78" s="23"/>
      <c r="BU78" s="23">
        <f t="shared" si="89"/>
        <v>4.346694732982743</v>
      </c>
      <c r="BV78" s="23">
        <f t="shared" si="90"/>
        <v>-5.576348406317333</v>
      </c>
      <c r="BW78" s="23">
        <f t="shared" si="91"/>
        <v>2.1989946669476725</v>
      </c>
      <c r="BX78" s="23">
        <f t="shared" si="92"/>
        <v>-4.871787057782338</v>
      </c>
      <c r="BY78" s="23">
        <f t="shared" si="93"/>
        <v>2.050608483792155</v>
      </c>
      <c r="BZ78" s="23">
        <f t="shared" si="94"/>
        <v>1.8518375803770848</v>
      </c>
      <c r="CA78" s="23"/>
      <c r="CB78" s="23">
        <f t="shared" si="95"/>
        <v>3.902446064169233</v>
      </c>
      <c r="CC78" s="23">
        <f t="shared" si="96"/>
        <v>0</v>
      </c>
    </row>
    <row r="79" spans="1:81" ht="15" customHeight="1">
      <c r="A79" s="1" t="s">
        <v>82</v>
      </c>
      <c r="B79" s="10">
        <v>1022689</v>
      </c>
      <c r="C79" s="10">
        <f t="shared" si="53"/>
        <v>1027802.445</v>
      </c>
      <c r="D79" s="10">
        <v>809388</v>
      </c>
      <c r="E79" s="10">
        <v>0</v>
      </c>
      <c r="F79" s="23" t="str">
        <f t="shared" si="54"/>
        <v>ingen</v>
      </c>
      <c r="G79" s="10"/>
      <c r="H79" s="10">
        <f t="shared" si="55"/>
        <v>809388</v>
      </c>
      <c r="I79" s="10"/>
      <c r="J79" s="10">
        <f t="shared" si="56"/>
        <v>1416117.4886170162</v>
      </c>
      <c r="K79" s="10">
        <f t="shared" si="57"/>
        <v>1389999.3888745483</v>
      </c>
      <c r="L79" s="10"/>
      <c r="M79" s="10">
        <f t="shared" si="58"/>
        <v>1658933.8886170161</v>
      </c>
      <c r="N79" s="10">
        <f t="shared" si="59"/>
        <v>1632815.7888745482</v>
      </c>
      <c r="P79" s="23">
        <f>'Potentialer og krav'!U79</f>
        <v>0</v>
      </c>
      <c r="Q79" s="10"/>
      <c r="R79" s="23">
        <f t="shared" si="60"/>
        <v>5113.445</v>
      </c>
      <c r="S79" s="23">
        <f t="shared" si="61"/>
        <v>23639.456234999998</v>
      </c>
      <c r="T79" s="23">
        <f t="shared" si="62"/>
        <v>809388</v>
      </c>
      <c r="U79" s="23">
        <f t="shared" si="63"/>
        <v>18615.924</v>
      </c>
      <c r="V79" s="23">
        <f t="shared" si="64"/>
        <v>828003.9239999999</v>
      </c>
      <c r="W79" s="23">
        <f t="shared" si="65"/>
        <v>1051441.9012349998</v>
      </c>
      <c r="X79" s="23">
        <f t="shared" si="66"/>
        <v>18615.924</v>
      </c>
      <c r="Y79" s="23">
        <f t="shared" si="67"/>
        <v>828003.9239999999</v>
      </c>
      <c r="Z79" s="23">
        <f t="shared" si="68"/>
        <v>223437.97723499988</v>
      </c>
      <c r="AA79" s="23" t="str">
        <f t="shared" si="69"/>
        <v>ingen</v>
      </c>
      <c r="AB79" s="23"/>
      <c r="AC79" s="35" t="s">
        <v>82</v>
      </c>
      <c r="AD79" s="6">
        <v>105</v>
      </c>
      <c r="AE79" s="6">
        <v>214276</v>
      </c>
      <c r="AF79" s="6">
        <v>211513</v>
      </c>
      <c r="AG79" s="6">
        <v>1</v>
      </c>
      <c r="AH79" s="6"/>
      <c r="AI79" s="6"/>
      <c r="AJ79" s="6"/>
      <c r="AK79" s="6"/>
      <c r="AL79" s="6">
        <v>11</v>
      </c>
      <c r="AM79" s="6">
        <v>34</v>
      </c>
      <c r="AN79" s="6"/>
      <c r="AO79" s="6"/>
      <c r="AP79" s="6">
        <v>85</v>
      </c>
      <c r="AQ79" s="6">
        <v>1664</v>
      </c>
      <c r="AR79" s="6"/>
      <c r="AS79" s="6"/>
      <c r="AT79" s="6">
        <v>1874</v>
      </c>
      <c r="AU79" s="6">
        <f t="shared" si="70"/>
        <v>1</v>
      </c>
      <c r="AV79" s="6">
        <f t="shared" si="71"/>
        <v>0</v>
      </c>
      <c r="AW79" s="6">
        <f t="shared" si="72"/>
        <v>0</v>
      </c>
      <c r="AX79" s="6"/>
      <c r="AY79" s="6">
        <f t="shared" si="73"/>
        <v>142830.59691015523</v>
      </c>
      <c r="AZ79" s="6">
        <f t="shared" si="74"/>
        <v>378660.6917068609</v>
      </c>
      <c r="BA79" s="6">
        <f t="shared" si="75"/>
        <v>53204</v>
      </c>
      <c r="BB79" s="6">
        <f t="shared" si="76"/>
        <v>271800</v>
      </c>
      <c r="BC79" s="6">
        <f t="shared" si="77"/>
        <v>297330</v>
      </c>
      <c r="BD79" s="6">
        <f t="shared" si="78"/>
        <v>272292.2</v>
      </c>
      <c r="BE79" s="6">
        <v>27.5864747</v>
      </c>
      <c r="BF79" s="6">
        <f t="shared" si="79"/>
        <v>1416117.4886170162</v>
      </c>
      <c r="BG79" s="6">
        <f t="shared" si="80"/>
        <v>1389999.3888745483</v>
      </c>
      <c r="BH79" s="6"/>
      <c r="BK79" s="30" t="str">
        <f t="shared" si="81"/>
        <v>Mårslet Vandværk</v>
      </c>
      <c r="BL79" s="23">
        <f t="shared" si="82"/>
        <v>10.08606969818895</v>
      </c>
      <c r="BM79" s="23">
        <f t="shared" si="83"/>
        <v>26.739355650261892</v>
      </c>
      <c r="BN79" s="23">
        <f t="shared" si="84"/>
        <v>3.7570329035311296</v>
      </c>
      <c r="BO79" s="23">
        <f t="shared" si="85"/>
        <v>19.193322742270524</v>
      </c>
      <c r="BP79" s="23">
        <f t="shared" si="86"/>
        <v>20.99613926033589</v>
      </c>
      <c r="BQ79" s="23">
        <f t="shared" si="87"/>
        <v>19.228079745411605</v>
      </c>
      <c r="BR79" s="23"/>
      <c r="BS79" s="23">
        <f t="shared" si="88"/>
        <v>40.2242190057475</v>
      </c>
      <c r="BT79" s="23"/>
      <c r="BU79" s="23">
        <f t="shared" si="89"/>
        <v>1.0488196067502251</v>
      </c>
      <c r="BV79" s="23">
        <f t="shared" si="90"/>
        <v>5.056634128494981</v>
      </c>
      <c r="BW79" s="23">
        <f t="shared" si="91"/>
        <v>0.5812325054602709</v>
      </c>
      <c r="BX79" s="23">
        <f t="shared" si="92"/>
        <v>4.611966284697683</v>
      </c>
      <c r="BY79" s="23">
        <f t="shared" si="93"/>
        <v>-5.4096928495081364</v>
      </c>
      <c r="BZ79" s="23">
        <f t="shared" si="94"/>
        <v>-5.888959675895032</v>
      </c>
      <c r="CA79" s="23"/>
      <c r="CB79" s="23">
        <f t="shared" si="95"/>
        <v>-11.298652525403178</v>
      </c>
      <c r="CC79" s="23">
        <f t="shared" si="96"/>
        <v>-0.6540704654843753</v>
      </c>
    </row>
    <row r="80" spans="1:81" ht="15" customHeight="1">
      <c r="A80" s="1" t="s">
        <v>83</v>
      </c>
      <c r="B80" s="10">
        <v>594237</v>
      </c>
      <c r="C80" s="10">
        <f t="shared" si="53"/>
        <v>597208.1849999999</v>
      </c>
      <c r="D80" s="10">
        <v>799378.9375082</v>
      </c>
      <c r="E80" s="10">
        <v>0</v>
      </c>
      <c r="F80" s="23">
        <f t="shared" si="54"/>
        <v>202170.7525082</v>
      </c>
      <c r="G80" s="10"/>
      <c r="H80" s="10">
        <f t="shared" si="55"/>
        <v>799378.9375082</v>
      </c>
      <c r="I80" s="10"/>
      <c r="J80" s="10">
        <f t="shared" si="56"/>
        <v>1397688.1722522986</v>
      </c>
      <c r="K80" s="10">
        <f t="shared" si="57"/>
        <v>1400540.5161863104</v>
      </c>
      <c r="L80" s="10"/>
      <c r="M80" s="10">
        <f t="shared" si="58"/>
        <v>1637501.8535047586</v>
      </c>
      <c r="N80" s="10">
        <f t="shared" si="59"/>
        <v>1640354.1974387704</v>
      </c>
      <c r="P80" s="23">
        <f>'Potentialer og krav'!U80</f>
        <v>0</v>
      </c>
      <c r="Q80" s="10"/>
      <c r="R80" s="23">
        <f t="shared" si="60"/>
        <v>2971.185</v>
      </c>
      <c r="S80" s="23">
        <f t="shared" si="61"/>
        <v>13735.788254999998</v>
      </c>
      <c r="T80" s="23">
        <f t="shared" si="62"/>
        <v>799378.9375082</v>
      </c>
      <c r="U80" s="23">
        <f t="shared" si="63"/>
        <v>18385.715562688598</v>
      </c>
      <c r="V80" s="23">
        <f t="shared" si="64"/>
        <v>817764.6530708885</v>
      </c>
      <c r="W80" s="23">
        <f t="shared" si="65"/>
        <v>610943.9732549998</v>
      </c>
      <c r="X80" s="23">
        <f t="shared" si="66"/>
        <v>18385.715562688598</v>
      </c>
      <c r="Y80" s="23">
        <f t="shared" si="67"/>
        <v>817764.6530708885</v>
      </c>
      <c r="Z80" s="23">
        <f t="shared" si="68"/>
        <v>-206820.67981588864</v>
      </c>
      <c r="AA80" s="23">
        <f t="shared" si="69"/>
        <v>0</v>
      </c>
      <c r="AB80" s="23"/>
      <c r="AC80" s="35" t="s">
        <v>83</v>
      </c>
      <c r="AD80" s="6">
        <v>134</v>
      </c>
      <c r="AE80" s="6">
        <v>255258</v>
      </c>
      <c r="AF80" s="6">
        <v>232947</v>
      </c>
      <c r="AG80" s="6"/>
      <c r="AH80" s="6"/>
      <c r="AI80" s="6"/>
      <c r="AJ80" s="6"/>
      <c r="AK80" s="6"/>
      <c r="AL80" s="6">
        <v>84</v>
      </c>
      <c r="AM80" s="6">
        <v>11</v>
      </c>
      <c r="AN80" s="6"/>
      <c r="AO80" s="6"/>
      <c r="AP80" s="6">
        <v>225</v>
      </c>
      <c r="AQ80" s="6">
        <v>529</v>
      </c>
      <c r="AR80" s="6"/>
      <c r="AS80" s="6"/>
      <c r="AT80" s="6">
        <v>711</v>
      </c>
      <c r="AU80" s="6">
        <f t="shared" si="70"/>
        <v>0</v>
      </c>
      <c r="AV80" s="6">
        <f t="shared" si="71"/>
        <v>0</v>
      </c>
      <c r="AW80" s="6">
        <f t="shared" si="72"/>
        <v>0</v>
      </c>
      <c r="AX80" s="6"/>
      <c r="AY80" s="6">
        <f t="shared" si="73"/>
        <v>174238.37497179492</v>
      </c>
      <c r="AZ80" s="6">
        <f t="shared" si="74"/>
        <v>418161.49728050345</v>
      </c>
      <c r="BA80" s="6">
        <f t="shared" si="75"/>
        <v>0</v>
      </c>
      <c r="BB80" s="6">
        <f t="shared" si="76"/>
        <v>573800</v>
      </c>
      <c r="BC80" s="6">
        <f t="shared" si="77"/>
        <v>128180</v>
      </c>
      <c r="BD80" s="6">
        <f t="shared" si="78"/>
        <v>103308.3</v>
      </c>
      <c r="BE80" s="6">
        <v>28.72448658</v>
      </c>
      <c r="BF80" s="6">
        <f t="shared" si="79"/>
        <v>1397688.1722522986</v>
      </c>
      <c r="BG80" s="6">
        <f t="shared" si="80"/>
        <v>1400540.5161863104</v>
      </c>
      <c r="BH80" s="6"/>
      <c r="BK80" s="30" t="str">
        <f t="shared" si="81"/>
        <v>Nordenskov Vandværk</v>
      </c>
      <c r="BL80" s="23">
        <f t="shared" si="82"/>
        <v>12.466183690387766</v>
      </c>
      <c r="BM80" s="23">
        <f t="shared" si="83"/>
        <v>29.91808227200341</v>
      </c>
      <c r="BN80" s="23">
        <f t="shared" si="84"/>
        <v>0</v>
      </c>
      <c r="BO80" s="23">
        <f t="shared" si="85"/>
        <v>41.05350616764199</v>
      </c>
      <c r="BP80" s="23">
        <f t="shared" si="86"/>
        <v>9.170858174570148</v>
      </c>
      <c r="BQ80" s="23">
        <f t="shared" si="87"/>
        <v>7.39136969539667</v>
      </c>
      <c r="BR80" s="23"/>
      <c r="BS80" s="23">
        <f t="shared" si="88"/>
        <v>16.56222786996682</v>
      </c>
      <c r="BT80" s="23"/>
      <c r="BU80" s="23">
        <f t="shared" si="89"/>
        <v>-1.3312943854485901</v>
      </c>
      <c r="BV80" s="23">
        <f t="shared" si="90"/>
        <v>1.8779075067534627</v>
      </c>
      <c r="BW80" s="23">
        <f t="shared" si="91"/>
        <v>4.338265408991401</v>
      </c>
      <c r="BX80" s="23">
        <f t="shared" si="92"/>
        <v>-17.248217140673784</v>
      </c>
      <c r="BY80" s="23">
        <f t="shared" si="93"/>
        <v>6.415588236257607</v>
      </c>
      <c r="BZ80" s="23">
        <f t="shared" si="94"/>
        <v>5.947750374119903</v>
      </c>
      <c r="CA80" s="23"/>
      <c r="CB80" s="23">
        <f t="shared" si="95"/>
        <v>12.363338610377504</v>
      </c>
      <c r="CC80" s="23">
        <f t="shared" si="96"/>
        <v>0</v>
      </c>
    </row>
    <row r="81" spans="1:81" ht="15" customHeight="1">
      <c r="A81" s="1" t="s">
        <v>84</v>
      </c>
      <c r="B81" s="10">
        <v>689924</v>
      </c>
      <c r="C81" s="10">
        <f t="shared" si="53"/>
        <v>693373.6199999999</v>
      </c>
      <c r="D81" s="10">
        <v>670354.9303598</v>
      </c>
      <c r="E81" s="10">
        <v>9434.723898598058</v>
      </c>
      <c r="F81" s="23" t="str">
        <f t="shared" si="54"/>
        <v>ingen</v>
      </c>
      <c r="G81" s="10"/>
      <c r="H81" s="10">
        <f t="shared" si="55"/>
        <v>670354.9303598</v>
      </c>
      <c r="I81" s="10"/>
      <c r="J81" s="10">
        <f t="shared" si="56"/>
        <v>1093376.84536211</v>
      </c>
      <c r="K81" s="10">
        <f t="shared" si="57"/>
        <v>1168656.4086231845</v>
      </c>
      <c r="L81" s="10"/>
      <c r="M81" s="10">
        <f t="shared" si="58"/>
        <v>1294483.3244700502</v>
      </c>
      <c r="N81" s="10">
        <f t="shared" si="59"/>
        <v>1369762.8877311246</v>
      </c>
      <c r="P81" s="23">
        <f>'Potentialer og krav'!U81</f>
        <v>0</v>
      </c>
      <c r="Q81" s="10"/>
      <c r="R81" s="23">
        <f t="shared" si="60"/>
        <v>3449.62</v>
      </c>
      <c r="S81" s="23">
        <f t="shared" si="61"/>
        <v>15947.593259999998</v>
      </c>
      <c r="T81" s="23">
        <f t="shared" si="62"/>
        <v>660920.2064612019</v>
      </c>
      <c r="U81" s="23">
        <f t="shared" si="63"/>
        <v>15418.1633982754</v>
      </c>
      <c r="V81" s="23">
        <f t="shared" si="64"/>
        <v>685773.0937580754</v>
      </c>
      <c r="W81" s="23">
        <f t="shared" si="65"/>
        <v>709321.2132599998</v>
      </c>
      <c r="X81" s="23">
        <f t="shared" si="66"/>
        <v>15418.1633982754</v>
      </c>
      <c r="Y81" s="23">
        <f t="shared" si="67"/>
        <v>685773.0937580754</v>
      </c>
      <c r="Z81" s="23">
        <f t="shared" si="68"/>
        <v>23548.119501924375</v>
      </c>
      <c r="AA81" s="23" t="str">
        <f t="shared" si="69"/>
        <v>ingen</v>
      </c>
      <c r="AB81" s="23"/>
      <c r="AC81" s="35" t="s">
        <v>84</v>
      </c>
      <c r="AD81" s="6">
        <v>42</v>
      </c>
      <c r="AE81" s="6">
        <v>221002</v>
      </c>
      <c r="AF81" s="6">
        <v>220634</v>
      </c>
      <c r="AG81" s="6">
        <v>1</v>
      </c>
      <c r="AH81" s="6"/>
      <c r="AI81" s="6"/>
      <c r="AJ81" s="6"/>
      <c r="AK81" s="6"/>
      <c r="AL81" s="6">
        <v>0</v>
      </c>
      <c r="AM81" s="6">
        <v>29</v>
      </c>
      <c r="AN81" s="6">
        <v>1</v>
      </c>
      <c r="AO81" s="6"/>
      <c r="AP81" s="6">
        <v>6</v>
      </c>
      <c r="AQ81" s="6">
        <v>883</v>
      </c>
      <c r="AR81" s="6">
        <v>21</v>
      </c>
      <c r="AS81" s="6"/>
      <c r="AT81" s="6">
        <v>910</v>
      </c>
      <c r="AU81" s="6">
        <f t="shared" si="70"/>
        <v>1</v>
      </c>
      <c r="AV81" s="6">
        <f t="shared" si="71"/>
        <v>0</v>
      </c>
      <c r="AW81" s="6">
        <f t="shared" si="72"/>
        <v>0</v>
      </c>
      <c r="AX81" s="6"/>
      <c r="AY81" s="6">
        <f t="shared" si="73"/>
        <v>122693.0999024289</v>
      </c>
      <c r="AZ81" s="6">
        <f t="shared" si="74"/>
        <v>395456.745459681</v>
      </c>
      <c r="BA81" s="6">
        <f t="shared" si="75"/>
        <v>53204</v>
      </c>
      <c r="BB81" s="6">
        <f t="shared" si="76"/>
        <v>227540</v>
      </c>
      <c r="BC81" s="6">
        <f t="shared" si="77"/>
        <v>162260</v>
      </c>
      <c r="BD81" s="6">
        <f t="shared" si="78"/>
        <v>132223</v>
      </c>
      <c r="BE81" s="6">
        <v>32.43613994420617</v>
      </c>
      <c r="BF81" s="6">
        <f t="shared" si="79"/>
        <v>1093376.84536211</v>
      </c>
      <c r="BG81" s="6">
        <f t="shared" si="80"/>
        <v>1168656.4086231845</v>
      </c>
      <c r="BH81" s="6"/>
      <c r="BK81" s="30" t="str">
        <f t="shared" si="81"/>
        <v>Nr. Uttrup Vandværk Amba</v>
      </c>
      <c r="BL81" s="23">
        <f t="shared" si="82"/>
        <v>11.221483281164124</v>
      </c>
      <c r="BM81" s="23">
        <f t="shared" si="83"/>
        <v>36.16838486539485</v>
      </c>
      <c r="BN81" s="23">
        <f t="shared" si="84"/>
        <v>4.866025856106329</v>
      </c>
      <c r="BO81" s="23">
        <f t="shared" si="85"/>
        <v>20.810757147929372</v>
      </c>
      <c r="BP81" s="23">
        <f t="shared" si="86"/>
        <v>14.840263051872284</v>
      </c>
      <c r="BQ81" s="23">
        <f t="shared" si="87"/>
        <v>12.093085797533028</v>
      </c>
      <c r="BR81" s="23"/>
      <c r="BS81" s="23">
        <f t="shared" si="88"/>
        <v>26.933348849405313</v>
      </c>
      <c r="BT81" s="23"/>
      <c r="BU81" s="23">
        <f t="shared" si="89"/>
        <v>-0.08659397622494858</v>
      </c>
      <c r="BV81" s="23">
        <f t="shared" si="90"/>
        <v>-4.372395086637976</v>
      </c>
      <c r="BW81" s="23">
        <f t="shared" si="91"/>
        <v>-0.5277604471149289</v>
      </c>
      <c r="BX81" s="23">
        <f t="shared" si="92"/>
        <v>2.994531879038835</v>
      </c>
      <c r="BY81" s="23">
        <f t="shared" si="93"/>
        <v>0.74618335895547</v>
      </c>
      <c r="BZ81" s="23">
        <f t="shared" si="94"/>
        <v>1.2460342719835449</v>
      </c>
      <c r="CA81" s="23"/>
      <c r="CB81" s="23">
        <f t="shared" si="95"/>
        <v>1.9922176309390096</v>
      </c>
      <c r="CC81" s="23">
        <f t="shared" si="96"/>
        <v>0</v>
      </c>
    </row>
    <row r="82" spans="1:81" ht="15" customHeight="1">
      <c r="A82" s="1" t="s">
        <v>85</v>
      </c>
      <c r="B82" s="10">
        <v>2834321</v>
      </c>
      <c r="C82" s="10">
        <f t="shared" si="53"/>
        <v>2848492.6049999995</v>
      </c>
      <c r="D82" s="10">
        <v>2511045.65977685</v>
      </c>
      <c r="E82" s="10">
        <v>1087952.0468523449</v>
      </c>
      <c r="F82" s="23" t="str">
        <f t="shared" si="54"/>
        <v>ingen</v>
      </c>
      <c r="G82" s="10"/>
      <c r="H82" s="10">
        <f t="shared" si="55"/>
        <v>2511045.65977685</v>
      </c>
      <c r="I82" s="10"/>
      <c r="J82" s="10">
        <f t="shared" si="56"/>
        <v>2387979.23317001</v>
      </c>
      <c r="K82" s="10">
        <f t="shared" si="57"/>
        <v>2446990.90413417</v>
      </c>
      <c r="L82" s="10"/>
      <c r="M82" s="10">
        <f t="shared" si="58"/>
        <v>3141292.931103065</v>
      </c>
      <c r="N82" s="10">
        <f t="shared" si="59"/>
        <v>3200304.602067225</v>
      </c>
      <c r="P82" s="23">
        <f>'Potentialer og krav'!U82</f>
        <v>125552.28298884252</v>
      </c>
      <c r="Q82" s="10"/>
      <c r="R82" s="23">
        <f t="shared" si="60"/>
        <v>14171.605</v>
      </c>
      <c r="S82" s="23">
        <f t="shared" si="61"/>
        <v>65515.32991499999</v>
      </c>
      <c r="T82" s="23">
        <f t="shared" si="62"/>
        <v>1423093.6129245053</v>
      </c>
      <c r="U82" s="23">
        <f t="shared" si="63"/>
        <v>57754.05017486755</v>
      </c>
      <c r="V82" s="23">
        <f t="shared" si="64"/>
        <v>2568799.7099517174</v>
      </c>
      <c r="W82" s="23">
        <f t="shared" si="65"/>
        <v>2914007.934914999</v>
      </c>
      <c r="X82" s="23">
        <f t="shared" si="66"/>
        <v>57754.05017486755</v>
      </c>
      <c r="Y82" s="23">
        <f t="shared" si="67"/>
        <v>2568799.7099517174</v>
      </c>
      <c r="Z82" s="23">
        <f t="shared" si="68"/>
        <v>345208.22496328177</v>
      </c>
      <c r="AA82" s="23" t="str">
        <f t="shared" si="69"/>
        <v>ingen</v>
      </c>
      <c r="AB82" s="23"/>
      <c r="AC82" s="35" t="s">
        <v>85</v>
      </c>
      <c r="AD82" s="6">
        <v>208</v>
      </c>
      <c r="AE82" s="6">
        <v>375104</v>
      </c>
      <c r="AF82" s="6">
        <v>367839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23</v>
      </c>
      <c r="AM82" s="6">
        <v>69</v>
      </c>
      <c r="AN82" s="6">
        <v>0</v>
      </c>
      <c r="AO82" s="6">
        <v>0</v>
      </c>
      <c r="AP82" s="6">
        <v>42</v>
      </c>
      <c r="AQ82" s="6">
        <v>2667</v>
      </c>
      <c r="AR82" s="6">
        <v>0</v>
      </c>
      <c r="AS82" s="6">
        <v>0</v>
      </c>
      <c r="AT82" s="6">
        <v>3016</v>
      </c>
      <c r="AU82" s="6">
        <f t="shared" si="70"/>
        <v>0</v>
      </c>
      <c r="AV82" s="6">
        <f t="shared" si="71"/>
        <v>0</v>
      </c>
      <c r="AW82" s="6">
        <f t="shared" si="72"/>
        <v>0</v>
      </c>
      <c r="AX82" s="6"/>
      <c r="AY82" s="6">
        <f t="shared" si="73"/>
        <v>264738.81620444136</v>
      </c>
      <c r="AZ82" s="6">
        <f t="shared" si="74"/>
        <v>668805.6169655685</v>
      </c>
      <c r="BA82" s="6">
        <f t="shared" si="75"/>
        <v>0</v>
      </c>
      <c r="BB82" s="6">
        <f t="shared" si="76"/>
        <v>555680</v>
      </c>
      <c r="BC82" s="6">
        <f t="shared" si="77"/>
        <v>460530</v>
      </c>
      <c r="BD82" s="6">
        <f t="shared" si="78"/>
        <v>438224.80000000005</v>
      </c>
      <c r="BE82" s="6">
        <v>29.983998328527772</v>
      </c>
      <c r="BF82" s="6">
        <f t="shared" si="79"/>
        <v>2387979.23317001</v>
      </c>
      <c r="BG82" s="6">
        <f t="shared" si="80"/>
        <v>2446990.90413417</v>
      </c>
      <c r="BH82" s="6"/>
      <c r="BK82" s="30" t="str">
        <f t="shared" si="81"/>
        <v>Nybrovejens Vandværk A.m.b.a</v>
      </c>
      <c r="BL82" s="23">
        <f t="shared" si="82"/>
        <v>11.086311494133229</v>
      </c>
      <c r="BM82" s="23">
        <f t="shared" si="83"/>
        <v>28.007178943417284</v>
      </c>
      <c r="BN82" s="23">
        <f t="shared" si="84"/>
        <v>0</v>
      </c>
      <c r="BO82" s="23">
        <f t="shared" si="85"/>
        <v>23.26988410457583</v>
      </c>
      <c r="BP82" s="23">
        <f t="shared" si="86"/>
        <v>19.285343591060155</v>
      </c>
      <c r="BQ82" s="23">
        <f t="shared" si="87"/>
        <v>18.351281866813494</v>
      </c>
      <c r="BR82" s="23"/>
      <c r="BS82" s="23">
        <f t="shared" si="88"/>
        <v>37.63662545787365</v>
      </c>
      <c r="BT82" s="23"/>
      <c r="BU82" s="23">
        <f t="shared" si="89"/>
        <v>0.0485778108059467</v>
      </c>
      <c r="BV82" s="23">
        <f t="shared" si="90"/>
        <v>3.7888108353395893</v>
      </c>
      <c r="BW82" s="23">
        <f t="shared" si="91"/>
        <v>4.338265408991401</v>
      </c>
      <c r="BX82" s="23">
        <f t="shared" si="92"/>
        <v>0.5354049223923774</v>
      </c>
      <c r="BY82" s="23">
        <f t="shared" si="93"/>
        <v>-3.6988971802324</v>
      </c>
      <c r="BZ82" s="23">
        <f t="shared" si="94"/>
        <v>-5.012161797296921</v>
      </c>
      <c r="CA82" s="23"/>
      <c r="CB82" s="23">
        <f t="shared" si="95"/>
        <v>-8.711058977529326</v>
      </c>
      <c r="CC82" s="23">
        <f t="shared" si="96"/>
        <v>0</v>
      </c>
    </row>
    <row r="83" spans="1:81" ht="15" customHeight="1">
      <c r="A83" s="1" t="s">
        <v>86</v>
      </c>
      <c r="B83" s="10">
        <v>2495046</v>
      </c>
      <c r="C83" s="10">
        <f t="shared" si="53"/>
        <v>2507521.2299999995</v>
      </c>
      <c r="D83" s="10">
        <v>2031624.3952802</v>
      </c>
      <c r="E83" s="10">
        <v>1182403.589481595</v>
      </c>
      <c r="F83" s="23" t="str">
        <f t="shared" si="54"/>
        <v>ingen</v>
      </c>
      <c r="G83" s="10"/>
      <c r="H83" s="10">
        <f t="shared" si="55"/>
        <v>2031624.3952802</v>
      </c>
      <c r="I83" s="10"/>
      <c r="J83" s="10">
        <f t="shared" si="56"/>
        <v>1360585.356888774</v>
      </c>
      <c r="K83" s="10">
        <f t="shared" si="57"/>
        <v>1551726.020511828</v>
      </c>
      <c r="L83" s="10"/>
      <c r="M83" s="10">
        <f t="shared" si="58"/>
        <v>1970072.6754728341</v>
      </c>
      <c r="N83" s="10">
        <f t="shared" si="59"/>
        <v>2161213.3390958877</v>
      </c>
      <c r="P83" s="23">
        <f>'Potentialer og krav'!U83</f>
        <v>101581.21976401</v>
      </c>
      <c r="Q83" s="10"/>
      <c r="R83" s="23">
        <f t="shared" si="60"/>
        <v>12475.23</v>
      </c>
      <c r="S83" s="23">
        <f t="shared" si="61"/>
        <v>57672.98828999999</v>
      </c>
      <c r="T83" s="23">
        <f t="shared" si="62"/>
        <v>849220.8057986051</v>
      </c>
      <c r="U83" s="23">
        <f t="shared" si="63"/>
        <v>46727.3610914446</v>
      </c>
      <c r="V83" s="23">
        <f t="shared" si="64"/>
        <v>2078351.7563716446</v>
      </c>
      <c r="W83" s="23">
        <f t="shared" si="65"/>
        <v>2565194.2182899993</v>
      </c>
      <c r="X83" s="23">
        <f t="shared" si="66"/>
        <v>46727.3610914446</v>
      </c>
      <c r="Y83" s="23">
        <f t="shared" si="67"/>
        <v>2078351.7563716446</v>
      </c>
      <c r="Z83" s="23">
        <f t="shared" si="68"/>
        <v>486842.46191835473</v>
      </c>
      <c r="AA83" s="23" t="str">
        <f t="shared" si="69"/>
        <v>ingen</v>
      </c>
      <c r="AB83" s="23"/>
      <c r="AC83" s="35" t="s">
        <v>86</v>
      </c>
      <c r="AD83" s="6">
        <v>64</v>
      </c>
      <c r="AE83" s="6">
        <v>287540</v>
      </c>
      <c r="AF83" s="6">
        <v>285540</v>
      </c>
      <c r="AG83" s="6">
        <v>1</v>
      </c>
      <c r="AH83" s="6"/>
      <c r="AI83" s="6"/>
      <c r="AJ83" s="6"/>
      <c r="AK83" s="6"/>
      <c r="AL83" s="6">
        <v>0</v>
      </c>
      <c r="AM83" s="6">
        <v>32</v>
      </c>
      <c r="AN83" s="6"/>
      <c r="AO83" s="6"/>
      <c r="AP83" s="6"/>
      <c r="AQ83" s="6">
        <v>1353</v>
      </c>
      <c r="AR83" s="6"/>
      <c r="AS83" s="6"/>
      <c r="AT83" s="6">
        <v>1386</v>
      </c>
      <c r="AU83" s="6">
        <f t="shared" si="70"/>
        <v>1</v>
      </c>
      <c r="AV83" s="6">
        <f t="shared" si="71"/>
        <v>0</v>
      </c>
      <c r="AW83" s="6">
        <f t="shared" si="72"/>
        <v>0</v>
      </c>
      <c r="AX83" s="6"/>
      <c r="AY83" s="6">
        <f t="shared" si="73"/>
        <v>167204.7482396985</v>
      </c>
      <c r="AZ83" s="6">
        <f t="shared" si="74"/>
        <v>515500.80864907545</v>
      </c>
      <c r="BA83" s="6">
        <f t="shared" si="75"/>
        <v>53204</v>
      </c>
      <c r="BB83" s="6">
        <f t="shared" si="76"/>
        <v>193280</v>
      </c>
      <c r="BC83" s="6">
        <f t="shared" si="77"/>
        <v>230010</v>
      </c>
      <c r="BD83" s="6">
        <f t="shared" si="78"/>
        <v>201385.80000000002</v>
      </c>
      <c r="BE83" s="6">
        <v>36.41578555</v>
      </c>
      <c r="BF83" s="6">
        <f t="shared" si="79"/>
        <v>1360585.356888774</v>
      </c>
      <c r="BG83" s="6">
        <f t="shared" si="80"/>
        <v>1551726.020511828</v>
      </c>
      <c r="BH83" s="6"/>
      <c r="BK83" s="30" t="str">
        <f t="shared" si="81"/>
        <v>Nyhuse Vandværk a.m.b.a.</v>
      </c>
      <c r="BL83" s="23">
        <f t="shared" si="82"/>
        <v>12.289177403911106</v>
      </c>
      <c r="BM83" s="23">
        <f t="shared" si="83"/>
        <v>37.88816379942981</v>
      </c>
      <c r="BN83" s="23">
        <f t="shared" si="84"/>
        <v>3.910375760743201</v>
      </c>
      <c r="BO83" s="23">
        <f t="shared" si="85"/>
        <v>14.205650459297155</v>
      </c>
      <c r="BP83" s="23">
        <f t="shared" si="86"/>
        <v>16.905223831451465</v>
      </c>
      <c r="BQ83" s="23">
        <f t="shared" si="87"/>
        <v>14.801408745167247</v>
      </c>
      <c r="BR83" s="23"/>
      <c r="BS83" s="23">
        <f t="shared" si="88"/>
        <v>31.706632576618713</v>
      </c>
      <c r="BT83" s="23"/>
      <c r="BU83" s="23">
        <f t="shared" si="89"/>
        <v>-1.1542880989719304</v>
      </c>
      <c r="BV83" s="23">
        <f t="shared" si="90"/>
        <v>-6.092174020672939</v>
      </c>
      <c r="BW83" s="23">
        <f t="shared" si="91"/>
        <v>0.42788964824819953</v>
      </c>
      <c r="BX83" s="23">
        <f t="shared" si="92"/>
        <v>9.599638567671052</v>
      </c>
      <c r="BY83" s="23">
        <f t="shared" si="93"/>
        <v>-1.3187774206237108</v>
      </c>
      <c r="BZ83" s="23">
        <f t="shared" si="94"/>
        <v>-1.462288675650674</v>
      </c>
      <c r="CA83" s="23"/>
      <c r="CB83" s="23">
        <f t="shared" si="95"/>
        <v>-2.7810660962743903</v>
      </c>
      <c r="CC83" s="23">
        <f t="shared" si="96"/>
        <v>0</v>
      </c>
    </row>
    <row r="84" spans="1:81" ht="15" customHeight="1">
      <c r="A84" s="1" t="s">
        <v>87</v>
      </c>
      <c r="B84" s="10">
        <v>3558503</v>
      </c>
      <c r="C84" s="10">
        <f t="shared" si="53"/>
        <v>3576295.5149999997</v>
      </c>
      <c r="D84" s="10">
        <v>2911905.1184986</v>
      </c>
      <c r="E84" s="10">
        <v>1234556.7447921725</v>
      </c>
      <c r="F84" s="23" t="str">
        <f t="shared" si="54"/>
        <v>ingen</v>
      </c>
      <c r="G84" s="10"/>
      <c r="H84" s="10">
        <f t="shared" si="55"/>
        <v>2911905.1184986</v>
      </c>
      <c r="I84" s="10"/>
      <c r="J84" s="10">
        <f t="shared" si="56"/>
        <v>2966127.0085560954</v>
      </c>
      <c r="K84" s="10">
        <f t="shared" si="57"/>
        <v>3091695.191642779</v>
      </c>
      <c r="L84" s="10"/>
      <c r="M84" s="10">
        <f t="shared" si="58"/>
        <v>3839698.5441056755</v>
      </c>
      <c r="N84" s="10">
        <f t="shared" si="59"/>
        <v>3965266.727192359</v>
      </c>
      <c r="P84" s="23">
        <f>'Potentialer og krav'!U84</f>
        <v>119293.8060497881</v>
      </c>
      <c r="Q84" s="10"/>
      <c r="R84" s="23">
        <f t="shared" si="60"/>
        <v>17792.515</v>
      </c>
      <c r="S84" s="23">
        <f t="shared" si="61"/>
        <v>82254.79684499999</v>
      </c>
      <c r="T84" s="23">
        <f t="shared" si="62"/>
        <v>1677348.3737064276</v>
      </c>
      <c r="U84" s="23">
        <f t="shared" si="63"/>
        <v>66973.8177254678</v>
      </c>
      <c r="V84" s="23">
        <f t="shared" si="64"/>
        <v>2978878.9362240676</v>
      </c>
      <c r="W84" s="23">
        <f t="shared" si="65"/>
        <v>3658550.3118449994</v>
      </c>
      <c r="X84" s="23">
        <f t="shared" si="66"/>
        <v>66973.8177254678</v>
      </c>
      <c r="Y84" s="23">
        <f t="shared" si="67"/>
        <v>2978878.9362240676</v>
      </c>
      <c r="Z84" s="23">
        <f t="shared" si="68"/>
        <v>679671.3756209319</v>
      </c>
      <c r="AA84" s="23" t="str">
        <f t="shared" si="69"/>
        <v>ingen</v>
      </c>
      <c r="AB84" s="23"/>
      <c r="AC84" s="35" t="s">
        <v>87</v>
      </c>
      <c r="AD84" s="6">
        <v>95</v>
      </c>
      <c r="AE84" s="6">
        <v>472388</v>
      </c>
      <c r="AF84" s="6">
        <v>463257</v>
      </c>
      <c r="AG84" s="6">
        <v>0</v>
      </c>
      <c r="AH84" s="6">
        <v>3</v>
      </c>
      <c r="AI84" s="6">
        <v>0</v>
      </c>
      <c r="AJ84" s="6">
        <v>0</v>
      </c>
      <c r="AK84" s="6">
        <v>0</v>
      </c>
      <c r="AL84" s="6">
        <v>8</v>
      </c>
      <c r="AM84" s="6">
        <v>71</v>
      </c>
      <c r="AN84" s="6">
        <v>0</v>
      </c>
      <c r="AO84" s="6">
        <v>0</v>
      </c>
      <c r="AP84" s="6">
        <v>22</v>
      </c>
      <c r="AQ84" s="6">
        <v>3615</v>
      </c>
      <c r="AR84" s="6">
        <v>0</v>
      </c>
      <c r="AS84" s="6">
        <v>0</v>
      </c>
      <c r="AT84" s="6">
        <v>4033</v>
      </c>
      <c r="AU84" s="6">
        <f t="shared" si="70"/>
        <v>3</v>
      </c>
      <c r="AV84" s="6">
        <f t="shared" si="71"/>
        <v>0</v>
      </c>
      <c r="AW84" s="6">
        <f t="shared" si="72"/>
        <v>0</v>
      </c>
      <c r="AX84" s="6"/>
      <c r="AY84" s="6">
        <f t="shared" si="73"/>
        <v>277318.29582891316</v>
      </c>
      <c r="AZ84" s="6">
        <f t="shared" si="74"/>
        <v>847751.8127271822</v>
      </c>
      <c r="BA84" s="6">
        <f t="shared" si="75"/>
        <v>159612</v>
      </c>
      <c r="BB84" s="6">
        <f t="shared" si="76"/>
        <v>477160</v>
      </c>
      <c r="BC84" s="6">
        <f t="shared" si="77"/>
        <v>618290</v>
      </c>
      <c r="BD84" s="6">
        <f t="shared" si="78"/>
        <v>585994.9</v>
      </c>
      <c r="BE84" s="6">
        <v>30.96300304</v>
      </c>
      <c r="BF84" s="6">
        <f t="shared" si="79"/>
        <v>2966127.0085560954</v>
      </c>
      <c r="BG84" s="6">
        <f t="shared" si="80"/>
        <v>3091695.191642779</v>
      </c>
      <c r="BH84" s="6"/>
      <c r="BK84" s="30" t="str">
        <f t="shared" si="81"/>
        <v>Næsby Vandværk</v>
      </c>
      <c r="BL84" s="23">
        <f t="shared" si="82"/>
        <v>9.349508467741277</v>
      </c>
      <c r="BM84" s="23">
        <f t="shared" si="83"/>
        <v>28.58110290900409</v>
      </c>
      <c r="BN84" s="23">
        <f t="shared" si="84"/>
        <v>5.381158646935311</v>
      </c>
      <c r="BO84" s="23">
        <f t="shared" si="85"/>
        <v>16.086971280177263</v>
      </c>
      <c r="BP84" s="23">
        <f t="shared" si="86"/>
        <v>20.84502781628971</v>
      </c>
      <c r="BQ84" s="23">
        <f t="shared" si="87"/>
        <v>19.75623087985235</v>
      </c>
      <c r="BR84" s="23"/>
      <c r="BS84" s="23">
        <f t="shared" si="88"/>
        <v>40.60125869614206</v>
      </c>
      <c r="BT84" s="23"/>
      <c r="BU84" s="23">
        <f t="shared" si="89"/>
        <v>1.7853808371978985</v>
      </c>
      <c r="BV84" s="23">
        <f t="shared" si="90"/>
        <v>3.2148868697527817</v>
      </c>
      <c r="BW84" s="23">
        <f t="shared" si="91"/>
        <v>-1.0428932379439102</v>
      </c>
      <c r="BX84" s="23">
        <f t="shared" si="92"/>
        <v>7.7183177467909445</v>
      </c>
      <c r="BY84" s="23">
        <f t="shared" si="93"/>
        <v>-5.258581405461957</v>
      </c>
      <c r="BZ84" s="23">
        <f t="shared" si="94"/>
        <v>-6.417110810335776</v>
      </c>
      <c r="CA84" s="23"/>
      <c r="CB84" s="23">
        <f t="shared" si="95"/>
        <v>-11.675692215797739</v>
      </c>
      <c r="CC84" s="23">
        <f t="shared" si="96"/>
        <v>-0.8282628024466624</v>
      </c>
    </row>
    <row r="85" spans="1:81" ht="15" customHeight="1">
      <c r="A85" s="1" t="s">
        <v>88</v>
      </c>
      <c r="B85" s="10">
        <v>5320119</v>
      </c>
      <c r="C85" s="10">
        <f aca="true" t="shared" si="97" ref="C85:C121">B85*1.005</f>
        <v>5346719.595</v>
      </c>
      <c r="D85" s="10">
        <v>4841498.4505286</v>
      </c>
      <c r="E85" s="10">
        <v>1664476.6734466278</v>
      </c>
      <c r="F85" s="23" t="str">
        <f aca="true" t="shared" si="98" ref="F85:F121">IF(D85&gt;C85,D85-C85,"ingen")</f>
        <v>ingen</v>
      </c>
      <c r="G85" s="10"/>
      <c r="H85" s="10">
        <f aca="true" t="shared" si="99" ref="H85:H121">IF(F85="ingen",D85,IF(E85&lt;F85,D85-E85,C85))</f>
        <v>4841498.4505286</v>
      </c>
      <c r="I85" s="10"/>
      <c r="J85" s="10">
        <f aca="true" t="shared" si="100" ref="J85:J121">BF85</f>
        <v>5331540.305124323</v>
      </c>
      <c r="K85" s="10">
        <f aca="true" t="shared" si="101" ref="K85:K121">BG85</f>
        <v>5460632.12492311</v>
      </c>
      <c r="L85" s="10"/>
      <c r="M85" s="10">
        <f aca="true" t="shared" si="102" ref="M85:M121">J85+(0.3*H85)</f>
        <v>6783989.840282903</v>
      </c>
      <c r="N85" s="10">
        <f aca="true" t="shared" si="103" ref="N85:N121">K85+(0.3*H85)</f>
        <v>6913081.66008169</v>
      </c>
      <c r="P85" s="23">
        <f>'Potentialer og krav'!U85</f>
        <v>200602.33351010905</v>
      </c>
      <c r="Q85" s="10"/>
      <c r="R85" s="23">
        <f aca="true" t="shared" si="104" ref="R85:R121">B85*0.005</f>
        <v>26600.595</v>
      </c>
      <c r="S85" s="23">
        <f aca="true" t="shared" si="105" ref="S85:S121">C85*0.023</f>
        <v>122974.550685</v>
      </c>
      <c r="T85" s="23">
        <f aca="true" t="shared" si="106" ref="T85:T121">D85-E85</f>
        <v>3177021.7770819725</v>
      </c>
      <c r="U85" s="23">
        <f aca="true" t="shared" si="107" ref="U85:U121">H85*0.023</f>
        <v>111354.4643621578</v>
      </c>
      <c r="V85" s="23">
        <f aca="true" t="shared" si="108" ref="V85:V121">H85*1.023</f>
        <v>4952852.914890758</v>
      </c>
      <c r="W85" s="23">
        <f aca="true" t="shared" si="109" ref="W85:W121">C85*1.023</f>
        <v>5469694.145684999</v>
      </c>
      <c r="X85" s="23">
        <f aca="true" t="shared" si="110" ref="X85:X121">D85*0.023</f>
        <v>111354.4643621578</v>
      </c>
      <c r="Y85" s="23">
        <f aca="true" t="shared" si="111" ref="Y85:Y121">D85*1.023</f>
        <v>4952852.914890758</v>
      </c>
      <c r="Z85" s="23">
        <f aca="true" t="shared" si="112" ref="Z85:Z121">W85-Y85</f>
        <v>516841.23079424165</v>
      </c>
      <c r="AA85" s="23" t="str">
        <f aca="true" t="shared" si="113" ref="AA85:AA121">IF(F85="ingen","ingen",IF(H85&lt;=T85,V85-Y85,"tal til venstre"))</f>
        <v>ingen</v>
      </c>
      <c r="AB85" s="23"/>
      <c r="AC85" s="35" t="s">
        <v>88</v>
      </c>
      <c r="AD85" s="6">
        <v>233</v>
      </c>
      <c r="AE85" s="6">
        <v>892800</v>
      </c>
      <c r="AF85" s="6">
        <v>882868</v>
      </c>
      <c r="AG85" s="6">
        <v>4</v>
      </c>
      <c r="AH85" s="6">
        <v>0</v>
      </c>
      <c r="AI85" s="6">
        <v>0</v>
      </c>
      <c r="AJ85" s="6">
        <v>0</v>
      </c>
      <c r="AK85" s="6">
        <v>0</v>
      </c>
      <c r="AL85" s="6">
        <v>126</v>
      </c>
      <c r="AM85" s="6">
        <v>92</v>
      </c>
      <c r="AN85" s="6"/>
      <c r="AO85" s="6"/>
      <c r="AP85" s="6">
        <v>2914</v>
      </c>
      <c r="AQ85" s="6">
        <v>2111</v>
      </c>
      <c r="AR85" s="6"/>
      <c r="AS85" s="6"/>
      <c r="AT85" s="6">
        <v>5025</v>
      </c>
      <c r="AU85" s="6">
        <f aca="true" t="shared" si="114" ref="AU85:AU121">SUM(AG85:AH85)</f>
        <v>4</v>
      </c>
      <c r="AV85" s="6">
        <f aca="true" t="shared" si="115" ref="AV85:AV121">SUM(AI85:AJ85)</f>
        <v>0</v>
      </c>
      <c r="AW85" s="6">
        <f aca="true" t="shared" si="116" ref="AW85:AW121">AK85</f>
        <v>0</v>
      </c>
      <c r="AX85" s="6"/>
      <c r="AY85" s="6">
        <f aca="true" t="shared" si="117" ref="AY85:AY121">1.428*AD85^(0.195)*AE85^(0.864)</f>
        <v>572551.0624977972</v>
      </c>
      <c r="AZ85" s="6">
        <f aca="true" t="shared" si="118" ref="AZ85:AZ121">1.27*AF85^(1.028)</f>
        <v>1645070.742626526</v>
      </c>
      <c r="BA85" s="6">
        <f aca="true" t="shared" si="119" ref="BA85:BA121">53204*AU85+125224*AV85+411776*AW85</f>
        <v>212816</v>
      </c>
      <c r="BB85" s="6">
        <f aca="true" t="shared" si="120" ref="BB85:BB121">6.04*(AL85+AM85)*1000+52.38*(AN85+AO85)*1000</f>
        <v>1316720</v>
      </c>
      <c r="BC85" s="6">
        <f aca="true" t="shared" si="121" ref="BC85:BC121">170*(AP85+AQ85)+530*AR85+1398*AS85</f>
        <v>854250</v>
      </c>
      <c r="BD85" s="6">
        <f aca="true" t="shared" si="122" ref="BD85:BD121">145.3*AT85</f>
        <v>730132.5</v>
      </c>
      <c r="BE85" s="6">
        <v>29.9562698</v>
      </c>
      <c r="BF85" s="6">
        <f aca="true" t="shared" si="123" ref="BF85:BF121">SUM(AY85:BD85)+AX85+BH85</f>
        <v>5331540.305124323</v>
      </c>
      <c r="BG85" s="6">
        <f aca="true" t="shared" si="124" ref="BG85:BG121">(0.485+0.018*BE85)*BF85</f>
        <v>5460632.12492311</v>
      </c>
      <c r="BH85" s="6"/>
      <c r="BK85" s="30" t="str">
        <f aca="true" t="shared" si="125" ref="BK85:BK121">AC85</f>
        <v>Odder Vandværk A.m.b.a.</v>
      </c>
      <c r="BL85" s="23">
        <f aca="true" t="shared" si="126" ref="BL85:BL121">(AY85/SUM($AY85:$BD85))*100</f>
        <v>10.73894277695883</v>
      </c>
      <c r="BM85" s="23">
        <f aca="true" t="shared" si="127" ref="BM85:BM121">(AZ85/SUM($AY85:$BD85))*100</f>
        <v>30.855449803978658</v>
      </c>
      <c r="BN85" s="23">
        <f aca="true" t="shared" si="128" ref="BN85:BN121">(BA85/SUM($AY85:$BD85))*100</f>
        <v>3.9916419612443965</v>
      </c>
      <c r="BO85" s="23">
        <f aca="true" t="shared" si="129" ref="BO85:BO121">(BB85/SUM($AY85:$BD85))*100</f>
        <v>24.69680288704666</v>
      </c>
      <c r="BP85" s="23">
        <f aca="true" t="shared" si="130" ref="BP85:BP121">(BC85/SUM($AY85:$BD85))*100</f>
        <v>16.022574173901518</v>
      </c>
      <c r="BQ85" s="23">
        <f aca="true" t="shared" si="131" ref="BQ85:BQ121">(BD85/SUM($AY85:$BD85))*100</f>
        <v>13.694588396869944</v>
      </c>
      <c r="BR85" s="23"/>
      <c r="BS85" s="23">
        <f aca="true" t="shared" si="132" ref="BS85:BS121">BP85+BQ85</f>
        <v>29.717162570771464</v>
      </c>
      <c r="BT85" s="23"/>
      <c r="BU85" s="23">
        <f t="shared" si="89"/>
        <v>0.395946527980346</v>
      </c>
      <c r="BV85" s="23">
        <f t="shared" si="90"/>
        <v>0.9405399747782148</v>
      </c>
      <c r="BW85" s="23">
        <f t="shared" si="91"/>
        <v>0.34662344774700404</v>
      </c>
      <c r="BX85" s="23">
        <f t="shared" si="92"/>
        <v>-0.8915138600784509</v>
      </c>
      <c r="BY85" s="23">
        <f t="shared" si="93"/>
        <v>-0.4361277630737632</v>
      </c>
      <c r="BZ85" s="23">
        <f t="shared" si="94"/>
        <v>-0.3554683273533712</v>
      </c>
      <c r="CA85" s="23"/>
      <c r="CB85" s="23">
        <f t="shared" si="95"/>
        <v>-0.7915960904271415</v>
      </c>
      <c r="CC85" s="23">
        <f t="shared" si="96"/>
        <v>0</v>
      </c>
    </row>
    <row r="86" spans="1:81" ht="15" customHeight="1">
      <c r="A86" s="1" t="s">
        <v>89</v>
      </c>
      <c r="B86" s="10">
        <v>2091498</v>
      </c>
      <c r="C86" s="10">
        <f t="shared" si="97"/>
        <v>2101955.4899999998</v>
      </c>
      <c r="D86" s="10">
        <v>1959670.0609098668</v>
      </c>
      <c r="E86" s="10">
        <v>833915.879508813</v>
      </c>
      <c r="F86" s="23" t="str">
        <f t="shared" si="98"/>
        <v>ingen</v>
      </c>
      <c r="G86" s="10"/>
      <c r="H86" s="10">
        <f t="shared" si="99"/>
        <v>1959670.0609098668</v>
      </c>
      <c r="I86" s="10"/>
      <c r="J86" s="10">
        <f t="shared" si="100"/>
        <v>1899763.5091255498</v>
      </c>
      <c r="K86" s="10">
        <f t="shared" si="101"/>
        <v>1858242.6903087595</v>
      </c>
      <c r="L86" s="10"/>
      <c r="M86" s="10">
        <f t="shared" si="102"/>
        <v>2487664.52739851</v>
      </c>
      <c r="N86" s="10">
        <f t="shared" si="103"/>
        <v>2446143.7085817195</v>
      </c>
      <c r="P86" s="23">
        <f>'Potentialer og krav'!U86</f>
        <v>97983.50304549334</v>
      </c>
      <c r="Q86" s="10"/>
      <c r="R86" s="23">
        <f t="shared" si="104"/>
        <v>10457.49</v>
      </c>
      <c r="S86" s="23">
        <f t="shared" si="105"/>
        <v>48344.97626999999</v>
      </c>
      <c r="T86" s="23">
        <f t="shared" si="106"/>
        <v>1125754.181401054</v>
      </c>
      <c r="U86" s="23">
        <f t="shared" si="107"/>
        <v>45072.41140092694</v>
      </c>
      <c r="V86" s="23">
        <f t="shared" si="108"/>
        <v>2004742.4723107936</v>
      </c>
      <c r="W86" s="23">
        <f t="shared" si="109"/>
        <v>2150300.4662699997</v>
      </c>
      <c r="X86" s="23">
        <f t="shared" si="110"/>
        <v>45072.41140092694</v>
      </c>
      <c r="Y86" s="23">
        <f t="shared" si="111"/>
        <v>2004742.4723107936</v>
      </c>
      <c r="Z86" s="23">
        <f t="shared" si="112"/>
        <v>145557.99395920616</v>
      </c>
      <c r="AA86" s="23" t="str">
        <f t="shared" si="113"/>
        <v>ingen</v>
      </c>
      <c r="AB86" s="23"/>
      <c r="AC86" s="35" t="s">
        <v>89</v>
      </c>
      <c r="AD86" s="6">
        <v>84</v>
      </c>
      <c r="AE86" s="6">
        <v>332000</v>
      </c>
      <c r="AF86" s="6">
        <v>322648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15</v>
      </c>
      <c r="AM86" s="6">
        <v>55</v>
      </c>
      <c r="AN86" s="6">
        <v>0</v>
      </c>
      <c r="AO86" s="6">
        <v>0</v>
      </c>
      <c r="AP86" s="6">
        <v>110</v>
      </c>
      <c r="AQ86" s="6">
        <v>2104</v>
      </c>
      <c r="AR86" s="6">
        <v>0</v>
      </c>
      <c r="AS86" s="6">
        <v>0</v>
      </c>
      <c r="AT86" s="6">
        <v>2178</v>
      </c>
      <c r="AU86" s="6">
        <f t="shared" si="114"/>
        <v>0</v>
      </c>
      <c r="AV86" s="6">
        <f t="shared" si="115"/>
        <v>0</v>
      </c>
      <c r="AW86" s="6">
        <f t="shared" si="116"/>
        <v>0</v>
      </c>
      <c r="AX86" s="6"/>
      <c r="AY86" s="6">
        <f t="shared" si="117"/>
        <v>199630.07620069225</v>
      </c>
      <c r="AZ86" s="6">
        <f t="shared" si="118"/>
        <v>584490.0329248577</v>
      </c>
      <c r="BA86" s="6">
        <f t="shared" si="119"/>
        <v>0</v>
      </c>
      <c r="BB86" s="6">
        <f t="shared" si="120"/>
        <v>422800</v>
      </c>
      <c r="BC86" s="6">
        <f t="shared" si="121"/>
        <v>376380</v>
      </c>
      <c r="BD86" s="6">
        <f t="shared" si="122"/>
        <v>316463.4</v>
      </c>
      <c r="BE86" s="6">
        <v>27.39690095</v>
      </c>
      <c r="BF86" s="6">
        <f t="shared" si="123"/>
        <v>1899763.5091255498</v>
      </c>
      <c r="BG86" s="6">
        <f t="shared" si="124"/>
        <v>1858242.6903087595</v>
      </c>
      <c r="BH86" s="6"/>
      <c r="BK86" s="30" t="str">
        <f t="shared" si="125"/>
        <v>Otterup Vandværk</v>
      </c>
      <c r="BL86" s="23">
        <f t="shared" si="126"/>
        <v>10.508154054005429</v>
      </c>
      <c r="BM86" s="23">
        <f t="shared" si="127"/>
        <v>30.766462779037962</v>
      </c>
      <c r="BN86" s="23">
        <f t="shared" si="128"/>
        <v>0</v>
      </c>
      <c r="BO86" s="23">
        <f t="shared" si="129"/>
        <v>22.255401683897613</v>
      </c>
      <c r="BP86" s="23">
        <f t="shared" si="130"/>
        <v>19.811939654175458</v>
      </c>
      <c r="BQ86" s="23">
        <f t="shared" si="131"/>
        <v>16.658041828883547</v>
      </c>
      <c r="BR86" s="23"/>
      <c r="BS86" s="23">
        <f t="shared" si="132"/>
        <v>36.469981483059</v>
      </c>
      <c r="BT86" s="23"/>
      <c r="BU86" s="23">
        <f t="shared" si="89"/>
        <v>0.6267352509337467</v>
      </c>
      <c r="BV86" s="23">
        <f t="shared" si="90"/>
        <v>1.029526999718911</v>
      </c>
      <c r="BW86" s="23">
        <f t="shared" si="91"/>
        <v>4.338265408991401</v>
      </c>
      <c r="BX86" s="23">
        <f t="shared" si="92"/>
        <v>1.5498873430705942</v>
      </c>
      <c r="BY86" s="23">
        <f t="shared" si="93"/>
        <v>-4.225493243347703</v>
      </c>
      <c r="BZ86" s="23">
        <f t="shared" si="94"/>
        <v>-3.318921759366974</v>
      </c>
      <c r="CA86" s="23"/>
      <c r="CB86" s="23">
        <f t="shared" si="95"/>
        <v>-7.544415002714679</v>
      </c>
      <c r="CC86" s="23">
        <f t="shared" si="96"/>
        <v>0</v>
      </c>
    </row>
    <row r="87" spans="1:81" ht="15" customHeight="1">
      <c r="A87" s="1" t="s">
        <v>90</v>
      </c>
      <c r="B87" s="10">
        <v>2597576</v>
      </c>
      <c r="C87" s="10">
        <f t="shared" si="97"/>
        <v>2610563.88</v>
      </c>
      <c r="D87" s="10">
        <v>1424960.8120244</v>
      </c>
      <c r="E87" s="10">
        <v>0</v>
      </c>
      <c r="F87" s="23" t="str">
        <f t="shared" si="98"/>
        <v>ingen</v>
      </c>
      <c r="G87" s="10"/>
      <c r="H87" s="10">
        <f t="shared" si="99"/>
        <v>1424960.8120244</v>
      </c>
      <c r="I87" s="10"/>
      <c r="J87" s="10">
        <f t="shared" si="100"/>
        <v>2511295.488193127</v>
      </c>
      <c r="K87" s="10">
        <f t="shared" si="101"/>
        <v>2730121.3865784635</v>
      </c>
      <c r="L87" s="10"/>
      <c r="M87" s="10">
        <f t="shared" si="102"/>
        <v>2938783.7318004468</v>
      </c>
      <c r="N87" s="10">
        <f t="shared" si="103"/>
        <v>3157609.6301857834</v>
      </c>
      <c r="P87" s="23">
        <f>'Potentialer og krav'!U87</f>
        <v>0</v>
      </c>
      <c r="Q87" s="10"/>
      <c r="R87" s="23">
        <f t="shared" si="104"/>
        <v>12987.880000000001</v>
      </c>
      <c r="S87" s="23">
        <f t="shared" si="105"/>
        <v>60042.96924</v>
      </c>
      <c r="T87" s="23">
        <f t="shared" si="106"/>
        <v>1424960.8120244</v>
      </c>
      <c r="U87" s="23">
        <f t="shared" si="107"/>
        <v>32774.0986765612</v>
      </c>
      <c r="V87" s="23">
        <f t="shared" si="108"/>
        <v>1457734.9107009612</v>
      </c>
      <c r="W87" s="23">
        <f t="shared" si="109"/>
        <v>2670606.8492399994</v>
      </c>
      <c r="X87" s="23">
        <f t="shared" si="110"/>
        <v>32774.0986765612</v>
      </c>
      <c r="Y87" s="23">
        <f t="shared" si="111"/>
        <v>1457734.9107009612</v>
      </c>
      <c r="Z87" s="23">
        <f t="shared" si="112"/>
        <v>1212871.9385390382</v>
      </c>
      <c r="AA87" s="23" t="str">
        <f t="shared" si="113"/>
        <v>ingen</v>
      </c>
      <c r="AB87" s="23"/>
      <c r="AC87" s="35" t="s">
        <v>90</v>
      </c>
      <c r="AD87" s="6">
        <v>60</v>
      </c>
      <c r="AE87" s="6">
        <v>368000</v>
      </c>
      <c r="AF87" s="6">
        <v>323523</v>
      </c>
      <c r="AG87" s="6"/>
      <c r="AH87" s="6"/>
      <c r="AI87" s="6"/>
      <c r="AJ87" s="6"/>
      <c r="AK87" s="6"/>
      <c r="AL87" s="6">
        <v>120</v>
      </c>
      <c r="AM87" s="6"/>
      <c r="AN87" s="6"/>
      <c r="AO87" s="6"/>
      <c r="AP87" s="6">
        <v>3159</v>
      </c>
      <c r="AQ87" s="6"/>
      <c r="AR87" s="6"/>
      <c r="AS87" s="6"/>
      <c r="AT87" s="6">
        <v>3159</v>
      </c>
      <c r="AU87" s="6">
        <f t="shared" si="114"/>
        <v>0</v>
      </c>
      <c r="AV87" s="6">
        <f t="shared" si="115"/>
        <v>0</v>
      </c>
      <c r="AW87" s="6">
        <f t="shared" si="116"/>
        <v>0</v>
      </c>
      <c r="AX87" s="6"/>
      <c r="AY87" s="6">
        <f t="shared" si="117"/>
        <v>204343.2124592569</v>
      </c>
      <c r="AZ87" s="6">
        <f t="shared" si="118"/>
        <v>586119.5757338699</v>
      </c>
      <c r="BA87" s="6">
        <f t="shared" si="119"/>
        <v>0</v>
      </c>
      <c r="BB87" s="6">
        <f t="shared" si="120"/>
        <v>724800</v>
      </c>
      <c r="BC87" s="6">
        <f t="shared" si="121"/>
        <v>537030</v>
      </c>
      <c r="BD87" s="6">
        <f t="shared" si="122"/>
        <v>459002.7</v>
      </c>
      <c r="BE87" s="6">
        <v>33.45203660629761</v>
      </c>
      <c r="BF87" s="6">
        <f t="shared" si="123"/>
        <v>2511295.488193127</v>
      </c>
      <c r="BG87" s="6">
        <f t="shared" si="124"/>
        <v>2730121.3865784635</v>
      </c>
      <c r="BH87" s="6"/>
      <c r="BK87" s="30" t="str">
        <f t="shared" si="125"/>
        <v>Oxby Og Ho Vandværk a.m.b.a.</v>
      </c>
      <c r="BL87" s="23">
        <f t="shared" si="126"/>
        <v>8.136964105577297</v>
      </c>
      <c r="BM87" s="23">
        <f t="shared" si="127"/>
        <v>23.339331372573046</v>
      </c>
      <c r="BN87" s="23">
        <f t="shared" si="128"/>
        <v>0</v>
      </c>
      <c r="BO87" s="23">
        <f t="shared" si="129"/>
        <v>28.861597665732774</v>
      </c>
      <c r="BP87" s="23">
        <f t="shared" si="130"/>
        <v>21.38458029032626</v>
      </c>
      <c r="BQ87" s="23">
        <f t="shared" si="131"/>
        <v>18.27752656579062</v>
      </c>
      <c r="BR87" s="23"/>
      <c r="BS87" s="23">
        <f t="shared" si="132"/>
        <v>39.66210685611688</v>
      </c>
      <c r="BT87" s="23"/>
      <c r="BU87" s="23">
        <f t="shared" si="89"/>
        <v>2.9979251993618785</v>
      </c>
      <c r="BV87" s="23">
        <f t="shared" si="90"/>
        <v>8.456658406183827</v>
      </c>
      <c r="BW87" s="23">
        <f t="shared" si="91"/>
        <v>4.338265408991401</v>
      </c>
      <c r="BX87" s="23">
        <f t="shared" si="92"/>
        <v>-5.056308638764566</v>
      </c>
      <c r="BY87" s="23">
        <f t="shared" si="93"/>
        <v>-5.798133879498504</v>
      </c>
      <c r="BZ87" s="23">
        <f t="shared" si="94"/>
        <v>-4.938406496274046</v>
      </c>
      <c r="CA87" s="23"/>
      <c r="CB87" s="23">
        <f t="shared" si="95"/>
        <v>-10.736540375772556</v>
      </c>
      <c r="CC87" s="23">
        <f t="shared" si="96"/>
        <v>-0.39437465235502805</v>
      </c>
    </row>
    <row r="88" spans="1:81" ht="15" customHeight="1">
      <c r="A88" s="1" t="s">
        <v>91</v>
      </c>
      <c r="B88" s="10">
        <v>2373588</v>
      </c>
      <c r="C88" s="10">
        <f t="shared" si="97"/>
        <v>2385455.94</v>
      </c>
      <c r="D88" s="10">
        <v>2376426</v>
      </c>
      <c r="E88" s="10">
        <v>8147.092999612113</v>
      </c>
      <c r="F88" s="23" t="str">
        <f t="shared" si="98"/>
        <v>ingen</v>
      </c>
      <c r="G88" s="10"/>
      <c r="H88" s="10">
        <f t="shared" si="99"/>
        <v>2376426</v>
      </c>
      <c r="I88" s="10"/>
      <c r="J88" s="10">
        <f t="shared" si="100"/>
        <v>3996584.149447928</v>
      </c>
      <c r="K88" s="10">
        <f t="shared" si="101"/>
        <v>3569161.7621624395</v>
      </c>
      <c r="L88" s="10"/>
      <c r="M88" s="10">
        <f t="shared" si="102"/>
        <v>4709511.949447928</v>
      </c>
      <c r="N88" s="10">
        <f t="shared" si="103"/>
        <v>4282089.562162439</v>
      </c>
      <c r="P88" s="23">
        <f>'Potentialer og krav'!U88</f>
        <v>0</v>
      </c>
      <c r="Q88" s="10"/>
      <c r="R88" s="23">
        <f t="shared" si="104"/>
        <v>11867.94</v>
      </c>
      <c r="S88" s="23">
        <f t="shared" si="105"/>
        <v>54865.486619999996</v>
      </c>
      <c r="T88" s="23">
        <f t="shared" si="106"/>
        <v>2368278.907000388</v>
      </c>
      <c r="U88" s="23">
        <f t="shared" si="107"/>
        <v>54657.798</v>
      </c>
      <c r="V88" s="23">
        <f t="shared" si="108"/>
        <v>2431083.798</v>
      </c>
      <c r="W88" s="23">
        <f t="shared" si="109"/>
        <v>2440321.4266199996</v>
      </c>
      <c r="X88" s="23">
        <f t="shared" si="110"/>
        <v>54657.798</v>
      </c>
      <c r="Y88" s="23">
        <f t="shared" si="111"/>
        <v>2431083.798</v>
      </c>
      <c r="Z88" s="23">
        <f t="shared" si="112"/>
        <v>9237.628619999625</v>
      </c>
      <c r="AA88" s="23" t="str">
        <f t="shared" si="113"/>
        <v>ingen</v>
      </c>
      <c r="AB88" s="23"/>
      <c r="AC88" s="35" t="s">
        <v>91</v>
      </c>
      <c r="AD88" s="6">
        <v>210</v>
      </c>
      <c r="AE88" s="6">
        <v>795912</v>
      </c>
      <c r="AF88" s="6">
        <v>787445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150</v>
      </c>
      <c r="AM88" s="6">
        <v>45</v>
      </c>
      <c r="AN88" s="6">
        <v>0</v>
      </c>
      <c r="AO88" s="6">
        <v>0</v>
      </c>
      <c r="AP88" s="6">
        <v>607</v>
      </c>
      <c r="AQ88" s="6">
        <v>2083</v>
      </c>
      <c r="AR88" s="6">
        <v>0</v>
      </c>
      <c r="AS88" s="6">
        <v>0</v>
      </c>
      <c r="AT88" s="6">
        <v>2690</v>
      </c>
      <c r="AU88" s="6">
        <f t="shared" si="114"/>
        <v>0</v>
      </c>
      <c r="AV88" s="6">
        <f t="shared" si="115"/>
        <v>0</v>
      </c>
      <c r="AW88" s="6">
        <f t="shared" si="116"/>
        <v>0</v>
      </c>
      <c r="AX88" s="6"/>
      <c r="AY88" s="6">
        <f t="shared" si="117"/>
        <v>508052.24570545094</v>
      </c>
      <c r="AZ88" s="6">
        <f t="shared" si="118"/>
        <v>1462574.9037424773</v>
      </c>
      <c r="BA88" s="6">
        <f t="shared" si="119"/>
        <v>0</v>
      </c>
      <c r="BB88" s="6">
        <f t="shared" si="120"/>
        <v>1177800</v>
      </c>
      <c r="BC88" s="6">
        <f t="shared" si="121"/>
        <v>457300</v>
      </c>
      <c r="BD88" s="6">
        <f t="shared" si="122"/>
        <v>390857.00000000006</v>
      </c>
      <c r="BE88" s="6">
        <v>22.66961525</v>
      </c>
      <c r="BF88" s="6">
        <f t="shared" si="123"/>
        <v>3996584.149447928</v>
      </c>
      <c r="BG88" s="6">
        <f t="shared" si="124"/>
        <v>3569161.7621624395</v>
      </c>
      <c r="BH88" s="6"/>
      <c r="BK88" s="30" t="str">
        <f t="shared" si="125"/>
        <v>Padborg Vandværk A.m.b.a</v>
      </c>
      <c r="BL88" s="23">
        <f t="shared" si="126"/>
        <v>12.712161853907947</v>
      </c>
      <c r="BM88" s="23">
        <f t="shared" si="127"/>
        <v>36.59562388907816</v>
      </c>
      <c r="BN88" s="23">
        <f t="shared" si="128"/>
        <v>0</v>
      </c>
      <c r="BO88" s="23">
        <f t="shared" si="129"/>
        <v>29.47016642105976</v>
      </c>
      <c r="BP88" s="23">
        <f t="shared" si="130"/>
        <v>11.442271272160491</v>
      </c>
      <c r="BQ88" s="23">
        <f t="shared" si="131"/>
        <v>9.779776563793645</v>
      </c>
      <c r="BR88" s="23"/>
      <c r="BS88" s="23">
        <f t="shared" si="132"/>
        <v>21.222047835954136</v>
      </c>
      <c r="BT88" s="23"/>
      <c r="BU88" s="23">
        <f t="shared" si="89"/>
        <v>-1.5772725489687716</v>
      </c>
      <c r="BV88" s="23">
        <f t="shared" si="90"/>
        <v>-4.799634110321289</v>
      </c>
      <c r="BW88" s="23">
        <f t="shared" si="91"/>
        <v>4.338265408991401</v>
      </c>
      <c r="BX88" s="23">
        <f t="shared" si="92"/>
        <v>-5.664877394091551</v>
      </c>
      <c r="BY88" s="23">
        <f t="shared" si="93"/>
        <v>4.144175138667263</v>
      </c>
      <c r="BZ88" s="23">
        <f t="shared" si="94"/>
        <v>3.5593435057229286</v>
      </c>
      <c r="CA88" s="23"/>
      <c r="CB88" s="23">
        <f t="shared" si="95"/>
        <v>7.703518644390186</v>
      </c>
      <c r="CC88" s="23">
        <f t="shared" si="96"/>
        <v>0</v>
      </c>
    </row>
    <row r="89" spans="1:81" ht="15" customHeight="1">
      <c r="A89" s="1" t="s">
        <v>6</v>
      </c>
      <c r="B89" s="10">
        <v>1792494</v>
      </c>
      <c r="C89" s="10">
        <f t="shared" si="97"/>
        <v>1801456.4699999997</v>
      </c>
      <c r="D89" s="10">
        <v>1997302.7439568</v>
      </c>
      <c r="E89" s="10">
        <v>856764.2973520025</v>
      </c>
      <c r="F89" s="23">
        <f t="shared" si="98"/>
        <v>195846.27395680035</v>
      </c>
      <c r="G89" s="10"/>
      <c r="H89" s="10">
        <f t="shared" si="99"/>
        <v>1801456.4699999997</v>
      </c>
      <c r="I89" s="10"/>
      <c r="J89" s="10">
        <f t="shared" si="100"/>
        <v>1917692.6467339336</v>
      </c>
      <c r="K89" s="10">
        <f t="shared" si="101"/>
        <v>1941617.075250769</v>
      </c>
      <c r="L89" s="10"/>
      <c r="M89" s="10">
        <f t="shared" si="102"/>
        <v>2458129.5877339337</v>
      </c>
      <c r="N89" s="10">
        <f t="shared" si="103"/>
        <v>2482054.0162507687</v>
      </c>
      <c r="P89" s="23">
        <f>'Potentialer og krav'!U89</f>
        <v>85038.48215286844</v>
      </c>
      <c r="Q89" s="10"/>
      <c r="R89" s="23">
        <f t="shared" si="104"/>
        <v>8962.47</v>
      </c>
      <c r="S89" s="23">
        <f t="shared" si="105"/>
        <v>41433.49880999999</v>
      </c>
      <c r="T89" s="23">
        <f t="shared" si="106"/>
        <v>1140538.4466047976</v>
      </c>
      <c r="U89" s="23">
        <f t="shared" si="107"/>
        <v>41433.49880999999</v>
      </c>
      <c r="V89" s="23">
        <f t="shared" si="108"/>
        <v>1842889.9688099995</v>
      </c>
      <c r="W89" s="23">
        <f t="shared" si="109"/>
        <v>1842889.9688099995</v>
      </c>
      <c r="X89" s="23">
        <f t="shared" si="110"/>
        <v>45937.9631110064</v>
      </c>
      <c r="Y89" s="23">
        <f t="shared" si="111"/>
        <v>2043240.7070678063</v>
      </c>
      <c r="Z89" s="23">
        <f t="shared" si="112"/>
        <v>-200350.73825780675</v>
      </c>
      <c r="AA89" s="23" t="str">
        <f t="shared" si="113"/>
        <v>tal til venstre</v>
      </c>
      <c r="AB89" s="23"/>
      <c r="AC89" s="35" t="s">
        <v>6</v>
      </c>
      <c r="AD89" s="6">
        <v>463</v>
      </c>
      <c r="AE89" s="6">
        <v>237198</v>
      </c>
      <c r="AF89" s="6">
        <v>234734</v>
      </c>
      <c r="AG89" s="6">
        <v>1</v>
      </c>
      <c r="AH89" s="6">
        <v>0</v>
      </c>
      <c r="AI89" s="6">
        <v>0</v>
      </c>
      <c r="AJ89" s="6">
        <v>0</v>
      </c>
      <c r="AK89" s="6">
        <v>0</v>
      </c>
      <c r="AL89" s="6">
        <v>84</v>
      </c>
      <c r="AM89" s="6">
        <v>28</v>
      </c>
      <c r="AN89" s="6"/>
      <c r="AO89" s="6"/>
      <c r="AP89" s="6">
        <v>694</v>
      </c>
      <c r="AQ89" s="6">
        <v>949</v>
      </c>
      <c r="AR89" s="6"/>
      <c r="AS89" s="6"/>
      <c r="AT89" s="6">
        <v>1920</v>
      </c>
      <c r="AU89" s="6">
        <f t="shared" si="114"/>
        <v>1</v>
      </c>
      <c r="AV89" s="6">
        <f t="shared" si="115"/>
        <v>0</v>
      </c>
      <c r="AW89" s="6">
        <f t="shared" si="116"/>
        <v>0</v>
      </c>
      <c r="AX89" s="6"/>
      <c r="AY89" s="6">
        <f t="shared" si="117"/>
        <v>208263.1459562885</v>
      </c>
      <c r="AZ89" s="6">
        <f t="shared" si="118"/>
        <v>421459.5007776451</v>
      </c>
      <c r="BA89" s="6">
        <f t="shared" si="119"/>
        <v>53204</v>
      </c>
      <c r="BB89" s="6">
        <f t="shared" si="120"/>
        <v>676480</v>
      </c>
      <c r="BC89" s="6">
        <f t="shared" si="121"/>
        <v>279310</v>
      </c>
      <c r="BD89" s="6">
        <f t="shared" si="122"/>
        <v>278976</v>
      </c>
      <c r="BE89" s="6">
        <v>29.3042018</v>
      </c>
      <c r="BF89" s="6">
        <f t="shared" si="123"/>
        <v>1917692.6467339336</v>
      </c>
      <c r="BG89" s="6">
        <f t="shared" si="124"/>
        <v>1941617.075250769</v>
      </c>
      <c r="BH89" s="6"/>
      <c r="BK89" s="30" t="str">
        <f t="shared" si="125"/>
        <v>Randers Spildevand A/S</v>
      </c>
      <c r="BL89" s="23">
        <f t="shared" si="126"/>
        <v>10.860089926870515</v>
      </c>
      <c r="BM89" s="23">
        <f t="shared" si="127"/>
        <v>21.977426961272574</v>
      </c>
      <c r="BN89" s="23">
        <f t="shared" si="128"/>
        <v>2.774375763009414</v>
      </c>
      <c r="BO89" s="23">
        <f t="shared" si="129"/>
        <v>35.2757258131082</v>
      </c>
      <c r="BP89" s="23">
        <f t="shared" si="130"/>
        <v>14.564899149803765</v>
      </c>
      <c r="BQ89" s="23">
        <f t="shared" si="131"/>
        <v>14.547482385935536</v>
      </c>
      <c r="BR89" s="23"/>
      <c r="BS89" s="23">
        <f t="shared" si="132"/>
        <v>29.112381535739303</v>
      </c>
      <c r="BT89" s="23"/>
      <c r="BU89" s="23">
        <f t="shared" si="89"/>
        <v>0.2747993780686606</v>
      </c>
      <c r="BV89" s="23">
        <f t="shared" si="90"/>
        <v>9.818562817484299</v>
      </c>
      <c r="BW89" s="23">
        <f t="shared" si="91"/>
        <v>1.5638896459819867</v>
      </c>
      <c r="BX89" s="23">
        <f t="shared" si="92"/>
        <v>-11.470436786139995</v>
      </c>
      <c r="BY89" s="23">
        <f t="shared" si="93"/>
        <v>1.02154726102399</v>
      </c>
      <c r="BZ89" s="23">
        <f t="shared" si="94"/>
        <v>-1.2083623164189632</v>
      </c>
      <c r="CA89" s="23"/>
      <c r="CB89" s="23">
        <f t="shared" si="95"/>
        <v>-0.18681505539498033</v>
      </c>
      <c r="CC89" s="23">
        <f t="shared" si="96"/>
        <v>0</v>
      </c>
    </row>
    <row r="90" spans="1:81" ht="15" customHeight="1">
      <c r="A90" s="1" t="s">
        <v>7</v>
      </c>
      <c r="B90" s="10">
        <v>51508</v>
      </c>
      <c r="C90" s="10">
        <f t="shared" si="97"/>
        <v>51765.53999999999</v>
      </c>
      <c r="D90" s="10">
        <v>7338.0463324</v>
      </c>
      <c r="E90" s="10">
        <v>0</v>
      </c>
      <c r="F90" s="23" t="str">
        <f t="shared" si="98"/>
        <v>ingen</v>
      </c>
      <c r="G90" s="10"/>
      <c r="H90" s="10">
        <f t="shared" si="99"/>
        <v>7338.0463324</v>
      </c>
      <c r="I90" s="10"/>
      <c r="J90" s="10">
        <f t="shared" si="100"/>
        <v>38211.50291817677</v>
      </c>
      <c r="K90" s="10">
        <f t="shared" si="101"/>
        <v>31600.912913332184</v>
      </c>
      <c r="L90" s="10"/>
      <c r="M90" s="10">
        <f t="shared" si="102"/>
        <v>40412.91681789677</v>
      </c>
      <c r="N90" s="10">
        <f t="shared" si="103"/>
        <v>33802.32681305218</v>
      </c>
      <c r="P90" s="23">
        <f>'Potentialer og krav'!U90</f>
        <v>0</v>
      </c>
      <c r="Q90" s="10"/>
      <c r="R90" s="23">
        <f t="shared" si="104"/>
        <v>257.54</v>
      </c>
      <c r="S90" s="23">
        <f t="shared" si="105"/>
        <v>1190.6074199999998</v>
      </c>
      <c r="T90" s="23">
        <f t="shared" si="106"/>
        <v>7338.0463324</v>
      </c>
      <c r="U90" s="23">
        <f t="shared" si="107"/>
        <v>168.77506564520002</v>
      </c>
      <c r="V90" s="23">
        <f t="shared" si="108"/>
        <v>7506.821398045199</v>
      </c>
      <c r="W90" s="23">
        <f t="shared" si="109"/>
        <v>52956.14741999999</v>
      </c>
      <c r="X90" s="23">
        <f t="shared" si="110"/>
        <v>168.77506564520002</v>
      </c>
      <c r="Y90" s="23">
        <f t="shared" si="111"/>
        <v>7506.821398045199</v>
      </c>
      <c r="Z90" s="23">
        <f t="shared" si="112"/>
        <v>45449.32602195479</v>
      </c>
      <c r="AA90" s="23" t="str">
        <f t="shared" si="113"/>
        <v>ingen</v>
      </c>
      <c r="AB90" s="23"/>
      <c r="AC90" s="35" t="s">
        <v>7</v>
      </c>
      <c r="AD90" s="6">
        <v>71</v>
      </c>
      <c r="AE90" s="6">
        <v>3869</v>
      </c>
      <c r="AF90" s="6">
        <v>3869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3</v>
      </c>
      <c r="AM90" s="6">
        <v>0</v>
      </c>
      <c r="AN90" s="6">
        <v>0</v>
      </c>
      <c r="AO90" s="6">
        <v>0</v>
      </c>
      <c r="AP90" s="6">
        <v>31</v>
      </c>
      <c r="AQ90" s="6">
        <v>0</v>
      </c>
      <c r="AR90" s="6">
        <v>0</v>
      </c>
      <c r="AS90" s="6">
        <v>0</v>
      </c>
      <c r="AT90" s="6">
        <v>31</v>
      </c>
      <c r="AU90" s="6">
        <f t="shared" si="114"/>
        <v>0</v>
      </c>
      <c r="AV90" s="6">
        <f t="shared" si="115"/>
        <v>0</v>
      </c>
      <c r="AW90" s="6">
        <f t="shared" si="116"/>
        <v>0</v>
      </c>
      <c r="AX90" s="6"/>
      <c r="AY90" s="6">
        <f t="shared" si="117"/>
        <v>4124.856912967501</v>
      </c>
      <c r="AZ90" s="6">
        <f t="shared" si="118"/>
        <v>6192.346005209263</v>
      </c>
      <c r="BA90" s="6">
        <f t="shared" si="119"/>
        <v>0</v>
      </c>
      <c r="BB90" s="6">
        <f t="shared" si="120"/>
        <v>18120</v>
      </c>
      <c r="BC90" s="6">
        <f t="shared" si="121"/>
        <v>5270</v>
      </c>
      <c r="BD90" s="6">
        <f t="shared" si="122"/>
        <v>4504.3</v>
      </c>
      <c r="BE90" s="6">
        <v>19</v>
      </c>
      <c r="BF90" s="6">
        <f t="shared" si="123"/>
        <v>38211.50291817677</v>
      </c>
      <c r="BG90" s="6">
        <f t="shared" si="124"/>
        <v>31600.912913332184</v>
      </c>
      <c r="BH90" s="6"/>
      <c r="BK90" s="30" t="str">
        <f t="shared" si="125"/>
        <v>Rebild Vand &amp; Spildevand A/S</v>
      </c>
      <c r="BL90" s="23">
        <f t="shared" si="126"/>
        <v>10.79480417663801</v>
      </c>
      <c r="BM90" s="23">
        <f t="shared" si="127"/>
        <v>16.205450014539043</v>
      </c>
      <c r="BN90" s="23">
        <f t="shared" si="128"/>
        <v>0</v>
      </c>
      <c r="BO90" s="23">
        <f t="shared" si="129"/>
        <v>47.42027561386633</v>
      </c>
      <c r="BP90" s="23">
        <f t="shared" si="130"/>
        <v>13.791658525666422</v>
      </c>
      <c r="BQ90" s="23">
        <f t="shared" si="131"/>
        <v>11.787811669290184</v>
      </c>
      <c r="BR90" s="23"/>
      <c r="BS90" s="23">
        <f t="shared" si="132"/>
        <v>25.579470194956606</v>
      </c>
      <c r="BT90" s="23"/>
      <c r="BU90" s="23">
        <f t="shared" si="89"/>
        <v>0.34008512830116544</v>
      </c>
      <c r="BV90" s="23">
        <f t="shared" si="90"/>
        <v>15.59053976421783</v>
      </c>
      <c r="BW90" s="23">
        <f t="shared" si="91"/>
        <v>4.338265408991401</v>
      </c>
      <c r="BX90" s="23">
        <f t="shared" si="92"/>
        <v>-23.614986586898123</v>
      </c>
      <c r="BY90" s="23">
        <f t="shared" si="93"/>
        <v>1.7947878851613321</v>
      </c>
      <c r="BZ90" s="23">
        <f t="shared" si="94"/>
        <v>1.5513084002263895</v>
      </c>
      <c r="CA90" s="23"/>
      <c r="CB90" s="23">
        <f t="shared" si="95"/>
        <v>3.3460962853877163</v>
      </c>
      <c r="CC90" s="23">
        <f t="shared" si="96"/>
        <v>0</v>
      </c>
    </row>
    <row r="91" spans="1:81" ht="15" customHeight="1">
      <c r="A91" s="1" t="s">
        <v>92</v>
      </c>
      <c r="B91" s="10">
        <v>17527883</v>
      </c>
      <c r="C91" s="10">
        <f t="shared" si="97"/>
        <v>17615522.415</v>
      </c>
      <c r="D91" s="10">
        <v>14045479.4540298</v>
      </c>
      <c r="E91" s="10">
        <v>241513.6888003873</v>
      </c>
      <c r="F91" s="23" t="str">
        <f t="shared" si="98"/>
        <v>ingen</v>
      </c>
      <c r="G91" s="10"/>
      <c r="H91" s="10">
        <f t="shared" si="99"/>
        <v>14045479.4540298</v>
      </c>
      <c r="I91" s="10"/>
      <c r="J91" s="10">
        <f t="shared" si="100"/>
        <v>23140850.15634876</v>
      </c>
      <c r="K91" s="10">
        <f t="shared" si="101"/>
        <v>23849778.304319885</v>
      </c>
      <c r="L91" s="10"/>
      <c r="M91" s="10">
        <f t="shared" si="102"/>
        <v>27354493.9925577</v>
      </c>
      <c r="N91" s="10">
        <f t="shared" si="103"/>
        <v>28063422.140528824</v>
      </c>
      <c r="P91" s="23">
        <f>'Potentialer og krav'!U91</f>
        <v>0</v>
      </c>
      <c r="Q91" s="10"/>
      <c r="R91" s="23">
        <f t="shared" si="104"/>
        <v>87639.41500000001</v>
      </c>
      <c r="S91" s="23">
        <f t="shared" si="105"/>
        <v>405157.015545</v>
      </c>
      <c r="T91" s="23">
        <f t="shared" si="106"/>
        <v>13803965.765229413</v>
      </c>
      <c r="U91" s="23">
        <f t="shared" si="107"/>
        <v>323046.0274426854</v>
      </c>
      <c r="V91" s="23">
        <f t="shared" si="108"/>
        <v>14368525.481472485</v>
      </c>
      <c r="W91" s="23">
        <f t="shared" si="109"/>
        <v>18020679.430545</v>
      </c>
      <c r="X91" s="23">
        <f t="shared" si="110"/>
        <v>323046.0274426854</v>
      </c>
      <c r="Y91" s="23">
        <f t="shared" si="111"/>
        <v>14368525.481472485</v>
      </c>
      <c r="Z91" s="23">
        <f t="shared" si="112"/>
        <v>3652153.9490725137</v>
      </c>
      <c r="AA91" s="23" t="str">
        <f t="shared" si="113"/>
        <v>ingen</v>
      </c>
      <c r="AB91" s="23"/>
      <c r="AC91" s="35" t="s">
        <v>92</v>
      </c>
      <c r="AD91" s="6">
        <v>452</v>
      </c>
      <c r="AE91" s="6">
        <v>3742220</v>
      </c>
      <c r="AF91" s="6">
        <v>3671401</v>
      </c>
      <c r="AG91" s="6">
        <v>9</v>
      </c>
      <c r="AH91" s="6">
        <v>2</v>
      </c>
      <c r="AI91" s="6">
        <v>3</v>
      </c>
      <c r="AJ91" s="6">
        <v>0</v>
      </c>
      <c r="AK91" s="6">
        <v>0</v>
      </c>
      <c r="AL91" s="6">
        <v>818</v>
      </c>
      <c r="AM91" s="6">
        <v>252</v>
      </c>
      <c r="AN91" s="6">
        <v>0</v>
      </c>
      <c r="AO91" s="6">
        <v>0</v>
      </c>
      <c r="AP91" s="6">
        <v>10307</v>
      </c>
      <c r="AQ91" s="6">
        <v>8551</v>
      </c>
      <c r="AR91" s="6">
        <v>0</v>
      </c>
      <c r="AS91" s="6">
        <v>0</v>
      </c>
      <c r="AT91" s="6">
        <v>21641</v>
      </c>
      <c r="AU91" s="6">
        <f t="shared" si="114"/>
        <v>11</v>
      </c>
      <c r="AV91" s="6">
        <f t="shared" si="115"/>
        <v>3</v>
      </c>
      <c r="AW91" s="6">
        <f t="shared" si="116"/>
        <v>0</v>
      </c>
      <c r="AX91" s="6"/>
      <c r="AY91" s="6">
        <f t="shared" si="117"/>
        <v>2247314.8978464776</v>
      </c>
      <c r="AZ91" s="6">
        <f t="shared" si="118"/>
        <v>7119521.958502285</v>
      </c>
      <c r="BA91" s="6">
        <f t="shared" si="119"/>
        <v>960916</v>
      </c>
      <c r="BB91" s="6">
        <f t="shared" si="120"/>
        <v>6462800</v>
      </c>
      <c r="BC91" s="6">
        <f t="shared" si="121"/>
        <v>3205860</v>
      </c>
      <c r="BD91" s="6">
        <f t="shared" si="122"/>
        <v>3144437.3000000003</v>
      </c>
      <c r="BE91" s="6">
        <v>30.31307525</v>
      </c>
      <c r="BF91" s="6">
        <f t="shared" si="123"/>
        <v>23140850.15634876</v>
      </c>
      <c r="BG91" s="6">
        <f t="shared" si="124"/>
        <v>23849778.304319885</v>
      </c>
      <c r="BH91" s="6"/>
      <c r="BK91" s="30" t="str">
        <f t="shared" si="125"/>
        <v>Ringkjøbing-Skjern Vand A/S</v>
      </c>
      <c r="BL91" s="23">
        <f t="shared" si="126"/>
        <v>9.711462122881082</v>
      </c>
      <c r="BM91" s="23">
        <f t="shared" si="127"/>
        <v>30.766034568306573</v>
      </c>
      <c r="BN91" s="23">
        <f t="shared" si="128"/>
        <v>4.152466281522375</v>
      </c>
      <c r="BO91" s="23">
        <f t="shared" si="129"/>
        <v>27.928100983044096</v>
      </c>
      <c r="BP91" s="23">
        <f t="shared" si="130"/>
        <v>13.85368289557185</v>
      </c>
      <c r="BQ91" s="23">
        <f t="shared" si="131"/>
        <v>13.588253148674031</v>
      </c>
      <c r="BR91" s="23"/>
      <c r="BS91" s="23">
        <f t="shared" si="132"/>
        <v>27.44193604424588</v>
      </c>
      <c r="BT91" s="23"/>
      <c r="BU91" s="23">
        <f t="shared" si="89"/>
        <v>1.4234271820580933</v>
      </c>
      <c r="BV91" s="23">
        <f t="shared" si="90"/>
        <v>1.0299552104503</v>
      </c>
      <c r="BW91" s="23">
        <f t="shared" si="91"/>
        <v>0.18579912746902583</v>
      </c>
      <c r="BX91" s="23">
        <f t="shared" si="92"/>
        <v>-4.122811956075889</v>
      </c>
      <c r="BY91" s="23">
        <f t="shared" si="93"/>
        <v>1.732763515255904</v>
      </c>
      <c r="BZ91" s="23">
        <f t="shared" si="94"/>
        <v>-0.24913307915745797</v>
      </c>
      <c r="CA91" s="23"/>
      <c r="CB91" s="23">
        <f t="shared" si="95"/>
        <v>1.4836304360984407</v>
      </c>
      <c r="CC91" s="23">
        <f t="shared" si="96"/>
        <v>0</v>
      </c>
    </row>
    <row r="92" spans="1:81" ht="15" customHeight="1">
      <c r="A92" s="1" t="s">
        <v>93</v>
      </c>
      <c r="B92" s="10">
        <v>1874023</v>
      </c>
      <c r="C92" s="10">
        <f t="shared" si="97"/>
        <v>1883393.1149999998</v>
      </c>
      <c r="D92" s="10">
        <v>1672057.7902658</v>
      </c>
      <c r="E92" s="10">
        <v>756207.7315459244</v>
      </c>
      <c r="F92" s="23" t="str">
        <f t="shared" si="98"/>
        <v>ingen</v>
      </c>
      <c r="G92" s="10"/>
      <c r="H92" s="10">
        <f t="shared" si="99"/>
        <v>1672057.7902658</v>
      </c>
      <c r="I92" s="10"/>
      <c r="J92" s="10">
        <f t="shared" si="100"/>
        <v>1545540.6077432574</v>
      </c>
      <c r="K92" s="10">
        <f t="shared" si="101"/>
        <v>1469976.8756556897</v>
      </c>
      <c r="L92" s="10"/>
      <c r="M92" s="10">
        <f t="shared" si="102"/>
        <v>2047157.9448229973</v>
      </c>
      <c r="N92" s="10">
        <f t="shared" si="103"/>
        <v>1971594.2127354296</v>
      </c>
      <c r="P92" s="23">
        <f>'Potentialer og krav'!U92</f>
        <v>83602.88951329</v>
      </c>
      <c r="Q92" s="10"/>
      <c r="R92" s="23">
        <f t="shared" si="104"/>
        <v>9370.115</v>
      </c>
      <c r="S92" s="23">
        <f t="shared" si="105"/>
        <v>43318.04164499999</v>
      </c>
      <c r="T92" s="23">
        <f t="shared" si="106"/>
        <v>915850.0587198755</v>
      </c>
      <c r="U92" s="23">
        <f t="shared" si="107"/>
        <v>38457.329176113395</v>
      </c>
      <c r="V92" s="23">
        <f t="shared" si="108"/>
        <v>1710515.1194419132</v>
      </c>
      <c r="W92" s="23">
        <f t="shared" si="109"/>
        <v>1926711.1566449995</v>
      </c>
      <c r="X92" s="23">
        <f t="shared" si="110"/>
        <v>38457.329176113395</v>
      </c>
      <c r="Y92" s="23">
        <f t="shared" si="111"/>
        <v>1710515.1194419132</v>
      </c>
      <c r="Z92" s="23">
        <f t="shared" si="112"/>
        <v>216196.0372030863</v>
      </c>
      <c r="AA92" s="23" t="str">
        <f t="shared" si="113"/>
        <v>ingen</v>
      </c>
      <c r="AB92" s="23"/>
      <c r="AC92" s="35" t="s">
        <v>93</v>
      </c>
      <c r="AD92" s="6">
        <v>165</v>
      </c>
      <c r="AE92" s="6">
        <v>0</v>
      </c>
      <c r="AF92" s="6">
        <v>265049</v>
      </c>
      <c r="AG92" s="6">
        <v>2</v>
      </c>
      <c r="AH92" s="6"/>
      <c r="AI92" s="6"/>
      <c r="AJ92" s="6"/>
      <c r="AK92" s="6"/>
      <c r="AL92" s="6">
        <v>41</v>
      </c>
      <c r="AM92" s="6">
        <v>40</v>
      </c>
      <c r="AN92" s="6"/>
      <c r="AO92" s="6"/>
      <c r="AP92" s="6">
        <v>141</v>
      </c>
      <c r="AQ92" s="6">
        <v>1236</v>
      </c>
      <c r="AR92" s="6"/>
      <c r="AS92" s="6"/>
      <c r="AT92" s="6">
        <v>1640</v>
      </c>
      <c r="AU92" s="6">
        <f t="shared" si="114"/>
        <v>2</v>
      </c>
      <c r="AV92" s="6">
        <f t="shared" si="115"/>
        <v>0</v>
      </c>
      <c r="AW92" s="6">
        <f t="shared" si="116"/>
        <v>0</v>
      </c>
      <c r="AX92" s="6"/>
      <c r="AY92" s="6">
        <f t="shared" si="117"/>
        <v>0</v>
      </c>
      <c r="AZ92" s="6">
        <f t="shared" si="118"/>
        <v>477510.60774325737</v>
      </c>
      <c r="BA92" s="6">
        <f t="shared" si="119"/>
        <v>106408</v>
      </c>
      <c r="BB92" s="6">
        <f t="shared" si="120"/>
        <v>489240</v>
      </c>
      <c r="BC92" s="6">
        <f t="shared" si="121"/>
        <v>234090</v>
      </c>
      <c r="BD92" s="6">
        <f t="shared" si="122"/>
        <v>238292.00000000003</v>
      </c>
      <c r="BE92" s="6">
        <v>25.894919058347313</v>
      </c>
      <c r="BF92" s="6">
        <f t="shared" si="123"/>
        <v>1545540.6077432574</v>
      </c>
      <c r="BG92" s="6">
        <f t="shared" si="124"/>
        <v>1469976.8756556897</v>
      </c>
      <c r="BH92" s="6"/>
      <c r="BK92" s="30" t="str">
        <f t="shared" si="125"/>
        <v>Rødding Vandværk Amba</v>
      </c>
      <c r="BL92" s="23">
        <f t="shared" si="126"/>
        <v>0</v>
      </c>
      <c r="BM92" s="23">
        <f t="shared" si="127"/>
        <v>30.89602468876577</v>
      </c>
      <c r="BN92" s="23">
        <f t="shared" si="128"/>
        <v>6.884840130818246</v>
      </c>
      <c r="BO92" s="23">
        <f t="shared" si="129"/>
        <v>31.654943102036675</v>
      </c>
      <c r="BP92" s="23">
        <f t="shared" si="130"/>
        <v>15.146156550477812</v>
      </c>
      <c r="BQ92" s="23">
        <f t="shared" si="131"/>
        <v>15.41803552790149</v>
      </c>
      <c r="BR92" s="23"/>
      <c r="BS92" s="23">
        <f t="shared" si="132"/>
        <v>30.5641920783793</v>
      </c>
      <c r="BT92" s="23"/>
      <c r="BU92" s="23">
        <f t="shared" si="89"/>
        <v>11.134889304939176</v>
      </c>
      <c r="BV92" s="23">
        <f t="shared" si="90"/>
        <v>0.8999650899911025</v>
      </c>
      <c r="BW92" s="23">
        <f t="shared" si="91"/>
        <v>-2.546574721826845</v>
      </c>
      <c r="BX92" s="23">
        <f t="shared" si="92"/>
        <v>-7.849654075068468</v>
      </c>
      <c r="BY92" s="23">
        <f t="shared" si="93"/>
        <v>0.44028986034994233</v>
      </c>
      <c r="BZ92" s="23">
        <f t="shared" si="94"/>
        <v>-2.078915458384916</v>
      </c>
      <c r="CA92" s="23"/>
      <c r="CB92" s="23">
        <f t="shared" si="95"/>
        <v>-1.6386255980349773</v>
      </c>
      <c r="CC92" s="23">
        <f t="shared" si="96"/>
        <v>0</v>
      </c>
    </row>
    <row r="93" spans="1:81" ht="15" customHeight="1">
      <c r="A93" s="1" t="s">
        <v>94</v>
      </c>
      <c r="B93" s="10">
        <v>450318</v>
      </c>
      <c r="C93" s="10">
        <f t="shared" si="97"/>
        <v>452569.58999999997</v>
      </c>
      <c r="D93" s="10">
        <v>556335.0449916001</v>
      </c>
      <c r="E93" s="10">
        <v>0</v>
      </c>
      <c r="F93" s="23">
        <f t="shared" si="98"/>
        <v>103765.45499160013</v>
      </c>
      <c r="G93" s="10"/>
      <c r="H93" s="10">
        <f t="shared" si="99"/>
        <v>556335.0449916001</v>
      </c>
      <c r="I93" s="10"/>
      <c r="J93" s="10">
        <f t="shared" si="100"/>
        <v>1453914.4645656284</v>
      </c>
      <c r="K93" s="10">
        <f t="shared" si="101"/>
        <v>1381977.006000578</v>
      </c>
      <c r="L93" s="10"/>
      <c r="M93" s="10">
        <f t="shared" si="102"/>
        <v>1620814.9780631084</v>
      </c>
      <c r="N93" s="10">
        <f t="shared" si="103"/>
        <v>1548877.519498058</v>
      </c>
      <c r="P93" s="23">
        <f>'Potentialer og krav'!U93</f>
        <v>0</v>
      </c>
      <c r="Q93" s="10"/>
      <c r="R93" s="23">
        <f t="shared" si="104"/>
        <v>2251.59</v>
      </c>
      <c r="S93" s="23">
        <f t="shared" si="105"/>
        <v>10409.100569999999</v>
      </c>
      <c r="T93" s="23">
        <f t="shared" si="106"/>
        <v>556335.0449916001</v>
      </c>
      <c r="U93" s="23">
        <f t="shared" si="107"/>
        <v>12795.706034806803</v>
      </c>
      <c r="V93" s="23">
        <f t="shared" si="108"/>
        <v>569130.7510264069</v>
      </c>
      <c r="W93" s="23">
        <f t="shared" si="109"/>
        <v>462978.6905699999</v>
      </c>
      <c r="X93" s="23">
        <f t="shared" si="110"/>
        <v>12795.706034806803</v>
      </c>
      <c r="Y93" s="23">
        <f t="shared" si="111"/>
        <v>569130.7510264069</v>
      </c>
      <c r="Z93" s="23">
        <f t="shared" si="112"/>
        <v>-106152.06045640697</v>
      </c>
      <c r="AA93" s="23">
        <f t="shared" si="113"/>
        <v>0</v>
      </c>
      <c r="AB93" s="23"/>
      <c r="AC93" s="35" t="s">
        <v>94</v>
      </c>
      <c r="AD93" s="6">
        <v>22</v>
      </c>
      <c r="AE93" s="6">
        <v>239055</v>
      </c>
      <c r="AF93" s="6">
        <v>228607</v>
      </c>
      <c r="AG93" s="6">
        <v>3</v>
      </c>
      <c r="AH93" s="6"/>
      <c r="AI93" s="6"/>
      <c r="AJ93" s="6"/>
      <c r="AK93" s="6"/>
      <c r="AL93" s="6">
        <v>55.598</v>
      </c>
      <c r="AM93" s="6">
        <v>25.538</v>
      </c>
      <c r="AN93" s="6"/>
      <c r="AO93" s="6"/>
      <c r="AP93" s="6">
        <v>143</v>
      </c>
      <c r="AQ93" s="6">
        <v>737</v>
      </c>
      <c r="AR93" s="6"/>
      <c r="AS93" s="6"/>
      <c r="AT93" s="6">
        <v>886</v>
      </c>
      <c r="AU93" s="6">
        <f t="shared" si="114"/>
        <v>3</v>
      </c>
      <c r="AV93" s="6">
        <f t="shared" si="115"/>
        <v>0</v>
      </c>
      <c r="AW93" s="6">
        <f t="shared" si="116"/>
        <v>0</v>
      </c>
      <c r="AX93" s="6"/>
      <c r="AY93" s="6">
        <f t="shared" si="117"/>
        <v>115750.4683093368</v>
      </c>
      <c r="AZ93" s="6">
        <f t="shared" si="118"/>
        <v>410154.7562562916</v>
      </c>
      <c r="BA93" s="6">
        <f t="shared" si="119"/>
        <v>159612</v>
      </c>
      <c r="BB93" s="6">
        <f t="shared" si="120"/>
        <v>490061.44</v>
      </c>
      <c r="BC93" s="6">
        <f t="shared" si="121"/>
        <v>149600</v>
      </c>
      <c r="BD93" s="6">
        <f t="shared" si="122"/>
        <v>128735.8</v>
      </c>
      <c r="BE93" s="6">
        <v>25.8623074</v>
      </c>
      <c r="BF93" s="6">
        <f t="shared" si="123"/>
        <v>1453914.4645656284</v>
      </c>
      <c r="BG93" s="6">
        <f t="shared" si="124"/>
        <v>1381977.006000578</v>
      </c>
      <c r="BH93" s="6"/>
      <c r="BK93" s="30" t="str">
        <f t="shared" si="125"/>
        <v>Sdr. Felding Vandværk</v>
      </c>
      <c r="BL93" s="23">
        <f t="shared" si="126"/>
        <v>7.961298352163956</v>
      </c>
      <c r="BM93" s="23">
        <f t="shared" si="127"/>
        <v>28.210377312590357</v>
      </c>
      <c r="BN93" s="23">
        <f t="shared" si="128"/>
        <v>10.978087355894466</v>
      </c>
      <c r="BO93" s="23">
        <f t="shared" si="129"/>
        <v>33.706346002026386</v>
      </c>
      <c r="BP93" s="23">
        <f t="shared" si="130"/>
        <v>10.28946362705694</v>
      </c>
      <c r="BQ93" s="23">
        <f t="shared" si="131"/>
        <v>8.854427350267894</v>
      </c>
      <c r="BR93" s="23"/>
      <c r="BS93" s="23">
        <f t="shared" si="132"/>
        <v>19.143890977324833</v>
      </c>
      <c r="BT93" s="23"/>
      <c r="BU93" s="23">
        <f t="shared" si="89"/>
        <v>3.1735909527752195</v>
      </c>
      <c r="BV93" s="23">
        <f t="shared" si="90"/>
        <v>3.5856124661665163</v>
      </c>
      <c r="BW93" s="23">
        <f t="shared" si="91"/>
        <v>-6.639821946903066</v>
      </c>
      <c r="BX93" s="23">
        <f t="shared" si="92"/>
        <v>-9.901056975058179</v>
      </c>
      <c r="BY93" s="23">
        <f t="shared" si="93"/>
        <v>5.296982783770815</v>
      </c>
      <c r="BZ93" s="23">
        <f t="shared" si="94"/>
        <v>4.484692719248679</v>
      </c>
      <c r="CA93" s="23"/>
      <c r="CB93" s="23">
        <f t="shared" si="95"/>
        <v>9.781675503019489</v>
      </c>
      <c r="CC93" s="23">
        <f t="shared" si="96"/>
        <v>0</v>
      </c>
    </row>
    <row r="94" spans="1:81" ht="15" customHeight="1">
      <c r="A94" s="1" t="s">
        <v>95</v>
      </c>
      <c r="B94" s="10">
        <v>1895211</v>
      </c>
      <c r="C94" s="10">
        <f t="shared" si="97"/>
        <v>1904687.0549999997</v>
      </c>
      <c r="D94" s="10">
        <v>1847265.028245</v>
      </c>
      <c r="E94" s="10">
        <v>213589.23578833978</v>
      </c>
      <c r="F94" s="23" t="str">
        <f t="shared" si="98"/>
        <v>ingen</v>
      </c>
      <c r="G94" s="10"/>
      <c r="H94" s="10">
        <f t="shared" si="99"/>
        <v>1847265.028245</v>
      </c>
      <c r="I94" s="10"/>
      <c r="J94" s="10">
        <f t="shared" si="100"/>
        <v>2672398.062829275</v>
      </c>
      <c r="K94" s="10">
        <f t="shared" si="101"/>
        <v>2922904.8590664207</v>
      </c>
      <c r="L94" s="10"/>
      <c r="M94" s="10">
        <f t="shared" si="102"/>
        <v>3226577.5713027753</v>
      </c>
      <c r="N94" s="10">
        <f t="shared" si="103"/>
        <v>3477084.367539921</v>
      </c>
      <c r="P94" s="23">
        <f>'Potentialer og krav'!U94</f>
        <v>0</v>
      </c>
      <c r="Q94" s="10"/>
      <c r="R94" s="23">
        <f t="shared" si="104"/>
        <v>9476.055</v>
      </c>
      <c r="S94" s="23">
        <f t="shared" si="105"/>
        <v>43807.80226499999</v>
      </c>
      <c r="T94" s="23">
        <f t="shared" si="106"/>
        <v>1633675.7924566602</v>
      </c>
      <c r="U94" s="23">
        <f t="shared" si="107"/>
        <v>42487.095649635</v>
      </c>
      <c r="V94" s="23">
        <f t="shared" si="108"/>
        <v>1889752.1238946347</v>
      </c>
      <c r="W94" s="23">
        <f t="shared" si="109"/>
        <v>1948494.8572649995</v>
      </c>
      <c r="X94" s="23">
        <f t="shared" si="110"/>
        <v>42487.095649635</v>
      </c>
      <c r="Y94" s="23">
        <f t="shared" si="111"/>
        <v>1889752.1238946347</v>
      </c>
      <c r="Z94" s="23">
        <f t="shared" si="112"/>
        <v>58742.73337036488</v>
      </c>
      <c r="AA94" s="23" t="str">
        <f t="shared" si="113"/>
        <v>ingen</v>
      </c>
      <c r="AB94" s="23"/>
      <c r="AC94" s="35" t="s">
        <v>95</v>
      </c>
      <c r="AD94" s="6">
        <v>129</v>
      </c>
      <c r="AE94" s="6">
        <v>386214</v>
      </c>
      <c r="AF94" s="6">
        <v>364895</v>
      </c>
      <c r="AG94" s="6">
        <v>8</v>
      </c>
      <c r="AH94" s="6">
        <v>0</v>
      </c>
      <c r="AI94" s="6">
        <v>0</v>
      </c>
      <c r="AJ94" s="6">
        <v>0</v>
      </c>
      <c r="AK94" s="6">
        <v>0</v>
      </c>
      <c r="AL94" s="6">
        <v>72</v>
      </c>
      <c r="AM94" s="6">
        <v>44</v>
      </c>
      <c r="AN94" s="6">
        <v>0</v>
      </c>
      <c r="AO94" s="6">
        <v>0</v>
      </c>
      <c r="AP94" s="6">
        <v>467</v>
      </c>
      <c r="AQ94" s="6">
        <v>1342</v>
      </c>
      <c r="AR94" s="6">
        <v>0</v>
      </c>
      <c r="AS94" s="6">
        <v>0</v>
      </c>
      <c r="AT94" s="6">
        <v>2257</v>
      </c>
      <c r="AU94" s="6">
        <f t="shared" si="114"/>
        <v>8</v>
      </c>
      <c r="AV94" s="6">
        <f t="shared" si="115"/>
        <v>0</v>
      </c>
      <c r="AW94" s="6">
        <f t="shared" si="116"/>
        <v>0</v>
      </c>
      <c r="AX94" s="6"/>
      <c r="AY94" s="6">
        <f t="shared" si="117"/>
        <v>247350.3925000946</v>
      </c>
      <c r="AZ94" s="6">
        <f t="shared" si="118"/>
        <v>663303.5703291805</v>
      </c>
      <c r="BA94" s="6">
        <f t="shared" si="119"/>
        <v>425632</v>
      </c>
      <c r="BB94" s="6">
        <f t="shared" si="120"/>
        <v>700640</v>
      </c>
      <c r="BC94" s="6">
        <f t="shared" si="121"/>
        <v>307530</v>
      </c>
      <c r="BD94" s="6">
        <f t="shared" si="122"/>
        <v>327942.10000000003</v>
      </c>
      <c r="BE94" s="6">
        <v>33.81880993</v>
      </c>
      <c r="BF94" s="6">
        <f t="shared" si="123"/>
        <v>2672398.062829275</v>
      </c>
      <c r="BG94" s="6">
        <f t="shared" si="124"/>
        <v>2922904.8590664207</v>
      </c>
      <c r="BH94" s="6"/>
      <c r="BK94" s="30" t="str">
        <f t="shared" si="125"/>
        <v>Sindal Vandværk Amba</v>
      </c>
      <c r="BL94" s="23">
        <f t="shared" si="126"/>
        <v>9.255746587326293</v>
      </c>
      <c r="BM94" s="23">
        <f t="shared" si="127"/>
        <v>24.820537761763646</v>
      </c>
      <c r="BN94" s="23">
        <f t="shared" si="128"/>
        <v>15.92696858750834</v>
      </c>
      <c r="BO94" s="23">
        <f t="shared" si="129"/>
        <v>26.217651095669126</v>
      </c>
      <c r="BP94" s="23">
        <f t="shared" si="130"/>
        <v>11.507641929451825</v>
      </c>
      <c r="BQ94" s="23">
        <f t="shared" si="131"/>
        <v>12.271454038280766</v>
      </c>
      <c r="BR94" s="23"/>
      <c r="BS94" s="23">
        <f t="shared" si="132"/>
        <v>23.77909596773259</v>
      </c>
      <c r="BT94" s="23"/>
      <c r="BU94" s="23">
        <f t="shared" si="89"/>
        <v>1.8791427176128828</v>
      </c>
      <c r="BV94" s="23">
        <f t="shared" si="90"/>
        <v>6.975452016993227</v>
      </c>
      <c r="BW94" s="23">
        <f t="shared" si="91"/>
        <v>-11.588703178516939</v>
      </c>
      <c r="BX94" s="23">
        <f t="shared" si="92"/>
        <v>-2.4123620687009186</v>
      </c>
      <c r="BY94" s="23">
        <f t="shared" si="93"/>
        <v>4.078804481375929</v>
      </c>
      <c r="BZ94" s="23">
        <f t="shared" si="94"/>
        <v>1.0676660312358077</v>
      </c>
      <c r="CA94" s="23"/>
      <c r="CB94" s="23">
        <f t="shared" si="95"/>
        <v>5.146470512611732</v>
      </c>
      <c r="CC94" s="23">
        <f t="shared" si="96"/>
        <v>0</v>
      </c>
    </row>
    <row r="95" spans="1:81" ht="15" customHeight="1">
      <c r="A95" s="1" t="s">
        <v>8</v>
      </c>
      <c r="B95" s="10">
        <v>5901091</v>
      </c>
      <c r="C95" s="10">
        <f t="shared" si="97"/>
        <v>5930596.454999999</v>
      </c>
      <c r="D95" s="10">
        <v>5402425.9031358</v>
      </c>
      <c r="E95" s="10">
        <v>1304685.8556072956</v>
      </c>
      <c r="F95" s="23" t="str">
        <f t="shared" si="98"/>
        <v>ingen</v>
      </c>
      <c r="G95" s="10"/>
      <c r="H95" s="10">
        <f t="shared" si="99"/>
        <v>5402425.9031358</v>
      </c>
      <c r="I95" s="10"/>
      <c r="J95" s="10">
        <f t="shared" si="100"/>
        <v>7283365.646192161</v>
      </c>
      <c r="K95" s="10">
        <f t="shared" si="101"/>
        <v>7290827.3969037635</v>
      </c>
      <c r="L95" s="10"/>
      <c r="M95" s="10">
        <f t="shared" si="102"/>
        <v>8904093.417132901</v>
      </c>
      <c r="N95" s="10">
        <f t="shared" si="103"/>
        <v>8911555.167844504</v>
      </c>
      <c r="P95" s="23">
        <f>'Potentialer og krav'!U95</f>
        <v>0</v>
      </c>
      <c r="Q95" s="10"/>
      <c r="R95" s="23">
        <f t="shared" si="104"/>
        <v>29505.455</v>
      </c>
      <c r="S95" s="23">
        <f t="shared" si="105"/>
        <v>136403.71846499998</v>
      </c>
      <c r="T95" s="23">
        <f t="shared" si="106"/>
        <v>4097740.0475285044</v>
      </c>
      <c r="U95" s="23">
        <f t="shared" si="107"/>
        <v>124255.7957721234</v>
      </c>
      <c r="V95" s="23">
        <f t="shared" si="108"/>
        <v>5526681.698907923</v>
      </c>
      <c r="W95" s="23">
        <f t="shared" si="109"/>
        <v>6067000.173464999</v>
      </c>
      <c r="X95" s="23">
        <f t="shared" si="110"/>
        <v>124255.7957721234</v>
      </c>
      <c r="Y95" s="23">
        <f t="shared" si="111"/>
        <v>5526681.698907923</v>
      </c>
      <c r="Z95" s="23">
        <f t="shared" si="112"/>
        <v>540318.4745570756</v>
      </c>
      <c r="AA95" s="23" t="str">
        <f t="shared" si="113"/>
        <v>ingen</v>
      </c>
      <c r="AB95" s="23"/>
      <c r="AC95" s="35" t="s">
        <v>8</v>
      </c>
      <c r="AD95" s="6">
        <v>547</v>
      </c>
      <c r="AE95" s="6">
        <v>1148045</v>
      </c>
      <c r="AF95" s="6">
        <v>1142103</v>
      </c>
      <c r="AG95" s="6">
        <v>8</v>
      </c>
      <c r="AH95" s="6">
        <v>2</v>
      </c>
      <c r="AI95" s="6">
        <v>0</v>
      </c>
      <c r="AJ95" s="6">
        <v>0</v>
      </c>
      <c r="AK95" s="6">
        <v>0</v>
      </c>
      <c r="AL95" s="6">
        <v>79</v>
      </c>
      <c r="AM95" s="6">
        <v>113</v>
      </c>
      <c r="AN95" s="6">
        <v>6.9</v>
      </c>
      <c r="AO95" s="6">
        <v>0</v>
      </c>
      <c r="AP95" s="6">
        <f>2041+734</f>
        <v>2775</v>
      </c>
      <c r="AQ95" s="6">
        <v>2549</v>
      </c>
      <c r="AR95" s="6">
        <v>227</v>
      </c>
      <c r="AS95" s="6">
        <v>0</v>
      </c>
      <c r="AT95" s="6">
        <v>5997</v>
      </c>
      <c r="AU95" s="6">
        <f t="shared" si="114"/>
        <v>10</v>
      </c>
      <c r="AV95" s="6">
        <f t="shared" si="115"/>
        <v>0</v>
      </c>
      <c r="AW95" s="6">
        <f t="shared" si="116"/>
        <v>0</v>
      </c>
      <c r="AX95" s="6"/>
      <c r="AY95" s="6">
        <f t="shared" si="117"/>
        <v>840311.361663778</v>
      </c>
      <c r="AZ95" s="6">
        <f t="shared" si="118"/>
        <v>2143506.1845283844</v>
      </c>
      <c r="BA95" s="6">
        <f t="shared" si="119"/>
        <v>532040</v>
      </c>
      <c r="BB95" s="6">
        <f t="shared" si="120"/>
        <v>1521102</v>
      </c>
      <c r="BC95" s="6">
        <f t="shared" si="121"/>
        <v>1025390</v>
      </c>
      <c r="BD95" s="6">
        <f t="shared" si="122"/>
        <v>871364.1000000001</v>
      </c>
      <c r="BE95" s="6">
        <v>28.66802734</v>
      </c>
      <c r="BF95" s="6">
        <f t="shared" si="123"/>
        <v>7283365.646192161</v>
      </c>
      <c r="BG95" s="6">
        <f t="shared" si="124"/>
        <v>7290827.3969037635</v>
      </c>
      <c r="BH95" s="6">
        <v>349652</v>
      </c>
      <c r="BK95" s="30" t="str">
        <f t="shared" si="125"/>
        <v>Skanderborg Forsyningsvirksomhed A/S</v>
      </c>
      <c r="BL95" s="23">
        <f t="shared" si="126"/>
        <v>12.119210635778966</v>
      </c>
      <c r="BM95" s="23">
        <f t="shared" si="127"/>
        <v>30.914258850386034</v>
      </c>
      <c r="BN95" s="23">
        <f t="shared" si="128"/>
        <v>7.67323294771748</v>
      </c>
      <c r="BO95" s="23">
        <f t="shared" si="129"/>
        <v>21.93776780550138</v>
      </c>
      <c r="BP95" s="23">
        <f t="shared" si="130"/>
        <v>14.788467657055913</v>
      </c>
      <c r="BQ95" s="23">
        <f t="shared" si="131"/>
        <v>12.56706210356024</v>
      </c>
      <c r="BR95" s="23"/>
      <c r="BS95" s="23">
        <f t="shared" si="132"/>
        <v>27.35552976061615</v>
      </c>
      <c r="BT95" s="23"/>
      <c r="BU95" s="23">
        <f t="shared" si="89"/>
        <v>-0.9843213308397907</v>
      </c>
      <c r="BV95" s="23">
        <f t="shared" si="90"/>
        <v>0.881730928370839</v>
      </c>
      <c r="BW95" s="23">
        <f t="shared" si="91"/>
        <v>-3.3349675387260795</v>
      </c>
      <c r="BX95" s="23">
        <f t="shared" si="92"/>
        <v>1.867521221466827</v>
      </c>
      <c r="BY95" s="23">
        <f t="shared" si="93"/>
        <v>0.7979787537718419</v>
      </c>
      <c r="BZ95" s="23">
        <f t="shared" si="94"/>
        <v>0.7720579659563338</v>
      </c>
      <c r="CA95" s="23"/>
      <c r="CB95" s="23">
        <f t="shared" si="95"/>
        <v>1.5700367197281722</v>
      </c>
      <c r="CC95" s="23">
        <f t="shared" si="96"/>
        <v>0</v>
      </c>
    </row>
    <row r="96" spans="1:81" ht="15" customHeight="1">
      <c r="A96" s="1" t="s">
        <v>96</v>
      </c>
      <c r="B96" s="10">
        <v>2099390</v>
      </c>
      <c r="C96" s="10">
        <f t="shared" si="97"/>
        <v>2109886.9499999997</v>
      </c>
      <c r="D96" s="10">
        <v>1225923.0175976001</v>
      </c>
      <c r="E96" s="10">
        <v>767138.9856097981</v>
      </c>
      <c r="F96" s="23" t="str">
        <f t="shared" si="98"/>
        <v>ingen</v>
      </c>
      <c r="G96" s="10"/>
      <c r="H96" s="10">
        <f t="shared" si="99"/>
        <v>1225923.0175976001</v>
      </c>
      <c r="I96" s="10"/>
      <c r="J96" s="10">
        <f t="shared" si="100"/>
        <v>774220.2312861092</v>
      </c>
      <c r="K96" s="10">
        <f t="shared" si="101"/>
        <v>751569.6077066141</v>
      </c>
      <c r="L96" s="10"/>
      <c r="M96" s="10">
        <f t="shared" si="102"/>
        <v>1141997.136565389</v>
      </c>
      <c r="N96" s="10">
        <f t="shared" si="103"/>
        <v>1119346.512985894</v>
      </c>
      <c r="P96" s="23">
        <f>'Potentialer og krav'!U96</f>
        <v>61296.150879880006</v>
      </c>
      <c r="Q96" s="10"/>
      <c r="R96" s="23">
        <f t="shared" si="104"/>
        <v>10496.95</v>
      </c>
      <c r="S96" s="23">
        <f t="shared" si="105"/>
        <v>48527.399849999994</v>
      </c>
      <c r="T96" s="23">
        <f t="shared" si="106"/>
        <v>458784.031987802</v>
      </c>
      <c r="U96" s="23">
        <f t="shared" si="107"/>
        <v>28196.2294047448</v>
      </c>
      <c r="V96" s="23">
        <f t="shared" si="108"/>
        <v>1254119.2470023448</v>
      </c>
      <c r="W96" s="23">
        <f t="shared" si="109"/>
        <v>2158414.3498499994</v>
      </c>
      <c r="X96" s="23">
        <f t="shared" si="110"/>
        <v>28196.2294047448</v>
      </c>
      <c r="Y96" s="23">
        <f t="shared" si="111"/>
        <v>1254119.2470023448</v>
      </c>
      <c r="Z96" s="23">
        <f t="shared" si="112"/>
        <v>904295.1028476546</v>
      </c>
      <c r="AA96" s="23" t="str">
        <f t="shared" si="113"/>
        <v>ingen</v>
      </c>
      <c r="AB96" s="23"/>
      <c r="AC96" s="35" t="s">
        <v>96</v>
      </c>
      <c r="AD96" s="6">
        <v>0</v>
      </c>
      <c r="AE96" s="6">
        <v>315656</v>
      </c>
      <c r="AF96" s="6">
        <v>308500</v>
      </c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>
        <v>1487</v>
      </c>
      <c r="AU96" s="6">
        <f t="shared" si="114"/>
        <v>0</v>
      </c>
      <c r="AV96" s="6">
        <f t="shared" si="115"/>
        <v>0</v>
      </c>
      <c r="AW96" s="6">
        <f t="shared" si="116"/>
        <v>0</v>
      </c>
      <c r="AX96" s="6"/>
      <c r="AY96" s="6">
        <f t="shared" si="117"/>
        <v>0</v>
      </c>
      <c r="AZ96" s="6">
        <f t="shared" si="118"/>
        <v>558159.1312861092</v>
      </c>
      <c r="BA96" s="6">
        <f t="shared" si="119"/>
        <v>0</v>
      </c>
      <c r="BB96" s="6">
        <f t="shared" si="120"/>
        <v>0</v>
      </c>
      <c r="BC96" s="6">
        <f t="shared" si="121"/>
        <v>0</v>
      </c>
      <c r="BD96" s="6">
        <f t="shared" si="122"/>
        <v>216061.1</v>
      </c>
      <c r="BE96" s="6">
        <v>26.985775159158187</v>
      </c>
      <c r="BF96" s="6">
        <f t="shared" si="123"/>
        <v>774220.2312861092</v>
      </c>
      <c r="BG96" s="6">
        <f t="shared" si="124"/>
        <v>751569.6077066141</v>
      </c>
      <c r="BH96" s="6"/>
      <c r="BK96" s="30" t="str">
        <f t="shared" si="125"/>
        <v>Skovlund/Ansager Vandværk</v>
      </c>
      <c r="BL96" s="23">
        <f t="shared" si="126"/>
        <v>0</v>
      </c>
      <c r="BM96" s="23">
        <f t="shared" si="127"/>
        <v>72.09306974049407</v>
      </c>
      <c r="BN96" s="23">
        <f t="shared" si="128"/>
        <v>0</v>
      </c>
      <c r="BO96" s="23">
        <f t="shared" si="129"/>
        <v>0</v>
      </c>
      <c r="BP96" s="23">
        <f t="shared" si="130"/>
        <v>0</v>
      </c>
      <c r="BQ96" s="23">
        <f t="shared" si="131"/>
        <v>27.90693025950593</v>
      </c>
      <c r="BR96" s="23"/>
      <c r="BS96" s="23">
        <f t="shared" si="132"/>
        <v>27.90693025950593</v>
      </c>
      <c r="BT96" s="23"/>
      <c r="BU96" s="23">
        <f t="shared" si="89"/>
        <v>11.134889304939176</v>
      </c>
      <c r="BV96" s="23">
        <f t="shared" si="90"/>
        <v>-40.2970799617372</v>
      </c>
      <c r="BW96" s="23">
        <f t="shared" si="91"/>
        <v>4.338265408991401</v>
      </c>
      <c r="BX96" s="23">
        <f t="shared" si="92"/>
        <v>23.805289026968207</v>
      </c>
      <c r="BY96" s="23">
        <f t="shared" si="93"/>
        <v>15.586446410827755</v>
      </c>
      <c r="BZ96" s="23">
        <f t="shared" si="94"/>
        <v>-14.567810189989357</v>
      </c>
      <c r="CA96" s="23"/>
      <c r="CB96" s="23">
        <f t="shared" si="95"/>
        <v>1.018636220838392</v>
      </c>
      <c r="CC96" s="23">
        <f t="shared" si="96"/>
        <v>0</v>
      </c>
    </row>
    <row r="97" spans="1:81" ht="15" customHeight="1">
      <c r="A97" s="1" t="s">
        <v>97</v>
      </c>
      <c r="B97" s="10">
        <v>1510911</v>
      </c>
      <c r="C97" s="10">
        <f t="shared" si="97"/>
        <v>1518465.555</v>
      </c>
      <c r="D97" s="10">
        <v>1202755</v>
      </c>
      <c r="E97" s="10">
        <v>0</v>
      </c>
      <c r="F97" s="23" t="str">
        <f t="shared" si="98"/>
        <v>ingen</v>
      </c>
      <c r="G97" s="10"/>
      <c r="H97" s="10">
        <f t="shared" si="99"/>
        <v>1202755</v>
      </c>
      <c r="I97" s="10"/>
      <c r="J97" s="10">
        <f t="shared" si="100"/>
        <v>2497013.520194249</v>
      </c>
      <c r="K97" s="10">
        <f t="shared" si="101"/>
        <v>2306995.259713161</v>
      </c>
      <c r="L97" s="10"/>
      <c r="M97" s="10">
        <f t="shared" si="102"/>
        <v>2857840.020194249</v>
      </c>
      <c r="N97" s="10">
        <f t="shared" si="103"/>
        <v>2667821.759713161</v>
      </c>
      <c r="P97" s="23">
        <f>'Potentialer og krav'!U97</f>
        <v>0</v>
      </c>
      <c r="Q97" s="10"/>
      <c r="R97" s="23">
        <f t="shared" si="104"/>
        <v>7554.555</v>
      </c>
      <c r="S97" s="23">
        <f t="shared" si="105"/>
        <v>34924.707765</v>
      </c>
      <c r="T97" s="23">
        <f t="shared" si="106"/>
        <v>1202755</v>
      </c>
      <c r="U97" s="23">
        <f t="shared" si="107"/>
        <v>27663.364999999998</v>
      </c>
      <c r="V97" s="23">
        <f t="shared" si="108"/>
        <v>1230418.365</v>
      </c>
      <c r="W97" s="23">
        <f t="shared" si="109"/>
        <v>1553390.2627649999</v>
      </c>
      <c r="X97" s="23">
        <f t="shared" si="110"/>
        <v>27663.364999999998</v>
      </c>
      <c r="Y97" s="23">
        <f t="shared" si="111"/>
        <v>1230418.365</v>
      </c>
      <c r="Z97" s="23">
        <f t="shared" si="112"/>
        <v>322971.8977649999</v>
      </c>
      <c r="AA97" s="23" t="str">
        <f t="shared" si="113"/>
        <v>ingen</v>
      </c>
      <c r="AB97" s="23"/>
      <c r="AC97" s="35" t="s">
        <v>97</v>
      </c>
      <c r="AD97" s="6">
        <v>52</v>
      </c>
      <c r="AE97" s="6">
        <v>744583</v>
      </c>
      <c r="AF97" s="6">
        <v>705583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23</v>
      </c>
      <c r="AM97" s="6">
        <v>30</v>
      </c>
      <c r="AN97" s="6">
        <v>0</v>
      </c>
      <c r="AO97" s="6">
        <v>0</v>
      </c>
      <c r="AP97" s="6">
        <v>118</v>
      </c>
      <c r="AQ97" s="6">
        <v>1482</v>
      </c>
      <c r="AR97" s="6">
        <v>0</v>
      </c>
      <c r="AS97" s="6">
        <v>0</v>
      </c>
      <c r="AT97" s="6">
        <v>1604</v>
      </c>
      <c r="AU97" s="6">
        <f t="shared" si="114"/>
        <v>0</v>
      </c>
      <c r="AV97" s="6">
        <f t="shared" si="115"/>
        <v>0</v>
      </c>
      <c r="AW97" s="6">
        <f t="shared" si="116"/>
        <v>0</v>
      </c>
      <c r="AX97" s="6"/>
      <c r="AY97" s="6">
        <f t="shared" si="117"/>
        <v>365327.01804949925</v>
      </c>
      <c r="AZ97" s="6">
        <f t="shared" si="118"/>
        <v>1306505.30214475</v>
      </c>
      <c r="BA97" s="6">
        <f t="shared" si="119"/>
        <v>0</v>
      </c>
      <c r="BB97" s="6">
        <f t="shared" si="120"/>
        <v>320120</v>
      </c>
      <c r="BC97" s="6">
        <f t="shared" si="121"/>
        <v>272000</v>
      </c>
      <c r="BD97" s="6">
        <f t="shared" si="122"/>
        <v>233061.2</v>
      </c>
      <c r="BE97" s="6">
        <v>24.38343275</v>
      </c>
      <c r="BF97" s="6">
        <f t="shared" si="123"/>
        <v>2497013.520194249</v>
      </c>
      <c r="BG97" s="6">
        <f t="shared" si="124"/>
        <v>2306995.259713161</v>
      </c>
      <c r="BH97" s="6"/>
      <c r="BK97" s="30" t="str">
        <f t="shared" si="125"/>
        <v>Skærbæk Vandværk</v>
      </c>
      <c r="BL97" s="23">
        <f t="shared" si="126"/>
        <v>14.630558268706512</v>
      </c>
      <c r="BM97" s="23">
        <f t="shared" si="127"/>
        <v>52.322716380130515</v>
      </c>
      <c r="BN97" s="23">
        <f t="shared" si="128"/>
        <v>0</v>
      </c>
      <c r="BO97" s="23">
        <f t="shared" si="129"/>
        <v>12.82011480558972</v>
      </c>
      <c r="BP97" s="23">
        <f t="shared" si="130"/>
        <v>10.89301270498689</v>
      </c>
      <c r="BQ97" s="23">
        <f t="shared" si="131"/>
        <v>9.333597840586364</v>
      </c>
      <c r="BR97" s="23"/>
      <c r="BS97" s="23">
        <f t="shared" si="132"/>
        <v>20.226610545573255</v>
      </c>
      <c r="BT97" s="23"/>
      <c r="BU97" s="23">
        <f t="shared" si="89"/>
        <v>-3.4956689637673364</v>
      </c>
      <c r="BV97" s="23">
        <f t="shared" si="90"/>
        <v>-20.526726601373642</v>
      </c>
      <c r="BW97" s="23">
        <f t="shared" si="91"/>
        <v>4.338265408991401</v>
      </c>
      <c r="BX97" s="23">
        <f t="shared" si="92"/>
        <v>10.985174221378488</v>
      </c>
      <c r="BY97" s="23">
        <f t="shared" si="93"/>
        <v>4.693433705840864</v>
      </c>
      <c r="BZ97" s="23">
        <f t="shared" si="94"/>
        <v>4.005522228930209</v>
      </c>
      <c r="CA97" s="23"/>
      <c r="CB97" s="23">
        <f t="shared" si="95"/>
        <v>8.698955934771067</v>
      </c>
      <c r="CC97" s="23">
        <f t="shared" si="96"/>
        <v>0</v>
      </c>
    </row>
    <row r="98" spans="1:81" ht="15" customHeight="1">
      <c r="A98" s="1" t="s">
        <v>98</v>
      </c>
      <c r="B98" s="10">
        <v>1362530</v>
      </c>
      <c r="C98" s="10">
        <f t="shared" si="97"/>
        <v>1369342.65</v>
      </c>
      <c r="D98" s="10">
        <v>1274116.4482032</v>
      </c>
      <c r="E98" s="10">
        <v>189661.11653069875</v>
      </c>
      <c r="F98" s="23" t="str">
        <f t="shared" si="98"/>
        <v>ingen</v>
      </c>
      <c r="G98" s="10"/>
      <c r="H98" s="10">
        <f t="shared" si="99"/>
        <v>1274116.4482032</v>
      </c>
      <c r="I98" s="10"/>
      <c r="J98" s="10">
        <f t="shared" si="100"/>
        <v>1817683.7450552972</v>
      </c>
      <c r="K98" s="10">
        <f t="shared" si="101"/>
        <v>1875121.9272428004</v>
      </c>
      <c r="L98" s="10"/>
      <c r="M98" s="10">
        <f t="shared" si="102"/>
        <v>2199918.6795162573</v>
      </c>
      <c r="N98" s="10">
        <f t="shared" si="103"/>
        <v>2257356.8617037605</v>
      </c>
      <c r="P98" s="23">
        <f>'Potentialer og krav'!U98</f>
        <v>0</v>
      </c>
      <c r="Q98" s="10"/>
      <c r="R98" s="23">
        <f t="shared" si="104"/>
        <v>6812.650000000001</v>
      </c>
      <c r="S98" s="23">
        <f t="shared" si="105"/>
        <v>31494.88095</v>
      </c>
      <c r="T98" s="23">
        <f t="shared" si="106"/>
        <v>1084455.3316725013</v>
      </c>
      <c r="U98" s="23">
        <f t="shared" si="107"/>
        <v>29304.6783086736</v>
      </c>
      <c r="V98" s="23">
        <f t="shared" si="108"/>
        <v>1303421.1265118734</v>
      </c>
      <c r="W98" s="23">
        <f t="shared" si="109"/>
        <v>1400837.5309499998</v>
      </c>
      <c r="X98" s="23">
        <f t="shared" si="110"/>
        <v>29304.6783086736</v>
      </c>
      <c r="Y98" s="23">
        <f t="shared" si="111"/>
        <v>1303421.1265118734</v>
      </c>
      <c r="Z98" s="23">
        <f t="shared" si="112"/>
        <v>97416.40443812637</v>
      </c>
      <c r="AA98" s="23" t="str">
        <f t="shared" si="113"/>
        <v>ingen</v>
      </c>
      <c r="AB98" s="23"/>
      <c r="AC98" s="35" t="s">
        <v>98</v>
      </c>
      <c r="AD98" s="6">
        <v>70</v>
      </c>
      <c r="AE98" s="6">
        <v>275389</v>
      </c>
      <c r="AF98" s="6">
        <v>273676</v>
      </c>
      <c r="AG98" s="6"/>
      <c r="AH98" s="6">
        <v>1</v>
      </c>
      <c r="AI98" s="6"/>
      <c r="AJ98" s="6"/>
      <c r="AK98" s="6"/>
      <c r="AL98" s="6">
        <v>47</v>
      </c>
      <c r="AM98" s="6">
        <v>44</v>
      </c>
      <c r="AN98" s="6">
        <v>0</v>
      </c>
      <c r="AO98" s="6">
        <v>0</v>
      </c>
      <c r="AP98" s="6">
        <v>173</v>
      </c>
      <c r="AQ98" s="6">
        <v>1588</v>
      </c>
      <c r="AR98" s="6">
        <v>0</v>
      </c>
      <c r="AS98" s="6">
        <v>0</v>
      </c>
      <c r="AT98" s="6">
        <v>1776</v>
      </c>
      <c r="AU98" s="6">
        <f t="shared" si="114"/>
        <v>1</v>
      </c>
      <c r="AV98" s="6">
        <f t="shared" si="115"/>
        <v>0</v>
      </c>
      <c r="AW98" s="6">
        <f t="shared" si="116"/>
        <v>0</v>
      </c>
      <c r="AX98" s="6"/>
      <c r="AY98" s="6">
        <f t="shared" si="117"/>
        <v>163921.59762294762</v>
      </c>
      <c r="AZ98" s="6">
        <f t="shared" si="118"/>
        <v>493495.3474323496</v>
      </c>
      <c r="BA98" s="6">
        <f t="shared" si="119"/>
        <v>53204</v>
      </c>
      <c r="BB98" s="6">
        <f t="shared" si="120"/>
        <v>549640</v>
      </c>
      <c r="BC98" s="6">
        <f t="shared" si="121"/>
        <v>299370</v>
      </c>
      <c r="BD98" s="6">
        <f t="shared" si="122"/>
        <v>258052.80000000002</v>
      </c>
      <c r="BE98" s="6">
        <v>30.36664759</v>
      </c>
      <c r="BF98" s="6">
        <f t="shared" si="123"/>
        <v>1817683.7450552972</v>
      </c>
      <c r="BG98" s="6">
        <f t="shared" si="124"/>
        <v>1875121.9272428004</v>
      </c>
      <c r="BH98" s="6"/>
      <c r="BK98" s="30" t="str">
        <f t="shared" si="125"/>
        <v>Snejbjerg Vandværk A.m.b.a.</v>
      </c>
      <c r="BL98" s="23">
        <f t="shared" si="126"/>
        <v>9.018158305528603</v>
      </c>
      <c r="BM98" s="23">
        <f t="shared" si="127"/>
        <v>27.14968149849063</v>
      </c>
      <c r="BN98" s="23">
        <f t="shared" si="128"/>
        <v>2.927021829002572</v>
      </c>
      <c r="BO98" s="23">
        <f t="shared" si="129"/>
        <v>30.238483536820045</v>
      </c>
      <c r="BP98" s="23">
        <f t="shared" si="130"/>
        <v>16.469861757546422</v>
      </c>
      <c r="BQ98" s="23">
        <f t="shared" si="131"/>
        <v>14.196793072611738</v>
      </c>
      <c r="BR98" s="23"/>
      <c r="BS98" s="23">
        <f t="shared" si="132"/>
        <v>30.66665483015816</v>
      </c>
      <c r="BT98" s="23"/>
      <c r="BU98" s="23">
        <f t="shared" si="89"/>
        <v>2.1167309994105725</v>
      </c>
      <c r="BV98" s="23">
        <f t="shared" si="90"/>
        <v>4.646308280266243</v>
      </c>
      <c r="BW98" s="23">
        <f t="shared" si="91"/>
        <v>1.4112435799888288</v>
      </c>
      <c r="BX98" s="23">
        <f t="shared" si="92"/>
        <v>-6.4331945098518375</v>
      </c>
      <c r="BY98" s="23">
        <f t="shared" si="93"/>
        <v>-0.8834153467186674</v>
      </c>
      <c r="BZ98" s="23">
        <f t="shared" si="94"/>
        <v>-0.8576730030951651</v>
      </c>
      <c r="CA98" s="23"/>
      <c r="CB98" s="23">
        <f t="shared" si="95"/>
        <v>-1.741088349813836</v>
      </c>
      <c r="CC98" s="23">
        <f t="shared" si="96"/>
        <v>0</v>
      </c>
    </row>
    <row r="99" spans="1:81" ht="15" customHeight="1">
      <c r="A99" s="1" t="s">
        <v>99</v>
      </c>
      <c r="B99" s="10">
        <f>3806877+474672</f>
        <v>4281549</v>
      </c>
      <c r="C99" s="10">
        <f t="shared" si="97"/>
        <v>4302956.744999999</v>
      </c>
      <c r="D99" s="10">
        <v>3575959.7885886002</v>
      </c>
      <c r="E99" s="10">
        <v>968417.471014981</v>
      </c>
      <c r="F99" s="23" t="str">
        <f t="shared" si="98"/>
        <v>ingen</v>
      </c>
      <c r="G99" s="10"/>
      <c r="H99" s="10">
        <f t="shared" si="99"/>
        <v>3575959.7885886002</v>
      </c>
      <c r="I99" s="10"/>
      <c r="J99" s="10">
        <f t="shared" si="100"/>
        <v>4251882.549132643</v>
      </c>
      <c r="K99" s="10">
        <f t="shared" si="101"/>
        <v>4680673.861223313</v>
      </c>
      <c r="L99" s="10"/>
      <c r="M99" s="10">
        <f t="shared" si="102"/>
        <v>5324670.485709223</v>
      </c>
      <c r="N99" s="10">
        <f t="shared" si="103"/>
        <v>5753461.797799893</v>
      </c>
      <c r="P99" s="23">
        <f>'Potentialer og krav'!U99</f>
        <v>0</v>
      </c>
      <c r="Q99" s="10"/>
      <c r="R99" s="23">
        <f t="shared" si="104"/>
        <v>21407.745</v>
      </c>
      <c r="S99" s="23">
        <f t="shared" si="105"/>
        <v>98968.00513499998</v>
      </c>
      <c r="T99" s="23">
        <f t="shared" si="106"/>
        <v>2607542.317573619</v>
      </c>
      <c r="U99" s="23">
        <f t="shared" si="107"/>
        <v>82247.0751375378</v>
      </c>
      <c r="V99" s="23">
        <f t="shared" si="108"/>
        <v>3658206.8637261377</v>
      </c>
      <c r="W99" s="23">
        <f t="shared" si="109"/>
        <v>4401924.750134999</v>
      </c>
      <c r="X99" s="23">
        <f t="shared" si="110"/>
        <v>82247.0751375378</v>
      </c>
      <c r="Y99" s="23">
        <f t="shared" si="111"/>
        <v>3658206.8637261377</v>
      </c>
      <c r="Z99" s="23">
        <f t="shared" si="112"/>
        <v>743717.8864088613</v>
      </c>
      <c r="AA99" s="23" t="str">
        <f t="shared" si="113"/>
        <v>ingen</v>
      </c>
      <c r="AB99" s="23"/>
      <c r="AC99" s="35" t="s">
        <v>99</v>
      </c>
      <c r="AD99" s="6">
        <v>342</v>
      </c>
      <c r="AE99" s="6">
        <v>753791</v>
      </c>
      <c r="AF99" s="6">
        <v>753791</v>
      </c>
      <c r="AG99" s="6">
        <v>2</v>
      </c>
      <c r="AH99" s="6"/>
      <c r="AI99" s="6"/>
      <c r="AJ99" s="6"/>
      <c r="AK99" s="6"/>
      <c r="AL99" s="6">
        <v>10.052</v>
      </c>
      <c r="AM99" s="6">
        <v>90.956</v>
      </c>
      <c r="AN99" s="6"/>
      <c r="AO99" s="6"/>
      <c r="AP99" s="6">
        <v>51</v>
      </c>
      <c r="AQ99" s="6">
        <v>5036</v>
      </c>
      <c r="AR99" s="6"/>
      <c r="AS99" s="6"/>
      <c r="AT99" s="6">
        <v>5087</v>
      </c>
      <c r="AU99" s="6">
        <f t="shared" si="114"/>
        <v>2</v>
      </c>
      <c r="AV99" s="6">
        <f t="shared" si="115"/>
        <v>0</v>
      </c>
      <c r="AW99" s="6">
        <f t="shared" si="116"/>
        <v>0</v>
      </c>
      <c r="AX99" s="6"/>
      <c r="AY99" s="6">
        <f t="shared" si="117"/>
        <v>533099.3058609951</v>
      </c>
      <c r="AZ99" s="6">
        <f t="shared" si="118"/>
        <v>1398355.8232716487</v>
      </c>
      <c r="BA99" s="6">
        <f t="shared" si="119"/>
        <v>106408</v>
      </c>
      <c r="BB99" s="6">
        <f t="shared" si="120"/>
        <v>610088.3200000001</v>
      </c>
      <c r="BC99" s="6">
        <f t="shared" si="121"/>
        <v>864790</v>
      </c>
      <c r="BD99" s="6">
        <f t="shared" si="122"/>
        <v>739141.1000000001</v>
      </c>
      <c r="BE99" s="6">
        <v>34.2137446</v>
      </c>
      <c r="BF99" s="6">
        <f t="shared" si="123"/>
        <v>4251882.549132643</v>
      </c>
      <c r="BG99" s="6">
        <f t="shared" si="124"/>
        <v>4680673.861223313</v>
      </c>
      <c r="BH99" s="6"/>
      <c r="BK99" s="30" t="str">
        <f t="shared" si="125"/>
        <v>Solrød Vandværk a.m.b.a.</v>
      </c>
      <c r="BL99" s="23">
        <f t="shared" si="126"/>
        <v>12.537959355668088</v>
      </c>
      <c r="BM99" s="23">
        <f t="shared" si="127"/>
        <v>32.88792216419299</v>
      </c>
      <c r="BN99" s="23">
        <f t="shared" si="128"/>
        <v>2.502609109503896</v>
      </c>
      <c r="BO99" s="23">
        <f t="shared" si="129"/>
        <v>14.348663514340352</v>
      </c>
      <c r="BP99" s="23">
        <f t="shared" si="130"/>
        <v>20.338990788360594</v>
      </c>
      <c r="BQ99" s="23">
        <f t="shared" si="131"/>
        <v>17.383855067934086</v>
      </c>
      <c r="BR99" s="23"/>
      <c r="BS99" s="23">
        <f t="shared" si="132"/>
        <v>37.72284585629468</v>
      </c>
      <c r="BT99" s="23"/>
      <c r="BU99" s="23">
        <f t="shared" si="89"/>
        <v>-1.4030700507289122</v>
      </c>
      <c r="BV99" s="23">
        <f t="shared" si="90"/>
        <v>-1.0919323854361203</v>
      </c>
      <c r="BW99" s="23">
        <f t="shared" si="91"/>
        <v>1.8356562994875048</v>
      </c>
      <c r="BX99" s="23">
        <f t="shared" si="92"/>
        <v>9.456625512627856</v>
      </c>
      <c r="BY99" s="23">
        <f t="shared" si="93"/>
        <v>-4.752544377532839</v>
      </c>
      <c r="BZ99" s="23">
        <f t="shared" si="94"/>
        <v>-4.044734998417512</v>
      </c>
      <c r="CA99" s="23"/>
      <c r="CB99" s="23">
        <f t="shared" si="95"/>
        <v>-8.79727937595036</v>
      </c>
      <c r="CC99" s="23">
        <f t="shared" si="96"/>
        <v>0</v>
      </c>
    </row>
    <row r="100" spans="1:81" ht="15" customHeight="1">
      <c r="A100" s="1" t="s">
        <v>100</v>
      </c>
      <c r="B100" s="10">
        <v>1043284</v>
      </c>
      <c r="C100" s="10">
        <f t="shared" si="97"/>
        <v>1048500.4199999999</v>
      </c>
      <c r="D100" s="10">
        <v>793865.48017</v>
      </c>
      <c r="E100" s="10">
        <v>202562.1888374556</v>
      </c>
      <c r="F100" s="23" t="str">
        <f t="shared" si="98"/>
        <v>ingen</v>
      </c>
      <c r="G100" s="10"/>
      <c r="H100" s="10">
        <f t="shared" si="99"/>
        <v>793865.48017</v>
      </c>
      <c r="I100" s="10"/>
      <c r="J100" s="10">
        <f t="shared" si="100"/>
        <v>997852.1678085545</v>
      </c>
      <c r="K100" s="10">
        <f t="shared" si="101"/>
        <v>483958.3013871489</v>
      </c>
      <c r="L100" s="10"/>
      <c r="M100" s="10">
        <f t="shared" si="102"/>
        <v>1236011.8118595544</v>
      </c>
      <c r="N100" s="10">
        <f t="shared" si="103"/>
        <v>722117.9454381489</v>
      </c>
      <c r="P100" s="23">
        <f>'Potentialer og krav'!U100</f>
        <v>15358.563542507889</v>
      </c>
      <c r="Q100" s="10"/>
      <c r="R100" s="23">
        <f t="shared" si="104"/>
        <v>5216.42</v>
      </c>
      <c r="S100" s="23">
        <f t="shared" si="105"/>
        <v>24115.509659999996</v>
      </c>
      <c r="T100" s="23">
        <f t="shared" si="106"/>
        <v>591303.2913325444</v>
      </c>
      <c r="U100" s="23">
        <f t="shared" si="107"/>
        <v>18258.90604391</v>
      </c>
      <c r="V100" s="23">
        <f t="shared" si="108"/>
        <v>812124.38621391</v>
      </c>
      <c r="W100" s="23">
        <f t="shared" si="109"/>
        <v>1072615.92966</v>
      </c>
      <c r="X100" s="23">
        <f t="shared" si="110"/>
        <v>18258.90604391</v>
      </c>
      <c r="Y100" s="23">
        <f t="shared" si="111"/>
        <v>812124.38621391</v>
      </c>
      <c r="Z100" s="23">
        <f t="shared" si="112"/>
        <v>260491.54344608996</v>
      </c>
      <c r="AA100" s="23" t="str">
        <f t="shared" si="113"/>
        <v>ingen</v>
      </c>
      <c r="AB100" s="23"/>
      <c r="AC100" s="35" t="s">
        <v>100</v>
      </c>
      <c r="AD100" s="6">
        <v>261</v>
      </c>
      <c r="AE100" s="6">
        <v>391644</v>
      </c>
      <c r="AF100" s="6">
        <v>390037</v>
      </c>
      <c r="AG100" s="6"/>
      <c r="AH100" s="6"/>
      <c r="AI100" s="6"/>
      <c r="AJ100" s="6"/>
      <c r="AK100" s="6"/>
      <c r="AL100" s="6">
        <v>0</v>
      </c>
      <c r="AM100" s="6">
        <v>0</v>
      </c>
      <c r="AN100" s="6">
        <v>0</v>
      </c>
      <c r="AO100" s="6">
        <v>0</v>
      </c>
      <c r="AP100" s="6"/>
      <c r="AQ100" s="6"/>
      <c r="AR100" s="6"/>
      <c r="AS100" s="6"/>
      <c r="AT100" s="6">
        <v>2</v>
      </c>
      <c r="AU100" s="6">
        <f t="shared" si="114"/>
        <v>0</v>
      </c>
      <c r="AV100" s="6">
        <f t="shared" si="115"/>
        <v>0</v>
      </c>
      <c r="AW100" s="6">
        <f t="shared" si="116"/>
        <v>0</v>
      </c>
      <c r="AX100" s="6"/>
      <c r="AY100" s="6">
        <f t="shared" si="117"/>
        <v>287231.02164036</v>
      </c>
      <c r="AZ100" s="6">
        <f t="shared" si="118"/>
        <v>710330.5461681945</v>
      </c>
      <c r="BA100" s="6">
        <f t="shared" si="119"/>
        <v>0</v>
      </c>
      <c r="BB100" s="6">
        <f t="shared" si="120"/>
        <v>0</v>
      </c>
      <c r="BC100" s="6">
        <f t="shared" si="121"/>
        <v>0</v>
      </c>
      <c r="BD100" s="6">
        <f t="shared" si="122"/>
        <v>290.6</v>
      </c>
      <c r="BE100" s="6">
        <v>0</v>
      </c>
      <c r="BF100" s="6">
        <f t="shared" si="123"/>
        <v>997852.1678085545</v>
      </c>
      <c r="BG100" s="6">
        <f t="shared" si="124"/>
        <v>483958.3013871489</v>
      </c>
      <c r="BH100" s="6"/>
      <c r="BK100" s="30" t="str">
        <f t="shared" si="125"/>
        <v>Stenlien Vandværk Amba</v>
      </c>
      <c r="BL100" s="23">
        <f t="shared" si="126"/>
        <v>28.78492735764317</v>
      </c>
      <c r="BM100" s="23">
        <f t="shared" si="127"/>
        <v>71.18595009200568</v>
      </c>
      <c r="BN100" s="23">
        <f t="shared" si="128"/>
        <v>0</v>
      </c>
      <c r="BO100" s="23">
        <f t="shared" si="129"/>
        <v>0</v>
      </c>
      <c r="BP100" s="23">
        <f t="shared" si="130"/>
        <v>0</v>
      </c>
      <c r="BQ100" s="23">
        <f t="shared" si="131"/>
        <v>0.029122550351141176</v>
      </c>
      <c r="BR100" s="23"/>
      <c r="BS100" s="23">
        <f t="shared" si="132"/>
        <v>0.029122550351141176</v>
      </c>
      <c r="BT100" s="23"/>
      <c r="BU100" s="23">
        <f t="shared" si="89"/>
        <v>-17.650038052703994</v>
      </c>
      <c r="BV100" s="23">
        <f t="shared" si="90"/>
        <v>-39.38996031324881</v>
      </c>
      <c r="BW100" s="23">
        <f t="shared" si="91"/>
        <v>4.338265408991401</v>
      </c>
      <c r="BX100" s="23">
        <f t="shared" si="92"/>
        <v>23.805289026968207</v>
      </c>
      <c r="BY100" s="23">
        <f t="shared" si="93"/>
        <v>15.586446410827755</v>
      </c>
      <c r="BZ100" s="23">
        <f t="shared" si="94"/>
        <v>13.309997519165432</v>
      </c>
      <c r="CA100" s="23"/>
      <c r="CB100" s="23">
        <f t="shared" si="95"/>
        <v>28.896443929993183</v>
      </c>
      <c r="CC100" s="23">
        <f t="shared" si="96"/>
        <v>0</v>
      </c>
    </row>
    <row r="101" spans="1:81" ht="15" customHeight="1">
      <c r="A101" s="1" t="s">
        <v>101</v>
      </c>
      <c r="B101" s="10">
        <v>1357519</v>
      </c>
      <c r="C101" s="10">
        <f t="shared" si="97"/>
        <v>1364306.5949999997</v>
      </c>
      <c r="D101" s="10">
        <v>1025875</v>
      </c>
      <c r="E101" s="10">
        <v>0</v>
      </c>
      <c r="F101" s="23" t="str">
        <f t="shared" si="98"/>
        <v>ingen</v>
      </c>
      <c r="G101" s="10"/>
      <c r="H101" s="10">
        <f t="shared" si="99"/>
        <v>1025875</v>
      </c>
      <c r="I101" s="10"/>
      <c r="J101" s="10">
        <f t="shared" si="100"/>
        <v>1694948.895591973</v>
      </c>
      <c r="K101" s="10">
        <f t="shared" si="101"/>
        <v>1820732.6137072004</v>
      </c>
      <c r="L101" s="10"/>
      <c r="M101" s="10">
        <f t="shared" si="102"/>
        <v>2002711.395591973</v>
      </c>
      <c r="N101" s="10">
        <f t="shared" si="103"/>
        <v>2128495.1137072006</v>
      </c>
      <c r="P101" s="23">
        <f>'Potentialer og krav'!U101</f>
        <v>0</v>
      </c>
      <c r="Q101" s="10"/>
      <c r="R101" s="23">
        <f t="shared" si="104"/>
        <v>6787.595</v>
      </c>
      <c r="S101" s="23">
        <f t="shared" si="105"/>
        <v>31379.051684999995</v>
      </c>
      <c r="T101" s="23">
        <f t="shared" si="106"/>
        <v>1025875</v>
      </c>
      <c r="U101" s="23">
        <f t="shared" si="107"/>
        <v>23595.125</v>
      </c>
      <c r="V101" s="23">
        <f t="shared" si="108"/>
        <v>1049470.125</v>
      </c>
      <c r="W101" s="23">
        <f t="shared" si="109"/>
        <v>1395685.6466849996</v>
      </c>
      <c r="X101" s="23">
        <f t="shared" si="110"/>
        <v>23595.125</v>
      </c>
      <c r="Y101" s="23">
        <f t="shared" si="111"/>
        <v>1049470.125</v>
      </c>
      <c r="Z101" s="23">
        <f t="shared" si="112"/>
        <v>346215.5216849996</v>
      </c>
      <c r="AA101" s="23" t="str">
        <f t="shared" si="113"/>
        <v>ingen</v>
      </c>
      <c r="AB101" s="23"/>
      <c r="AC101" s="35" t="s">
        <v>101</v>
      </c>
      <c r="AD101" s="6">
        <v>170</v>
      </c>
      <c r="AE101" s="6">
        <v>277602</v>
      </c>
      <c r="AF101" s="6">
        <v>261824</v>
      </c>
      <c r="AG101" s="6">
        <v>3</v>
      </c>
      <c r="AH101" s="6">
        <v>3</v>
      </c>
      <c r="AI101" s="6"/>
      <c r="AJ101" s="6"/>
      <c r="AK101" s="6"/>
      <c r="AL101" s="6"/>
      <c r="AM101" s="6">
        <v>34</v>
      </c>
      <c r="AN101" s="6"/>
      <c r="AO101" s="6"/>
      <c r="AP101" s="6"/>
      <c r="AQ101" s="6">
        <v>1594</v>
      </c>
      <c r="AR101" s="6"/>
      <c r="AS101" s="6"/>
      <c r="AT101" s="6">
        <v>1594</v>
      </c>
      <c r="AU101" s="6">
        <f t="shared" si="114"/>
        <v>6</v>
      </c>
      <c r="AV101" s="6">
        <f t="shared" si="115"/>
        <v>0</v>
      </c>
      <c r="AW101" s="6">
        <f t="shared" si="116"/>
        <v>0</v>
      </c>
      <c r="AX101" s="6"/>
      <c r="AY101" s="6">
        <f t="shared" si="117"/>
        <v>196237.88995064187</v>
      </c>
      <c r="AZ101" s="6">
        <f t="shared" si="118"/>
        <v>471538.8056413311</v>
      </c>
      <c r="BA101" s="6">
        <f t="shared" si="119"/>
        <v>319224</v>
      </c>
      <c r="BB101" s="6">
        <f t="shared" si="120"/>
        <v>205360</v>
      </c>
      <c r="BC101" s="6">
        <f t="shared" si="121"/>
        <v>270980</v>
      </c>
      <c r="BD101" s="6">
        <f t="shared" si="122"/>
        <v>231608.2</v>
      </c>
      <c r="BE101" s="6">
        <v>32.73394004</v>
      </c>
      <c r="BF101" s="6">
        <f t="shared" si="123"/>
        <v>1694948.895591973</v>
      </c>
      <c r="BG101" s="6">
        <f t="shared" si="124"/>
        <v>1820732.6137072004</v>
      </c>
      <c r="BH101" s="6"/>
      <c r="BK101" s="30" t="str">
        <f t="shared" si="125"/>
        <v>Strømmen Vandværk</v>
      </c>
      <c r="BL101" s="23">
        <f t="shared" si="126"/>
        <v>11.577805706177612</v>
      </c>
      <c r="BM101" s="23">
        <f t="shared" si="127"/>
        <v>27.820237345660075</v>
      </c>
      <c r="BN101" s="23">
        <f t="shared" si="128"/>
        <v>18.833842178380767</v>
      </c>
      <c r="BO101" s="23">
        <f t="shared" si="129"/>
        <v>12.115999516804106</v>
      </c>
      <c r="BP101" s="23">
        <f t="shared" si="130"/>
        <v>15.987502673663698</v>
      </c>
      <c r="BQ101" s="23">
        <f t="shared" si="131"/>
        <v>13.664612579313737</v>
      </c>
      <c r="BR101" s="23"/>
      <c r="BS101" s="23">
        <f t="shared" si="132"/>
        <v>29.652115252977435</v>
      </c>
      <c r="BT101" s="23"/>
      <c r="BU101" s="23">
        <f aca="true" t="shared" si="133" ref="BU101:BU125">$BL$128-BL101</f>
        <v>-0.44291640123843656</v>
      </c>
      <c r="BV101" s="23">
        <f aca="true" t="shared" si="134" ref="BV101:BV125">$BM$128-BM101</f>
        <v>3.9757524330967975</v>
      </c>
      <c r="BW101" s="23">
        <f aca="true" t="shared" si="135" ref="BW101:BW125">$BN$128-BN101</f>
        <v>-14.495576769389366</v>
      </c>
      <c r="BX101" s="23">
        <f aca="true" t="shared" si="136" ref="BX101:BX125">$BO$128-BO101</f>
        <v>11.689289510164102</v>
      </c>
      <c r="BY101" s="23">
        <f aca="true" t="shared" si="137" ref="BY101:BY125">$BP$128-BP101</f>
        <v>-0.40105626283594376</v>
      </c>
      <c r="BZ101" s="23">
        <f aca="true" t="shared" si="138" ref="BZ101:BZ125">$BQ$128-BQ101</f>
        <v>-0.32549250979716327</v>
      </c>
      <c r="CA101" s="23"/>
      <c r="CB101" s="23">
        <f aca="true" t="shared" si="139" ref="CB101:CB125">$BS$128-BS101</f>
        <v>-0.7265487726331123</v>
      </c>
      <c r="CC101" s="23">
        <f aca="true" t="shared" si="140" ref="CC101:CC132">IF(CB101&lt;$BS$132,(CB101-$BS$132)*0.66*0.7,0)</f>
        <v>0</v>
      </c>
    </row>
    <row r="102" spans="1:81" ht="15" customHeight="1">
      <c r="A102" s="1" t="s">
        <v>102</v>
      </c>
      <c r="B102" s="10">
        <v>15431535</v>
      </c>
      <c r="C102" s="10">
        <f t="shared" si="97"/>
        <v>15508692.674999999</v>
      </c>
      <c r="D102" s="10">
        <v>14484342.7200794</v>
      </c>
      <c r="E102" s="10">
        <v>5407925.942588228</v>
      </c>
      <c r="F102" s="23" t="str">
        <f t="shared" si="98"/>
        <v>ingen</v>
      </c>
      <c r="G102" s="10"/>
      <c r="H102" s="10">
        <f t="shared" si="99"/>
        <v>14484342.7200794</v>
      </c>
      <c r="I102" s="10"/>
      <c r="J102" s="10">
        <f t="shared" si="100"/>
        <v>15316888.37285931</v>
      </c>
      <c r="K102" s="10">
        <f t="shared" si="101"/>
        <v>14631304.3046987</v>
      </c>
      <c r="L102" s="10"/>
      <c r="M102" s="10">
        <f t="shared" si="102"/>
        <v>19662191.18888313</v>
      </c>
      <c r="N102" s="10">
        <f t="shared" si="103"/>
        <v>18976607.12072252</v>
      </c>
      <c r="P102" s="23">
        <f>'Potentialer og krav'!U102</f>
        <v>708251.162416863</v>
      </c>
      <c r="Q102" s="10"/>
      <c r="R102" s="23">
        <f t="shared" si="104"/>
        <v>77157.675</v>
      </c>
      <c r="S102" s="23">
        <f t="shared" si="105"/>
        <v>356699.93152499996</v>
      </c>
      <c r="T102" s="23">
        <f t="shared" si="106"/>
        <v>9076416.77749117</v>
      </c>
      <c r="U102" s="23">
        <f t="shared" si="107"/>
        <v>333139.8825618262</v>
      </c>
      <c r="V102" s="23">
        <f t="shared" si="108"/>
        <v>14817482.602641225</v>
      </c>
      <c r="W102" s="23">
        <f t="shared" si="109"/>
        <v>15865392.606524998</v>
      </c>
      <c r="X102" s="23">
        <f t="shared" si="110"/>
        <v>333139.8825618262</v>
      </c>
      <c r="Y102" s="23">
        <f t="shared" si="111"/>
        <v>14817482.602641225</v>
      </c>
      <c r="Z102" s="23">
        <f t="shared" si="112"/>
        <v>1047910.0038837735</v>
      </c>
      <c r="AA102" s="23" t="str">
        <f t="shared" si="113"/>
        <v>ingen</v>
      </c>
      <c r="AB102" s="23"/>
      <c r="AC102" s="35" t="s">
        <v>102</v>
      </c>
      <c r="AD102" s="6">
        <v>1090</v>
      </c>
      <c r="AE102" s="6">
        <v>2305214</v>
      </c>
      <c r="AF102" s="6">
        <v>2254869</v>
      </c>
      <c r="AG102" s="6">
        <v>5</v>
      </c>
      <c r="AH102" s="6">
        <v>1</v>
      </c>
      <c r="AI102" s="6">
        <v>1</v>
      </c>
      <c r="AJ102" s="6">
        <v>0</v>
      </c>
      <c r="AK102" s="6">
        <v>0</v>
      </c>
      <c r="AL102" s="6">
        <v>234</v>
      </c>
      <c r="AM102" s="6">
        <v>177</v>
      </c>
      <c r="AN102" s="6">
        <v>36</v>
      </c>
      <c r="AO102" s="6">
        <v>0</v>
      </c>
      <c r="AP102" s="6">
        <v>4937</v>
      </c>
      <c r="AQ102" s="6">
        <v>6515</v>
      </c>
      <c r="AR102" s="6">
        <v>816</v>
      </c>
      <c r="AS102" s="6">
        <v>0</v>
      </c>
      <c r="AT102" s="6">
        <v>14151</v>
      </c>
      <c r="AU102" s="6">
        <f t="shared" si="114"/>
        <v>6</v>
      </c>
      <c r="AV102" s="6">
        <f t="shared" si="115"/>
        <v>1</v>
      </c>
      <c r="AW102" s="6">
        <f t="shared" si="116"/>
        <v>0</v>
      </c>
      <c r="AX102" s="6"/>
      <c r="AY102" s="6">
        <f t="shared" si="117"/>
        <v>1755532.5779741877</v>
      </c>
      <c r="AZ102" s="6">
        <f t="shared" si="118"/>
        <v>4313327.494885122</v>
      </c>
      <c r="BA102" s="6">
        <f t="shared" si="119"/>
        <v>444448</v>
      </c>
      <c r="BB102" s="6">
        <f t="shared" si="120"/>
        <v>4368120</v>
      </c>
      <c r="BC102" s="6">
        <f t="shared" si="121"/>
        <v>2379320</v>
      </c>
      <c r="BD102" s="6">
        <f t="shared" si="122"/>
        <v>2056140.3</v>
      </c>
      <c r="BE102" s="6">
        <v>26.12444392</v>
      </c>
      <c r="BF102" s="6">
        <f t="shared" si="123"/>
        <v>15316888.37285931</v>
      </c>
      <c r="BG102" s="6">
        <f t="shared" si="124"/>
        <v>14631304.3046987</v>
      </c>
      <c r="BH102" s="6"/>
      <c r="BK102" s="30" t="str">
        <f t="shared" si="125"/>
        <v>Svendborg Vand A/S</v>
      </c>
      <c r="BL102" s="23">
        <f t="shared" si="126"/>
        <v>11.461417849626008</v>
      </c>
      <c r="BM102" s="23">
        <f t="shared" si="127"/>
        <v>28.160598875474623</v>
      </c>
      <c r="BN102" s="23">
        <f t="shared" si="128"/>
        <v>2.9016859637596992</v>
      </c>
      <c r="BO102" s="23">
        <f t="shared" si="129"/>
        <v>28.518324960440854</v>
      </c>
      <c r="BP102" s="23">
        <f t="shared" si="130"/>
        <v>15.533964484692762</v>
      </c>
      <c r="BQ102" s="23">
        <f t="shared" si="131"/>
        <v>13.424007866006052</v>
      </c>
      <c r="BR102" s="23"/>
      <c r="BS102" s="23">
        <f t="shared" si="132"/>
        <v>28.957972350698814</v>
      </c>
      <c r="BT102" s="23"/>
      <c r="BU102" s="23">
        <f t="shared" si="133"/>
        <v>-0.32652854468683223</v>
      </c>
      <c r="BV102" s="23">
        <f t="shared" si="134"/>
        <v>3.63539090328225</v>
      </c>
      <c r="BW102" s="23">
        <f t="shared" si="135"/>
        <v>1.4365794452317013</v>
      </c>
      <c r="BX102" s="23">
        <f t="shared" si="136"/>
        <v>-4.713035933472646</v>
      </c>
      <c r="BY102" s="23">
        <f t="shared" si="137"/>
        <v>0.05248192613499292</v>
      </c>
      <c r="BZ102" s="23">
        <f t="shared" si="138"/>
        <v>-0.08488779648947897</v>
      </c>
      <c r="CA102" s="23"/>
      <c r="CB102" s="23">
        <f t="shared" si="139"/>
        <v>-0.032405870354491384</v>
      </c>
      <c r="CC102" s="23">
        <f t="shared" si="140"/>
        <v>0</v>
      </c>
    </row>
    <row r="103" spans="1:81" ht="15" customHeight="1">
      <c r="A103" s="1" t="s">
        <v>103</v>
      </c>
      <c r="B103" s="10">
        <v>1733271</v>
      </c>
      <c r="C103" s="10">
        <f t="shared" si="97"/>
        <v>1741937.3549999997</v>
      </c>
      <c r="D103" s="10">
        <v>1622275.5780728</v>
      </c>
      <c r="E103" s="10">
        <v>141574.9698956699</v>
      </c>
      <c r="F103" s="23" t="str">
        <f t="shared" si="98"/>
        <v>ingen</v>
      </c>
      <c r="G103" s="10"/>
      <c r="H103" s="10">
        <f t="shared" si="99"/>
        <v>1622275.5780728</v>
      </c>
      <c r="I103" s="10"/>
      <c r="J103" s="10">
        <f t="shared" si="100"/>
        <v>2477171.08076405</v>
      </c>
      <c r="K103" s="10">
        <f t="shared" si="101"/>
        <v>2583975.7958853</v>
      </c>
      <c r="L103" s="10"/>
      <c r="M103" s="10">
        <f t="shared" si="102"/>
        <v>2963853.7541858903</v>
      </c>
      <c r="N103" s="10">
        <f t="shared" si="103"/>
        <v>3070658.46930714</v>
      </c>
      <c r="P103" s="23">
        <f>'Potentialer og krav'!U103</f>
        <v>0</v>
      </c>
      <c r="Q103" s="10"/>
      <c r="R103" s="23">
        <f t="shared" si="104"/>
        <v>8666.355</v>
      </c>
      <c r="S103" s="23">
        <f t="shared" si="105"/>
        <v>40064.55916499999</v>
      </c>
      <c r="T103" s="23">
        <f t="shared" si="106"/>
        <v>1480700.60817713</v>
      </c>
      <c r="U103" s="23">
        <f t="shared" si="107"/>
        <v>37312.3382956744</v>
      </c>
      <c r="V103" s="23">
        <f t="shared" si="108"/>
        <v>1659587.9163684743</v>
      </c>
      <c r="W103" s="23">
        <f t="shared" si="109"/>
        <v>1782001.9141649995</v>
      </c>
      <c r="X103" s="23">
        <f t="shared" si="110"/>
        <v>37312.3382956744</v>
      </c>
      <c r="Y103" s="23">
        <f t="shared" si="111"/>
        <v>1659587.9163684743</v>
      </c>
      <c r="Z103" s="23">
        <f t="shared" si="112"/>
        <v>122413.99779652525</v>
      </c>
      <c r="AA103" s="23" t="str">
        <f t="shared" si="113"/>
        <v>ingen</v>
      </c>
      <c r="AB103" s="23"/>
      <c r="AC103" s="35" t="s">
        <v>103</v>
      </c>
      <c r="AD103" s="6">
        <v>27</v>
      </c>
      <c r="AE103" s="6">
        <v>632000</v>
      </c>
      <c r="AF103" s="6">
        <v>624000</v>
      </c>
      <c r="AG103" s="6">
        <v>1</v>
      </c>
      <c r="AH103" s="6"/>
      <c r="AI103" s="6"/>
      <c r="AJ103" s="6"/>
      <c r="AK103" s="6"/>
      <c r="AL103" s="6">
        <v>33</v>
      </c>
      <c r="AM103" s="6">
        <v>52</v>
      </c>
      <c r="AN103" s="6"/>
      <c r="AO103" s="6"/>
      <c r="AP103" s="6">
        <v>250</v>
      </c>
      <c r="AQ103" s="6">
        <v>1273</v>
      </c>
      <c r="AR103" s="6"/>
      <c r="AS103" s="6"/>
      <c r="AT103" s="6">
        <v>1522</v>
      </c>
      <c r="AU103" s="6">
        <f t="shared" si="114"/>
        <v>1</v>
      </c>
      <c r="AV103" s="6">
        <f t="shared" si="115"/>
        <v>0</v>
      </c>
      <c r="AW103" s="6">
        <f t="shared" si="116"/>
        <v>0</v>
      </c>
      <c r="AX103" s="6"/>
      <c r="AY103" s="6">
        <f t="shared" si="117"/>
        <v>279038.2227075196</v>
      </c>
      <c r="AZ103" s="6">
        <f t="shared" si="118"/>
        <v>1151472.2580565307</v>
      </c>
      <c r="BA103" s="6">
        <f t="shared" si="119"/>
        <v>53204</v>
      </c>
      <c r="BB103" s="6">
        <f t="shared" si="120"/>
        <v>513400</v>
      </c>
      <c r="BC103" s="6">
        <f t="shared" si="121"/>
        <v>258910</v>
      </c>
      <c r="BD103" s="6">
        <f t="shared" si="122"/>
        <v>221146.6</v>
      </c>
      <c r="BE103" s="6">
        <v>31.00642217</v>
      </c>
      <c r="BF103" s="6">
        <f t="shared" si="123"/>
        <v>2477171.08076405</v>
      </c>
      <c r="BG103" s="6">
        <f t="shared" si="124"/>
        <v>2583975.7958853</v>
      </c>
      <c r="BH103" s="6"/>
      <c r="BK103" s="30" t="str">
        <f t="shared" si="125"/>
        <v>Svinninge Vandværk</v>
      </c>
      <c r="BL103" s="23">
        <f t="shared" si="126"/>
        <v>11.264390452251446</v>
      </c>
      <c r="BM103" s="23">
        <f t="shared" si="127"/>
        <v>46.483356236395856</v>
      </c>
      <c r="BN103" s="23">
        <f t="shared" si="128"/>
        <v>2.1477725302521273</v>
      </c>
      <c r="BO103" s="23">
        <f t="shared" si="129"/>
        <v>20.725254060436097</v>
      </c>
      <c r="BP103" s="23">
        <f t="shared" si="130"/>
        <v>10.451841700014628</v>
      </c>
      <c r="BQ103" s="23">
        <f t="shared" si="131"/>
        <v>8.927385020649858</v>
      </c>
      <c r="BR103" s="23"/>
      <c r="BS103" s="23">
        <f t="shared" si="132"/>
        <v>19.379226720664484</v>
      </c>
      <c r="BT103" s="23"/>
      <c r="BU103" s="23">
        <f t="shared" si="133"/>
        <v>-0.12950114731227025</v>
      </c>
      <c r="BV103" s="23">
        <f t="shared" si="134"/>
        <v>-14.687366457638984</v>
      </c>
      <c r="BW103" s="23">
        <f t="shared" si="135"/>
        <v>2.1904928787392732</v>
      </c>
      <c r="BX103" s="23">
        <f t="shared" si="136"/>
        <v>3.0800349665321107</v>
      </c>
      <c r="BY103" s="23">
        <f t="shared" si="137"/>
        <v>5.134604710813127</v>
      </c>
      <c r="BZ103" s="23">
        <f t="shared" si="138"/>
        <v>4.411735048866715</v>
      </c>
      <c r="CA103" s="23"/>
      <c r="CB103" s="23">
        <f t="shared" si="139"/>
        <v>9.546339759679839</v>
      </c>
      <c r="CC103" s="23">
        <f t="shared" si="140"/>
        <v>0</v>
      </c>
    </row>
    <row r="104" spans="1:81" ht="15" customHeight="1">
      <c r="A104" s="1" t="s">
        <v>104</v>
      </c>
      <c r="B104" s="10">
        <v>20516614</v>
      </c>
      <c r="C104" s="10">
        <f t="shared" si="97"/>
        <v>20619197.069999997</v>
      </c>
      <c r="D104" s="10">
        <v>17201152.230353</v>
      </c>
      <c r="E104" s="10">
        <v>4800867.239028688</v>
      </c>
      <c r="F104" s="23" t="str">
        <f t="shared" si="98"/>
        <v>ingen</v>
      </c>
      <c r="G104" s="10"/>
      <c r="H104" s="10">
        <f t="shared" si="99"/>
        <v>17201152.230353</v>
      </c>
      <c r="I104" s="10"/>
      <c r="J104" s="10">
        <f t="shared" si="100"/>
        <v>23111201.21178666</v>
      </c>
      <c r="K104" s="10">
        <f t="shared" si="101"/>
        <v>23758473.36215562</v>
      </c>
      <c r="L104" s="10"/>
      <c r="M104" s="10">
        <f t="shared" si="102"/>
        <v>28271546.88089256</v>
      </c>
      <c r="N104" s="10">
        <f t="shared" si="103"/>
        <v>28918819.03126152</v>
      </c>
      <c r="P104" s="23">
        <f>'Potentialer og krav'!U104</f>
        <v>0</v>
      </c>
      <c r="Q104" s="10"/>
      <c r="R104" s="23">
        <f t="shared" si="104"/>
        <v>102583.07</v>
      </c>
      <c r="S104" s="23">
        <f t="shared" si="105"/>
        <v>474241.53260999994</v>
      </c>
      <c r="T104" s="23">
        <f t="shared" si="106"/>
        <v>12400284.991324313</v>
      </c>
      <c r="U104" s="23">
        <f t="shared" si="107"/>
        <v>395626.501298119</v>
      </c>
      <c r="V104" s="23">
        <f t="shared" si="108"/>
        <v>17596778.73165112</v>
      </c>
      <c r="W104" s="23">
        <f t="shared" si="109"/>
        <v>21093438.602609996</v>
      </c>
      <c r="X104" s="23">
        <f t="shared" si="110"/>
        <v>395626.501298119</v>
      </c>
      <c r="Y104" s="23">
        <f t="shared" si="111"/>
        <v>17596778.73165112</v>
      </c>
      <c r="Z104" s="23">
        <f t="shared" si="112"/>
        <v>3496659.870958876</v>
      </c>
      <c r="AA104" s="23" t="str">
        <f t="shared" si="113"/>
        <v>ingen</v>
      </c>
      <c r="AB104" s="23"/>
      <c r="AC104" s="35" t="s">
        <v>104</v>
      </c>
      <c r="AD104" s="6">
        <v>1707</v>
      </c>
      <c r="AE104" s="6">
        <v>3933805</v>
      </c>
      <c r="AF104" s="6">
        <v>3933805</v>
      </c>
      <c r="AG104" s="6">
        <v>15</v>
      </c>
      <c r="AH104" s="6"/>
      <c r="AI104" s="6"/>
      <c r="AJ104" s="6"/>
      <c r="AK104" s="6"/>
      <c r="AL104" s="6">
        <v>633</v>
      </c>
      <c r="AM104" s="6">
        <v>173</v>
      </c>
      <c r="AN104" s="6">
        <v>7</v>
      </c>
      <c r="AO104" s="6">
        <v>0</v>
      </c>
      <c r="AP104" s="6">
        <v>4897</v>
      </c>
      <c r="AQ104" s="6">
        <v>6687</v>
      </c>
      <c r="AR104" s="6">
        <v>460</v>
      </c>
      <c r="AS104" s="6">
        <v>0</v>
      </c>
      <c r="AT104" s="6">
        <v>12850</v>
      </c>
      <c r="AU104" s="6">
        <f t="shared" si="114"/>
        <v>15</v>
      </c>
      <c r="AV104" s="6">
        <f t="shared" si="115"/>
        <v>0</v>
      </c>
      <c r="AW104" s="6">
        <f t="shared" si="116"/>
        <v>0</v>
      </c>
      <c r="AX104" s="6"/>
      <c r="AY104" s="6">
        <f t="shared" si="117"/>
        <v>3040409.1261385116</v>
      </c>
      <c r="AZ104" s="6">
        <f t="shared" si="118"/>
        <v>7643131.085648149</v>
      </c>
      <c r="BA104" s="6">
        <f t="shared" si="119"/>
        <v>798060</v>
      </c>
      <c r="BB104" s="6">
        <f t="shared" si="120"/>
        <v>5234900</v>
      </c>
      <c r="BC104" s="6">
        <f t="shared" si="121"/>
        <v>2213080</v>
      </c>
      <c r="BD104" s="6">
        <f t="shared" si="122"/>
        <v>1867105.0000000002</v>
      </c>
      <c r="BE104" s="6">
        <v>30.167047714313174</v>
      </c>
      <c r="BF104" s="6">
        <f t="shared" si="123"/>
        <v>23111201.21178666</v>
      </c>
      <c r="BG104" s="6">
        <f t="shared" si="124"/>
        <v>23758473.36215562</v>
      </c>
      <c r="BH104" s="6">
        <f>2179162+135354</f>
        <v>2314516</v>
      </c>
      <c r="BK104" s="30" t="str">
        <f t="shared" si="125"/>
        <v>Thisted Drikkevand A/S</v>
      </c>
      <c r="BL104" s="23">
        <f t="shared" si="126"/>
        <v>14.619681430843311</v>
      </c>
      <c r="BM104" s="23">
        <f t="shared" si="127"/>
        <v>36.75167945185973</v>
      </c>
      <c r="BN104" s="23">
        <f t="shared" si="128"/>
        <v>3.8374384757610036</v>
      </c>
      <c r="BO104" s="23">
        <f t="shared" si="129"/>
        <v>25.17179996085667</v>
      </c>
      <c r="BP104" s="23">
        <f t="shared" si="130"/>
        <v>10.6415035735874</v>
      </c>
      <c r="BQ104" s="23">
        <f t="shared" si="131"/>
        <v>8.977897107091884</v>
      </c>
      <c r="BR104" s="23"/>
      <c r="BS104" s="23">
        <f t="shared" si="132"/>
        <v>19.619400680679284</v>
      </c>
      <c r="BT104" s="23"/>
      <c r="BU104" s="23">
        <f t="shared" si="133"/>
        <v>-3.4847921259041357</v>
      </c>
      <c r="BV104" s="23">
        <f t="shared" si="134"/>
        <v>-4.955689673102857</v>
      </c>
      <c r="BW104" s="23">
        <f t="shared" si="135"/>
        <v>0.500826933230397</v>
      </c>
      <c r="BX104" s="23">
        <f t="shared" si="136"/>
        <v>-1.3665109338884633</v>
      </c>
      <c r="BY104" s="23">
        <f t="shared" si="137"/>
        <v>4.9449428372403545</v>
      </c>
      <c r="BZ104" s="23">
        <f t="shared" si="138"/>
        <v>4.361222962424689</v>
      </c>
      <c r="CA104" s="23"/>
      <c r="CB104" s="23">
        <f t="shared" si="139"/>
        <v>9.306165799665038</v>
      </c>
      <c r="CC104" s="23">
        <f t="shared" si="140"/>
        <v>0</v>
      </c>
    </row>
    <row r="105" spans="1:81" ht="15" customHeight="1">
      <c r="A105" s="1" t="s">
        <v>105</v>
      </c>
      <c r="B105" s="10">
        <v>1673936</v>
      </c>
      <c r="C105" s="10">
        <f t="shared" si="97"/>
        <v>1682305.68</v>
      </c>
      <c r="D105" s="10">
        <v>1248207.9849036</v>
      </c>
      <c r="E105" s="10">
        <v>77509.94212690389</v>
      </c>
      <c r="F105" s="23" t="str">
        <f t="shared" si="98"/>
        <v>ingen</v>
      </c>
      <c r="G105" s="10"/>
      <c r="H105" s="10">
        <f t="shared" si="99"/>
        <v>1248207.9849036</v>
      </c>
      <c r="I105" s="10"/>
      <c r="J105" s="10">
        <f t="shared" si="100"/>
        <v>1975609.3457674808</v>
      </c>
      <c r="K105" s="10">
        <f t="shared" si="101"/>
        <v>1779230.5354554518</v>
      </c>
      <c r="L105" s="10"/>
      <c r="M105" s="10">
        <f t="shared" si="102"/>
        <v>2350071.741238561</v>
      </c>
      <c r="N105" s="10">
        <f t="shared" si="103"/>
        <v>2153692.930926532</v>
      </c>
      <c r="P105" s="23">
        <f>'Potentialer og krav'!U105</f>
        <v>0</v>
      </c>
      <c r="Q105" s="10"/>
      <c r="R105" s="23">
        <f t="shared" si="104"/>
        <v>8369.68</v>
      </c>
      <c r="S105" s="23">
        <f t="shared" si="105"/>
        <v>38693.03064</v>
      </c>
      <c r="T105" s="23">
        <f t="shared" si="106"/>
        <v>1170698.0427766962</v>
      </c>
      <c r="U105" s="23">
        <f t="shared" si="107"/>
        <v>28708.7836527828</v>
      </c>
      <c r="V105" s="23">
        <f t="shared" si="108"/>
        <v>1276916.7685563827</v>
      </c>
      <c r="W105" s="23">
        <f t="shared" si="109"/>
        <v>1720998.7106399997</v>
      </c>
      <c r="X105" s="23">
        <f t="shared" si="110"/>
        <v>28708.7836527828</v>
      </c>
      <c r="Y105" s="23">
        <f t="shared" si="111"/>
        <v>1276916.7685563827</v>
      </c>
      <c r="Z105" s="23">
        <f t="shared" si="112"/>
        <v>444081.942083617</v>
      </c>
      <c r="AA105" s="23" t="str">
        <f t="shared" si="113"/>
        <v>ingen</v>
      </c>
      <c r="AB105" s="23"/>
      <c r="AC105" s="35" t="s">
        <v>105</v>
      </c>
      <c r="AD105" s="6">
        <v>8</v>
      </c>
      <c r="AE105" s="6">
        <v>361129</v>
      </c>
      <c r="AF105" s="6">
        <v>361129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64</v>
      </c>
      <c r="AM105" s="6">
        <v>38</v>
      </c>
      <c r="AN105" s="6">
        <v>0</v>
      </c>
      <c r="AO105" s="6">
        <v>0</v>
      </c>
      <c r="AP105" s="6">
        <v>598</v>
      </c>
      <c r="AQ105" s="6">
        <v>1202</v>
      </c>
      <c r="AR105" s="6">
        <v>0</v>
      </c>
      <c r="AS105" s="6">
        <v>0</v>
      </c>
      <c r="AT105" s="6">
        <v>1800</v>
      </c>
      <c r="AU105" s="6">
        <f t="shared" si="114"/>
        <v>0</v>
      </c>
      <c r="AV105" s="6">
        <f t="shared" si="115"/>
        <v>0</v>
      </c>
      <c r="AW105" s="6">
        <f t="shared" si="116"/>
        <v>0</v>
      </c>
      <c r="AX105" s="6"/>
      <c r="AY105" s="6">
        <f t="shared" si="117"/>
        <v>135722.24617362965</v>
      </c>
      <c r="AZ105" s="6">
        <f t="shared" si="118"/>
        <v>656267.099593851</v>
      </c>
      <c r="BA105" s="6">
        <f t="shared" si="119"/>
        <v>0</v>
      </c>
      <c r="BB105" s="6">
        <f t="shared" si="120"/>
        <v>616080</v>
      </c>
      <c r="BC105" s="6">
        <f t="shared" si="121"/>
        <v>306000</v>
      </c>
      <c r="BD105" s="6">
        <f t="shared" si="122"/>
        <v>261540.00000000003</v>
      </c>
      <c r="BE105" s="6">
        <v>23.08879774</v>
      </c>
      <c r="BF105" s="6">
        <f t="shared" si="123"/>
        <v>1975609.3457674808</v>
      </c>
      <c r="BG105" s="6">
        <f t="shared" si="124"/>
        <v>1779230.5354554518</v>
      </c>
      <c r="BH105" s="6"/>
      <c r="BK105" s="30" t="str">
        <f t="shared" si="125"/>
        <v>Tinglev Vandværk</v>
      </c>
      <c r="BL105" s="23">
        <f t="shared" si="126"/>
        <v>6.869892899848808</v>
      </c>
      <c r="BM105" s="23">
        <f t="shared" si="127"/>
        <v>33.21846502699681</v>
      </c>
      <c r="BN105" s="23">
        <f t="shared" si="128"/>
        <v>0</v>
      </c>
      <c r="BO105" s="23">
        <f t="shared" si="129"/>
        <v>31.184302773211797</v>
      </c>
      <c r="BP105" s="23">
        <f t="shared" si="130"/>
        <v>15.488892105899902</v>
      </c>
      <c r="BQ105" s="23">
        <f t="shared" si="131"/>
        <v>13.238447194042683</v>
      </c>
      <c r="BR105" s="23"/>
      <c r="BS105" s="23">
        <f t="shared" si="132"/>
        <v>28.727339299942585</v>
      </c>
      <c r="BT105" s="23"/>
      <c r="BU105" s="23">
        <f t="shared" si="133"/>
        <v>4.2649964050903675</v>
      </c>
      <c r="BV105" s="23">
        <f t="shared" si="134"/>
        <v>-1.4224752482399374</v>
      </c>
      <c r="BW105" s="23">
        <f t="shared" si="135"/>
        <v>4.338265408991401</v>
      </c>
      <c r="BX105" s="23">
        <f t="shared" si="136"/>
        <v>-7.37901374624359</v>
      </c>
      <c r="BY105" s="23">
        <f t="shared" si="137"/>
        <v>0.09755430492785244</v>
      </c>
      <c r="BZ105" s="23">
        <f t="shared" si="138"/>
        <v>0.10067287547389014</v>
      </c>
      <c r="CA105" s="23"/>
      <c r="CB105" s="23">
        <f t="shared" si="139"/>
        <v>0.19822718040173726</v>
      </c>
      <c r="CC105" s="23">
        <f t="shared" si="140"/>
        <v>0</v>
      </c>
    </row>
    <row r="106" spans="1:81" ht="15" customHeight="1">
      <c r="A106" s="1" t="s">
        <v>106</v>
      </c>
      <c r="B106" s="10">
        <v>1648065</v>
      </c>
      <c r="C106" s="10">
        <f t="shared" si="97"/>
        <v>1656305.3249999997</v>
      </c>
      <c r="D106" s="10">
        <v>470017.8604688</v>
      </c>
      <c r="E106" s="10">
        <v>168586.49889035625</v>
      </c>
      <c r="F106" s="23" t="str">
        <f t="shared" si="98"/>
        <v>ingen</v>
      </c>
      <c r="G106" s="10"/>
      <c r="H106" s="10">
        <f t="shared" si="99"/>
        <v>470017.8604688</v>
      </c>
      <c r="I106" s="10"/>
      <c r="J106" s="10">
        <f t="shared" si="100"/>
        <v>508679.9425093633</v>
      </c>
      <c r="K106" s="10">
        <f t="shared" si="101"/>
        <v>469943.3545086536</v>
      </c>
      <c r="L106" s="10"/>
      <c r="M106" s="10">
        <f t="shared" si="102"/>
        <v>649685.3006500032</v>
      </c>
      <c r="N106" s="10">
        <f t="shared" si="103"/>
        <v>610948.7126492936</v>
      </c>
      <c r="P106" s="23">
        <f>'Potentialer og krav'!U106</f>
        <v>21257.593730920213</v>
      </c>
      <c r="Q106" s="10"/>
      <c r="R106" s="23">
        <f t="shared" si="104"/>
        <v>8240.325</v>
      </c>
      <c r="S106" s="23">
        <f t="shared" si="105"/>
        <v>38095.02247499999</v>
      </c>
      <c r="T106" s="23">
        <f t="shared" si="106"/>
        <v>301431.3615784438</v>
      </c>
      <c r="U106" s="23">
        <f t="shared" si="107"/>
        <v>10810.4107907824</v>
      </c>
      <c r="V106" s="23">
        <f t="shared" si="108"/>
        <v>480828.27125958237</v>
      </c>
      <c r="W106" s="23">
        <f t="shared" si="109"/>
        <v>1694400.3474749995</v>
      </c>
      <c r="X106" s="23">
        <f t="shared" si="110"/>
        <v>10810.4107907824</v>
      </c>
      <c r="Y106" s="23">
        <f t="shared" si="111"/>
        <v>480828.27125958237</v>
      </c>
      <c r="Z106" s="23">
        <f t="shared" si="112"/>
        <v>1213572.0762154171</v>
      </c>
      <c r="AA106" s="23" t="str">
        <f t="shared" si="113"/>
        <v>ingen</v>
      </c>
      <c r="AB106" s="23"/>
      <c r="AC106" s="35" t="s">
        <v>106</v>
      </c>
      <c r="AD106" s="6">
        <v>75</v>
      </c>
      <c r="AE106" s="6">
        <v>234438</v>
      </c>
      <c r="AF106" s="6">
        <v>203604</v>
      </c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>
        <f t="shared" si="114"/>
        <v>0</v>
      </c>
      <c r="AV106" s="6">
        <f t="shared" si="115"/>
        <v>0</v>
      </c>
      <c r="AW106" s="6">
        <f t="shared" si="116"/>
        <v>0</v>
      </c>
      <c r="AX106" s="6"/>
      <c r="AY106" s="6">
        <f t="shared" si="117"/>
        <v>144567.06114690678</v>
      </c>
      <c r="AZ106" s="6">
        <f t="shared" si="118"/>
        <v>364112.88136245654</v>
      </c>
      <c r="BA106" s="6">
        <f t="shared" si="119"/>
        <v>0</v>
      </c>
      <c r="BB106" s="6">
        <f t="shared" si="120"/>
        <v>0</v>
      </c>
      <c r="BC106" s="6">
        <f t="shared" si="121"/>
        <v>0</v>
      </c>
      <c r="BD106" s="6">
        <f t="shared" si="122"/>
        <v>0</v>
      </c>
      <c r="BE106" s="6">
        <v>24.380488892963633</v>
      </c>
      <c r="BF106" s="6">
        <f t="shared" si="123"/>
        <v>508679.9425093633</v>
      </c>
      <c r="BG106" s="6">
        <f t="shared" si="124"/>
        <v>469943.3545086536</v>
      </c>
      <c r="BH106" s="6"/>
      <c r="BK106" s="30" t="str">
        <f t="shared" si="125"/>
        <v>Tistrup Vandværk</v>
      </c>
      <c r="BL106" s="23">
        <f t="shared" si="126"/>
        <v>28.420043541277572</v>
      </c>
      <c r="BM106" s="23">
        <f t="shared" si="127"/>
        <v>71.57995645872242</v>
      </c>
      <c r="BN106" s="23">
        <f t="shared" si="128"/>
        <v>0</v>
      </c>
      <c r="BO106" s="23">
        <f t="shared" si="129"/>
        <v>0</v>
      </c>
      <c r="BP106" s="23">
        <f t="shared" si="130"/>
        <v>0</v>
      </c>
      <c r="BQ106" s="23">
        <f t="shared" si="131"/>
        <v>0</v>
      </c>
      <c r="BR106" s="23"/>
      <c r="BS106" s="23">
        <f t="shared" si="132"/>
        <v>0</v>
      </c>
      <c r="BT106" s="23"/>
      <c r="BU106" s="23">
        <f t="shared" si="133"/>
        <v>-17.285154236338396</v>
      </c>
      <c r="BV106" s="23">
        <f t="shared" si="134"/>
        <v>-39.783966679965545</v>
      </c>
      <c r="BW106" s="23">
        <f t="shared" si="135"/>
        <v>4.338265408991401</v>
      </c>
      <c r="BX106" s="23">
        <f t="shared" si="136"/>
        <v>23.805289026968207</v>
      </c>
      <c r="BY106" s="23">
        <f t="shared" si="137"/>
        <v>15.586446410827755</v>
      </c>
      <c r="BZ106" s="23">
        <f t="shared" si="138"/>
        <v>13.339120069516573</v>
      </c>
      <c r="CA106" s="23"/>
      <c r="CB106" s="23">
        <f t="shared" si="139"/>
        <v>28.925566480344322</v>
      </c>
      <c r="CC106" s="23">
        <f t="shared" si="140"/>
        <v>0</v>
      </c>
    </row>
    <row r="107" spans="1:81" ht="15" customHeight="1">
      <c r="A107" s="1" t="s">
        <v>107</v>
      </c>
      <c r="B107" s="10">
        <v>1529067</v>
      </c>
      <c r="C107" s="10">
        <f t="shared" si="97"/>
        <v>1536712.3349999997</v>
      </c>
      <c r="D107" s="10">
        <v>1278651.6550122</v>
      </c>
      <c r="E107" s="10">
        <v>0</v>
      </c>
      <c r="F107" s="23" t="str">
        <f t="shared" si="98"/>
        <v>ingen</v>
      </c>
      <c r="G107" s="10"/>
      <c r="H107" s="10">
        <f t="shared" si="99"/>
        <v>1278651.6550122</v>
      </c>
      <c r="I107" s="10"/>
      <c r="J107" s="10">
        <f t="shared" si="100"/>
        <v>2159485.7869095244</v>
      </c>
      <c r="K107" s="10">
        <f t="shared" si="101"/>
        <v>2239631.3432624694</v>
      </c>
      <c r="L107" s="10"/>
      <c r="M107" s="10">
        <f t="shared" si="102"/>
        <v>2543081.2834131843</v>
      </c>
      <c r="N107" s="10">
        <f t="shared" si="103"/>
        <v>2623226.8397661294</v>
      </c>
      <c r="P107" s="23">
        <f>'Potentialer og krav'!U107</f>
        <v>0</v>
      </c>
      <c r="Q107" s="10"/>
      <c r="R107" s="23">
        <f t="shared" si="104"/>
        <v>7645.335</v>
      </c>
      <c r="S107" s="23">
        <f t="shared" si="105"/>
        <v>35344.38370499999</v>
      </c>
      <c r="T107" s="23">
        <f t="shared" si="106"/>
        <v>1278651.6550122</v>
      </c>
      <c r="U107" s="23">
        <f t="shared" si="107"/>
        <v>29408.9880652806</v>
      </c>
      <c r="V107" s="23">
        <f t="shared" si="108"/>
        <v>1308060.6430774804</v>
      </c>
      <c r="W107" s="23">
        <f t="shared" si="109"/>
        <v>1572056.7187049997</v>
      </c>
      <c r="X107" s="23">
        <f t="shared" si="110"/>
        <v>29408.9880652806</v>
      </c>
      <c r="Y107" s="23">
        <f t="shared" si="111"/>
        <v>1308060.6430774804</v>
      </c>
      <c r="Z107" s="23">
        <f t="shared" si="112"/>
        <v>263996.0756275193</v>
      </c>
      <c r="AA107" s="23" t="str">
        <f t="shared" si="113"/>
        <v>ingen</v>
      </c>
      <c r="AB107" s="23"/>
      <c r="AC107" s="35" t="s">
        <v>107</v>
      </c>
      <c r="AD107" s="6">
        <v>33</v>
      </c>
      <c r="AE107" s="6">
        <v>516784</v>
      </c>
      <c r="AF107" s="6">
        <v>489829</v>
      </c>
      <c r="AG107" s="6">
        <v>1</v>
      </c>
      <c r="AH107" s="6"/>
      <c r="AI107" s="6"/>
      <c r="AJ107" s="6"/>
      <c r="AK107" s="6"/>
      <c r="AL107" s="6">
        <v>26</v>
      </c>
      <c r="AM107" s="6">
        <v>22</v>
      </c>
      <c r="AN107" s="6"/>
      <c r="AO107" s="6"/>
      <c r="AP107" s="6">
        <v>430</v>
      </c>
      <c r="AQ107" s="6">
        <v>1774</v>
      </c>
      <c r="AR107" s="6"/>
      <c r="AS107" s="6"/>
      <c r="AT107" s="6">
        <v>2065</v>
      </c>
      <c r="AU107" s="6">
        <f t="shared" si="114"/>
        <v>1</v>
      </c>
      <c r="AV107" s="6">
        <f t="shared" si="115"/>
        <v>0</v>
      </c>
      <c r="AW107" s="6">
        <f t="shared" si="116"/>
        <v>0</v>
      </c>
      <c r="AX107" s="6"/>
      <c r="AY107" s="6">
        <f t="shared" si="117"/>
        <v>243858.24997480548</v>
      </c>
      <c r="AZ107" s="6">
        <f t="shared" si="118"/>
        <v>897779.0369347188</v>
      </c>
      <c r="BA107" s="6">
        <f t="shared" si="119"/>
        <v>53204</v>
      </c>
      <c r="BB107" s="6">
        <f t="shared" si="120"/>
        <v>289920</v>
      </c>
      <c r="BC107" s="6">
        <f t="shared" si="121"/>
        <v>374680</v>
      </c>
      <c r="BD107" s="6">
        <f t="shared" si="122"/>
        <v>300044.5</v>
      </c>
      <c r="BE107" s="6">
        <v>30.67295886</v>
      </c>
      <c r="BF107" s="6">
        <f t="shared" si="123"/>
        <v>2159485.7869095244</v>
      </c>
      <c r="BG107" s="6">
        <f t="shared" si="124"/>
        <v>2239631.3432624694</v>
      </c>
      <c r="BH107" s="6"/>
      <c r="BK107" s="30" t="str">
        <f t="shared" si="125"/>
        <v>Toftlund Vand Amba</v>
      </c>
      <c r="BL107" s="23">
        <f t="shared" si="126"/>
        <v>11.29242208738012</v>
      </c>
      <c r="BM107" s="23">
        <f t="shared" si="127"/>
        <v>41.573741414595986</v>
      </c>
      <c r="BN107" s="23">
        <f t="shared" si="128"/>
        <v>2.463734668804703</v>
      </c>
      <c r="BO107" s="23">
        <f t="shared" si="129"/>
        <v>13.425418298997432</v>
      </c>
      <c r="BP107" s="23">
        <f t="shared" si="130"/>
        <v>17.350426766930045</v>
      </c>
      <c r="BQ107" s="23">
        <f t="shared" si="131"/>
        <v>13.89425676329172</v>
      </c>
      <c r="BR107" s="23"/>
      <c r="BS107" s="23">
        <f t="shared" si="132"/>
        <v>31.244683530221764</v>
      </c>
      <c r="BT107" s="23"/>
      <c r="BU107" s="23">
        <f t="shared" si="133"/>
        <v>-0.15753278244094382</v>
      </c>
      <c r="BV107" s="23">
        <f t="shared" si="134"/>
        <v>-9.777751635839113</v>
      </c>
      <c r="BW107" s="23">
        <f t="shared" si="135"/>
        <v>1.8745307401866977</v>
      </c>
      <c r="BX107" s="23">
        <f t="shared" si="136"/>
        <v>10.379870727970776</v>
      </c>
      <c r="BY107" s="23">
        <f t="shared" si="137"/>
        <v>-1.7639803561022909</v>
      </c>
      <c r="BZ107" s="23">
        <f t="shared" si="138"/>
        <v>-0.5551366937751467</v>
      </c>
      <c r="CA107" s="23"/>
      <c r="CB107" s="23">
        <f t="shared" si="139"/>
        <v>-2.319117049877441</v>
      </c>
      <c r="CC107" s="23">
        <f t="shared" si="140"/>
        <v>0</v>
      </c>
    </row>
    <row r="108" spans="1:81" ht="15" customHeight="1">
      <c r="A108" s="1" t="s">
        <v>108</v>
      </c>
      <c r="B108" s="10">
        <v>1474267</v>
      </c>
      <c r="C108" s="10">
        <f t="shared" si="97"/>
        <v>1481638.3349999997</v>
      </c>
      <c r="D108" s="10">
        <v>836431.0518242001</v>
      </c>
      <c r="E108" s="10">
        <v>4507.849800666619</v>
      </c>
      <c r="F108" s="23" t="str">
        <f t="shared" si="98"/>
        <v>ingen</v>
      </c>
      <c r="G108" s="10"/>
      <c r="H108" s="10">
        <f t="shared" si="99"/>
        <v>836431.0518242001</v>
      </c>
      <c r="I108" s="10"/>
      <c r="J108" s="10">
        <f t="shared" si="100"/>
        <v>1396179.8572344743</v>
      </c>
      <c r="K108" s="10">
        <f t="shared" si="101"/>
        <v>1429481.8807343952</v>
      </c>
      <c r="L108" s="10"/>
      <c r="M108" s="10">
        <f t="shared" si="102"/>
        <v>1647109.1727817343</v>
      </c>
      <c r="N108" s="10">
        <f t="shared" si="103"/>
        <v>1680411.1962816552</v>
      </c>
      <c r="P108" s="23">
        <f>'Potentialer og krav'!U108</f>
        <v>0</v>
      </c>
      <c r="Q108" s="10"/>
      <c r="R108" s="23">
        <f t="shared" si="104"/>
        <v>7371.335</v>
      </c>
      <c r="S108" s="23">
        <f t="shared" si="105"/>
        <v>34077.681704999995</v>
      </c>
      <c r="T108" s="23">
        <f t="shared" si="106"/>
        <v>831923.2020235335</v>
      </c>
      <c r="U108" s="23">
        <f t="shared" si="107"/>
        <v>19237.914191956603</v>
      </c>
      <c r="V108" s="23">
        <f t="shared" si="108"/>
        <v>855668.9660161566</v>
      </c>
      <c r="W108" s="23">
        <f t="shared" si="109"/>
        <v>1515716.0167049996</v>
      </c>
      <c r="X108" s="23">
        <f t="shared" si="110"/>
        <v>19237.914191956603</v>
      </c>
      <c r="Y108" s="23">
        <f t="shared" si="111"/>
        <v>855668.9660161566</v>
      </c>
      <c r="Z108" s="23">
        <f t="shared" si="112"/>
        <v>660047.050688843</v>
      </c>
      <c r="AA108" s="23" t="str">
        <f t="shared" si="113"/>
        <v>ingen</v>
      </c>
      <c r="AB108" s="23"/>
      <c r="AC108" s="35" t="s">
        <v>108</v>
      </c>
      <c r="AD108" s="6">
        <v>35</v>
      </c>
      <c r="AE108" s="6">
        <v>245000</v>
      </c>
      <c r="AF108" s="6">
        <v>230000</v>
      </c>
      <c r="AG108" s="6"/>
      <c r="AH108" s="6"/>
      <c r="AI108" s="6"/>
      <c r="AJ108" s="6"/>
      <c r="AK108" s="6"/>
      <c r="AL108" s="6">
        <v>22</v>
      </c>
      <c r="AM108" s="6">
        <v>26</v>
      </c>
      <c r="AN108" s="6"/>
      <c r="AO108" s="6"/>
      <c r="AP108" s="6">
        <v>50</v>
      </c>
      <c r="AQ108" s="6">
        <v>1693</v>
      </c>
      <c r="AR108" s="6"/>
      <c r="AS108" s="6"/>
      <c r="AT108" s="6">
        <v>1843</v>
      </c>
      <c r="AU108" s="6">
        <f t="shared" si="114"/>
        <v>0</v>
      </c>
      <c r="AV108" s="6">
        <f t="shared" si="115"/>
        <v>0</v>
      </c>
      <c r="AW108" s="6">
        <f t="shared" si="116"/>
        <v>0</v>
      </c>
      <c r="AX108" s="6"/>
      <c r="AY108" s="6">
        <f t="shared" si="117"/>
        <v>129437.755344339</v>
      </c>
      <c r="AZ108" s="6">
        <f t="shared" si="118"/>
        <v>412724.2018901353</v>
      </c>
      <c r="BA108" s="6">
        <f t="shared" si="119"/>
        <v>0</v>
      </c>
      <c r="BB108" s="6">
        <f t="shared" si="120"/>
        <v>289920</v>
      </c>
      <c r="BC108" s="6">
        <f t="shared" si="121"/>
        <v>296310</v>
      </c>
      <c r="BD108" s="6">
        <f t="shared" si="122"/>
        <v>267787.9</v>
      </c>
      <c r="BE108" s="6">
        <v>29.936235812685695</v>
      </c>
      <c r="BF108" s="6">
        <f t="shared" si="123"/>
        <v>1396179.8572344743</v>
      </c>
      <c r="BG108" s="6">
        <f t="shared" si="124"/>
        <v>1429481.8807343952</v>
      </c>
      <c r="BH108" s="6"/>
      <c r="BK108" s="30" t="str">
        <f t="shared" si="125"/>
        <v>Tune Vandværk A.m.b.a.</v>
      </c>
      <c r="BL108" s="23">
        <f t="shared" si="126"/>
        <v>9.270851077935387</v>
      </c>
      <c r="BM108" s="23">
        <f t="shared" si="127"/>
        <v>29.560962346760345</v>
      </c>
      <c r="BN108" s="23">
        <f t="shared" si="128"/>
        <v>0</v>
      </c>
      <c r="BO108" s="23">
        <f t="shared" si="129"/>
        <v>20.7652329674966</v>
      </c>
      <c r="BP108" s="23">
        <f t="shared" si="130"/>
        <v>21.22291039113865</v>
      </c>
      <c r="BQ108" s="23">
        <f t="shared" si="131"/>
        <v>19.18004321666902</v>
      </c>
      <c r="BR108" s="23"/>
      <c r="BS108" s="23">
        <f t="shared" si="132"/>
        <v>40.402953607807675</v>
      </c>
      <c r="BT108" s="23"/>
      <c r="BU108" s="23">
        <f t="shared" si="133"/>
        <v>1.864038227003789</v>
      </c>
      <c r="BV108" s="23">
        <f t="shared" si="134"/>
        <v>2.235027431996528</v>
      </c>
      <c r="BW108" s="23">
        <f t="shared" si="135"/>
        <v>4.338265408991401</v>
      </c>
      <c r="BX108" s="23">
        <f t="shared" si="136"/>
        <v>3.040056059471606</v>
      </c>
      <c r="BY108" s="23">
        <f t="shared" si="137"/>
        <v>-5.6364639803108965</v>
      </c>
      <c r="BZ108" s="23">
        <f t="shared" si="138"/>
        <v>-5.840923147152447</v>
      </c>
      <c r="CA108" s="23"/>
      <c r="CB108" s="23">
        <f t="shared" si="139"/>
        <v>-11.477387127463352</v>
      </c>
      <c r="CC108" s="23">
        <f t="shared" si="140"/>
        <v>-0.736645851636176</v>
      </c>
    </row>
    <row r="109" spans="1:81" ht="15" customHeight="1">
      <c r="A109" s="1" t="s">
        <v>109</v>
      </c>
      <c r="B109" s="10">
        <v>4664674</v>
      </c>
      <c r="C109" s="10">
        <f t="shared" si="97"/>
        <v>4687997.369999999</v>
      </c>
      <c r="D109" s="10">
        <v>4360556.4033626</v>
      </c>
      <c r="E109" s="10">
        <v>2341620.4265509523</v>
      </c>
      <c r="F109" s="23" t="str">
        <f t="shared" si="98"/>
        <v>ingen</v>
      </c>
      <c r="G109" s="10"/>
      <c r="H109" s="10">
        <f t="shared" si="99"/>
        <v>4360556.4033626</v>
      </c>
      <c r="I109" s="10"/>
      <c r="J109" s="10">
        <f t="shared" si="100"/>
        <v>3302033.8830654137</v>
      </c>
      <c r="K109" s="10">
        <f t="shared" si="101"/>
        <v>3612851.7276359117</v>
      </c>
      <c r="L109" s="10"/>
      <c r="M109" s="10">
        <f t="shared" si="102"/>
        <v>4610200.804074193</v>
      </c>
      <c r="N109" s="10">
        <f t="shared" si="103"/>
        <v>4921018.648644691</v>
      </c>
      <c r="P109" s="23">
        <f>'Potentialer og krav'!U109</f>
        <v>218027.82016813</v>
      </c>
      <c r="Q109" s="10"/>
      <c r="R109" s="23">
        <f t="shared" si="104"/>
        <v>23323.37</v>
      </c>
      <c r="S109" s="23">
        <f t="shared" si="105"/>
        <v>107823.93950999998</v>
      </c>
      <c r="T109" s="23">
        <f t="shared" si="106"/>
        <v>2018935.9768116479</v>
      </c>
      <c r="U109" s="23">
        <f t="shared" si="107"/>
        <v>100292.7972773398</v>
      </c>
      <c r="V109" s="23">
        <f t="shared" si="108"/>
        <v>4460849.20063994</v>
      </c>
      <c r="W109" s="23">
        <f t="shared" si="109"/>
        <v>4795821.309509999</v>
      </c>
      <c r="X109" s="23">
        <f t="shared" si="110"/>
        <v>100292.7972773398</v>
      </c>
      <c r="Y109" s="23">
        <f t="shared" si="111"/>
        <v>4460849.20063994</v>
      </c>
      <c r="Z109" s="23">
        <f t="shared" si="112"/>
        <v>334972.10887005925</v>
      </c>
      <c r="AA109" s="23" t="str">
        <f t="shared" si="113"/>
        <v>ingen</v>
      </c>
      <c r="AB109" s="23"/>
      <c r="AC109" s="35" t="s">
        <v>109</v>
      </c>
      <c r="AD109" s="6">
        <v>32</v>
      </c>
      <c r="AE109" s="6">
        <v>381924</v>
      </c>
      <c r="AF109" s="6">
        <v>378083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145</v>
      </c>
      <c r="AM109" s="6">
        <v>5</v>
      </c>
      <c r="AN109" s="6">
        <v>0</v>
      </c>
      <c r="AO109" s="6">
        <v>0</v>
      </c>
      <c r="AP109" s="6">
        <v>4335</v>
      </c>
      <c r="AQ109" s="6">
        <v>470</v>
      </c>
      <c r="AR109" s="6">
        <v>0</v>
      </c>
      <c r="AS109" s="6">
        <v>0</v>
      </c>
      <c r="AT109" s="6">
        <v>4849</v>
      </c>
      <c r="AU109" s="6">
        <f t="shared" si="114"/>
        <v>0</v>
      </c>
      <c r="AV109" s="6">
        <f t="shared" si="115"/>
        <v>0</v>
      </c>
      <c r="AW109" s="6">
        <f t="shared" si="116"/>
        <v>0</v>
      </c>
      <c r="AX109" s="6"/>
      <c r="AY109" s="6">
        <f t="shared" si="117"/>
        <v>186663.98716187256</v>
      </c>
      <c r="AZ109" s="6">
        <f t="shared" si="118"/>
        <v>687960.195903541</v>
      </c>
      <c r="BA109" s="6">
        <f t="shared" si="119"/>
        <v>0</v>
      </c>
      <c r="BB109" s="6">
        <f t="shared" si="120"/>
        <v>906000</v>
      </c>
      <c r="BC109" s="6">
        <f t="shared" si="121"/>
        <v>816850</v>
      </c>
      <c r="BD109" s="6">
        <f t="shared" si="122"/>
        <v>704559.7000000001</v>
      </c>
      <c r="BE109" s="6">
        <v>33.84051173</v>
      </c>
      <c r="BF109" s="6">
        <f t="shared" si="123"/>
        <v>3302033.8830654137</v>
      </c>
      <c r="BG109" s="6">
        <f t="shared" si="124"/>
        <v>3612851.7276359117</v>
      </c>
      <c r="BH109" s="6"/>
      <c r="BK109" s="30" t="str">
        <f t="shared" si="125"/>
        <v>Udsholt Vandværk A.m.b.a.</v>
      </c>
      <c r="BL109" s="23">
        <f t="shared" si="126"/>
        <v>5.653000355907454</v>
      </c>
      <c r="BM109" s="23">
        <f t="shared" si="127"/>
        <v>20.834437812154714</v>
      </c>
      <c r="BN109" s="23">
        <f t="shared" si="128"/>
        <v>0</v>
      </c>
      <c r="BO109" s="23">
        <f t="shared" si="129"/>
        <v>27.43763486639098</v>
      </c>
      <c r="BP109" s="23">
        <f t="shared" si="130"/>
        <v>24.737783709284187</v>
      </c>
      <c r="BQ109" s="23">
        <f t="shared" si="131"/>
        <v>21.337143256262664</v>
      </c>
      <c r="BR109" s="23"/>
      <c r="BS109" s="23">
        <f t="shared" si="132"/>
        <v>46.07492696554685</v>
      </c>
      <c r="BT109" s="23"/>
      <c r="BU109" s="23">
        <f t="shared" si="133"/>
        <v>5.481888949031721</v>
      </c>
      <c r="BV109" s="23">
        <f t="shared" si="134"/>
        <v>10.961551966602158</v>
      </c>
      <c r="BW109" s="23">
        <f t="shared" si="135"/>
        <v>4.338265408991401</v>
      </c>
      <c r="BX109" s="23">
        <f t="shared" si="136"/>
        <v>-3.632345839422772</v>
      </c>
      <c r="BY109" s="23">
        <f t="shared" si="137"/>
        <v>-9.151337298456433</v>
      </c>
      <c r="BZ109" s="23">
        <f t="shared" si="138"/>
        <v>-7.9980231867460905</v>
      </c>
      <c r="CA109" s="23"/>
      <c r="CB109" s="23">
        <f t="shared" si="139"/>
        <v>-17.14936048520253</v>
      </c>
      <c r="CC109" s="23">
        <f t="shared" si="140"/>
        <v>-3.3570975429116756</v>
      </c>
    </row>
    <row r="110" spans="1:81" ht="15" customHeight="1">
      <c r="A110" s="13" t="s">
        <v>126</v>
      </c>
      <c r="B110" s="10">
        <v>1180356</v>
      </c>
      <c r="C110" s="10">
        <f t="shared" si="97"/>
        <v>1186257.7799999998</v>
      </c>
      <c r="D110" s="10">
        <v>963868.612112</v>
      </c>
      <c r="E110" s="10">
        <v>0</v>
      </c>
      <c r="F110" s="23" t="str">
        <f t="shared" si="98"/>
        <v>ingen</v>
      </c>
      <c r="G110" s="10"/>
      <c r="H110" s="10">
        <f t="shared" si="99"/>
        <v>963868.612112</v>
      </c>
      <c r="I110" s="10"/>
      <c r="J110" s="10">
        <f t="shared" si="100"/>
        <v>1930070.6370733243</v>
      </c>
      <c r="K110" s="10">
        <f t="shared" si="101"/>
        <v>1826553.512555374</v>
      </c>
      <c r="L110" s="10"/>
      <c r="M110" s="10">
        <f t="shared" si="102"/>
        <v>2219231.2207069243</v>
      </c>
      <c r="N110" s="10">
        <f t="shared" si="103"/>
        <v>2115714.096188974</v>
      </c>
      <c r="P110" s="23">
        <f>'Potentialer og krav'!U110</f>
        <v>0</v>
      </c>
      <c r="Q110" s="10"/>
      <c r="R110" s="23">
        <f t="shared" si="104"/>
        <v>5901.78</v>
      </c>
      <c r="S110" s="23">
        <f t="shared" si="105"/>
        <v>27283.928939999994</v>
      </c>
      <c r="T110" s="23">
        <f t="shared" si="106"/>
        <v>963868.612112</v>
      </c>
      <c r="U110" s="23">
        <f t="shared" si="107"/>
        <v>22168.978078576</v>
      </c>
      <c r="V110" s="23">
        <f t="shared" si="108"/>
        <v>986037.5901905759</v>
      </c>
      <c r="W110" s="23">
        <f t="shared" si="109"/>
        <v>1213541.7089399996</v>
      </c>
      <c r="X110" s="23">
        <f t="shared" si="110"/>
        <v>22168.978078576</v>
      </c>
      <c r="Y110" s="23">
        <f t="shared" si="111"/>
        <v>986037.5901905759</v>
      </c>
      <c r="Z110" s="23">
        <f t="shared" si="112"/>
        <v>227504.11874942365</v>
      </c>
      <c r="AA110" s="23" t="str">
        <f t="shared" si="113"/>
        <v>ingen</v>
      </c>
      <c r="AB110" s="23"/>
      <c r="AC110" s="39" t="s">
        <v>182</v>
      </c>
      <c r="AD110" s="3">
        <v>30</v>
      </c>
      <c r="AE110" s="3">
        <v>391765</v>
      </c>
      <c r="AF110" s="53">
        <v>242232</v>
      </c>
      <c r="AG110" s="52">
        <v>2</v>
      </c>
      <c r="AH110" s="53">
        <v>0</v>
      </c>
      <c r="AI110" s="52">
        <v>0</v>
      </c>
      <c r="AJ110" s="3">
        <v>0</v>
      </c>
      <c r="AK110" s="3">
        <v>0</v>
      </c>
      <c r="AL110" s="3">
        <v>88</v>
      </c>
      <c r="AM110" s="3">
        <v>41</v>
      </c>
      <c r="AN110" s="3">
        <v>0</v>
      </c>
      <c r="AO110" s="3">
        <v>0</v>
      </c>
      <c r="AP110" s="3">
        <v>361</v>
      </c>
      <c r="AQ110" s="3">
        <v>956</v>
      </c>
      <c r="AR110" s="3">
        <v>0</v>
      </c>
      <c r="AS110" s="3">
        <v>0</v>
      </c>
      <c r="AT110" s="3">
        <v>1355</v>
      </c>
      <c r="AU110" s="6">
        <f t="shared" si="114"/>
        <v>2</v>
      </c>
      <c r="AV110" s="6">
        <f t="shared" si="115"/>
        <v>0</v>
      </c>
      <c r="AW110" s="6">
        <f t="shared" si="116"/>
        <v>0</v>
      </c>
      <c r="AX110" s="6"/>
      <c r="AY110" s="6">
        <f t="shared" si="117"/>
        <v>188426.0741665024</v>
      </c>
      <c r="AZ110" s="6">
        <f t="shared" si="118"/>
        <v>435305.0629068219</v>
      </c>
      <c r="BA110" s="6">
        <f t="shared" si="119"/>
        <v>106408</v>
      </c>
      <c r="BB110" s="6">
        <f t="shared" si="120"/>
        <v>779160</v>
      </c>
      <c r="BC110" s="6">
        <f t="shared" si="121"/>
        <v>223890</v>
      </c>
      <c r="BD110" s="6">
        <f t="shared" si="122"/>
        <v>196881.50000000003</v>
      </c>
      <c r="BE110" s="3">
        <v>25.631452620047366</v>
      </c>
      <c r="BF110" s="6">
        <f t="shared" si="123"/>
        <v>1930070.6370733243</v>
      </c>
      <c r="BG110" s="6">
        <f t="shared" si="124"/>
        <v>1826553.512555374</v>
      </c>
      <c r="BH110" s="6"/>
      <c r="BK110" s="30" t="str">
        <f t="shared" si="125"/>
        <v>Ulfborg Vandværk AMBA</v>
      </c>
      <c r="BL110" s="23">
        <f t="shared" si="126"/>
        <v>9.762651715805777</v>
      </c>
      <c r="BM110" s="23">
        <f t="shared" si="127"/>
        <v>22.55384101210408</v>
      </c>
      <c r="BN110" s="23">
        <f t="shared" si="128"/>
        <v>5.513166096415647</v>
      </c>
      <c r="BO110" s="23">
        <f t="shared" si="129"/>
        <v>40.36950695138726</v>
      </c>
      <c r="BP110" s="23">
        <f t="shared" si="130"/>
        <v>11.600093576859814</v>
      </c>
      <c r="BQ110" s="23">
        <f t="shared" si="131"/>
        <v>10.200740647427423</v>
      </c>
      <c r="BR110" s="23"/>
      <c r="BS110" s="23">
        <f t="shared" si="132"/>
        <v>21.800834224287236</v>
      </c>
      <c r="BT110" s="23"/>
      <c r="BU110" s="23">
        <f t="shared" si="133"/>
        <v>1.3722375891333982</v>
      </c>
      <c r="BV110" s="23">
        <f t="shared" si="134"/>
        <v>9.242148766652793</v>
      </c>
      <c r="BW110" s="23">
        <f t="shared" si="135"/>
        <v>-1.1749006874242465</v>
      </c>
      <c r="BX110" s="23">
        <f t="shared" si="136"/>
        <v>-16.56421792441905</v>
      </c>
      <c r="BY110" s="23">
        <f t="shared" si="137"/>
        <v>3.98635283396794</v>
      </c>
      <c r="BZ110" s="23">
        <f t="shared" si="138"/>
        <v>3.13837942208915</v>
      </c>
      <c r="CA110" s="23"/>
      <c r="CB110" s="23">
        <f t="shared" si="139"/>
        <v>7.1247322560570865</v>
      </c>
      <c r="CC110" s="23">
        <f t="shared" si="140"/>
        <v>0</v>
      </c>
    </row>
    <row r="111" spans="1:81" ht="15" customHeight="1">
      <c r="A111" s="1" t="s">
        <v>110</v>
      </c>
      <c r="B111" s="10">
        <v>2439104</v>
      </c>
      <c r="C111" s="10">
        <f t="shared" si="97"/>
        <v>2451299.5199999996</v>
      </c>
      <c r="D111" s="10">
        <v>1927250.4336862</v>
      </c>
      <c r="E111" s="10">
        <v>137748.68092144732</v>
      </c>
      <c r="F111" s="23" t="str">
        <f t="shared" si="98"/>
        <v>ingen</v>
      </c>
      <c r="G111" s="10"/>
      <c r="H111" s="10">
        <f t="shared" si="99"/>
        <v>1927250.4336862</v>
      </c>
      <c r="I111" s="10"/>
      <c r="J111" s="10">
        <f t="shared" si="100"/>
        <v>2971797.535537748</v>
      </c>
      <c r="K111" s="10">
        <f t="shared" si="101"/>
        <v>3151368.338204457</v>
      </c>
      <c r="L111" s="10"/>
      <c r="M111" s="10">
        <f t="shared" si="102"/>
        <v>3549972.665643608</v>
      </c>
      <c r="N111" s="10">
        <f t="shared" si="103"/>
        <v>3729543.468310317</v>
      </c>
      <c r="P111" s="23">
        <f>'Potentialer og krav'!U111</f>
        <v>0</v>
      </c>
      <c r="Q111" s="10"/>
      <c r="R111" s="23">
        <f t="shared" si="104"/>
        <v>12195.52</v>
      </c>
      <c r="S111" s="23">
        <f t="shared" si="105"/>
        <v>56379.88895999999</v>
      </c>
      <c r="T111" s="23">
        <f t="shared" si="106"/>
        <v>1789501.7527647528</v>
      </c>
      <c r="U111" s="23">
        <f t="shared" si="107"/>
        <v>44326.7599747826</v>
      </c>
      <c r="V111" s="23">
        <f t="shared" si="108"/>
        <v>1971577.1936609824</v>
      </c>
      <c r="W111" s="23">
        <f t="shared" si="109"/>
        <v>2507679.408959999</v>
      </c>
      <c r="X111" s="23">
        <f t="shared" si="110"/>
        <v>44326.7599747826</v>
      </c>
      <c r="Y111" s="23">
        <f t="shared" si="111"/>
        <v>1971577.1936609824</v>
      </c>
      <c r="Z111" s="23">
        <f t="shared" si="112"/>
        <v>536102.2152990168</v>
      </c>
      <c r="AA111" s="23" t="str">
        <f t="shared" si="113"/>
        <v>ingen</v>
      </c>
      <c r="AB111" s="23"/>
      <c r="AC111" s="35" t="s">
        <v>110</v>
      </c>
      <c r="AD111" s="6">
        <v>129</v>
      </c>
      <c r="AE111" s="6">
        <v>342112</v>
      </c>
      <c r="AF111" s="6">
        <v>325292</v>
      </c>
      <c r="AG111" s="6"/>
      <c r="AH111" s="6"/>
      <c r="AI111" s="6"/>
      <c r="AJ111" s="6"/>
      <c r="AK111" s="6"/>
      <c r="AL111" s="6">
        <v>174</v>
      </c>
      <c r="AM111" s="6"/>
      <c r="AN111" s="6"/>
      <c r="AO111" s="6"/>
      <c r="AP111" s="6">
        <v>3531</v>
      </c>
      <c r="AQ111" s="6"/>
      <c r="AR111" s="6"/>
      <c r="AS111" s="6"/>
      <c r="AT111" s="6">
        <v>3499</v>
      </c>
      <c r="AU111" s="6">
        <f t="shared" si="114"/>
        <v>0</v>
      </c>
      <c r="AV111" s="6">
        <f t="shared" si="115"/>
        <v>0</v>
      </c>
      <c r="AW111" s="6">
        <f t="shared" si="116"/>
        <v>0</v>
      </c>
      <c r="AX111" s="6"/>
      <c r="AY111" s="6">
        <f t="shared" si="117"/>
        <v>222748.41321160996</v>
      </c>
      <c r="AZ111" s="6">
        <f t="shared" si="118"/>
        <v>589414.4223261379</v>
      </c>
      <c r="BA111" s="6">
        <f t="shared" si="119"/>
        <v>0</v>
      </c>
      <c r="BB111" s="6">
        <f t="shared" si="120"/>
        <v>1050960</v>
      </c>
      <c r="BC111" s="6">
        <f t="shared" si="121"/>
        <v>600270</v>
      </c>
      <c r="BD111" s="6">
        <f t="shared" si="122"/>
        <v>508404.7</v>
      </c>
      <c r="BE111" s="6">
        <v>31.96805437</v>
      </c>
      <c r="BF111" s="6">
        <f t="shared" si="123"/>
        <v>2971797.535537748</v>
      </c>
      <c r="BG111" s="6">
        <f t="shared" si="124"/>
        <v>3151368.338204457</v>
      </c>
      <c r="BH111" s="6"/>
      <c r="BK111" s="30" t="str">
        <f t="shared" si="125"/>
        <v>Ulsted-Ålebæk Vandværk A.m.b.a.</v>
      </c>
      <c r="BL111" s="23">
        <f t="shared" si="126"/>
        <v>7.4954101195626555</v>
      </c>
      <c r="BM111" s="23">
        <f t="shared" si="127"/>
        <v>19.833599539595927</v>
      </c>
      <c r="BN111" s="23">
        <f t="shared" si="128"/>
        <v>0</v>
      </c>
      <c r="BO111" s="23">
        <f t="shared" si="129"/>
        <v>35.36445492777583</v>
      </c>
      <c r="BP111" s="23">
        <f t="shared" si="130"/>
        <v>20.198886122684023</v>
      </c>
      <c r="BQ111" s="23">
        <f t="shared" si="131"/>
        <v>17.107649290381552</v>
      </c>
      <c r="BR111" s="23"/>
      <c r="BS111" s="23">
        <f t="shared" si="132"/>
        <v>37.306535413065575</v>
      </c>
      <c r="BT111" s="23"/>
      <c r="BU111" s="23">
        <f t="shared" si="133"/>
        <v>3.63947918537652</v>
      </c>
      <c r="BV111" s="23">
        <f t="shared" si="134"/>
        <v>11.962390239160946</v>
      </c>
      <c r="BW111" s="23">
        <f t="shared" si="135"/>
        <v>4.338265408991401</v>
      </c>
      <c r="BX111" s="23">
        <f t="shared" si="136"/>
        <v>-11.559165900807624</v>
      </c>
      <c r="BY111" s="23">
        <f t="shared" si="137"/>
        <v>-4.612439711856268</v>
      </c>
      <c r="BZ111" s="23">
        <f t="shared" si="138"/>
        <v>-3.7685292208649788</v>
      </c>
      <c r="CA111" s="23"/>
      <c r="CB111" s="23">
        <f t="shared" si="139"/>
        <v>-8.380968932721252</v>
      </c>
      <c r="CC111" s="23">
        <f t="shared" si="140"/>
        <v>0</v>
      </c>
    </row>
    <row r="112" spans="1:81" ht="15" customHeight="1">
      <c r="A112" s="1" t="s">
        <v>111</v>
      </c>
      <c r="B112" s="10">
        <v>3888770</v>
      </c>
      <c r="C112" s="10">
        <f t="shared" si="97"/>
        <v>3908213.8499999996</v>
      </c>
      <c r="D112" s="10">
        <v>2914532.853512</v>
      </c>
      <c r="E112" s="10">
        <v>2215313.1452980065</v>
      </c>
      <c r="F112" s="23" t="str">
        <f t="shared" si="98"/>
        <v>ingen</v>
      </c>
      <c r="G112" s="10"/>
      <c r="H112" s="10">
        <f t="shared" si="99"/>
        <v>2914532.853512</v>
      </c>
      <c r="I112" s="10"/>
      <c r="J112" s="10">
        <f t="shared" si="100"/>
        <v>2104246.4713183097</v>
      </c>
      <c r="K112" s="10">
        <f t="shared" si="101"/>
        <v>2243063.26101082</v>
      </c>
      <c r="L112" s="10"/>
      <c r="M112" s="10">
        <f t="shared" si="102"/>
        <v>2978606.3273719097</v>
      </c>
      <c r="N112" s="10">
        <f t="shared" si="103"/>
        <v>3117423.11706442</v>
      </c>
      <c r="P112" s="23">
        <f>'Potentialer og krav'!U112</f>
        <v>145726.6426756</v>
      </c>
      <c r="Q112" s="10"/>
      <c r="R112" s="23">
        <f t="shared" si="104"/>
        <v>19443.850000000002</v>
      </c>
      <c r="S112" s="23">
        <f t="shared" si="105"/>
        <v>89888.91854999999</v>
      </c>
      <c r="T112" s="23">
        <f t="shared" si="106"/>
        <v>699219.7082139933</v>
      </c>
      <c r="U112" s="23">
        <f t="shared" si="107"/>
        <v>67034.255630776</v>
      </c>
      <c r="V112" s="23">
        <f t="shared" si="108"/>
        <v>2981567.1091427756</v>
      </c>
      <c r="W112" s="23">
        <f t="shared" si="109"/>
        <v>3998102.768549999</v>
      </c>
      <c r="X112" s="23">
        <f t="shared" si="110"/>
        <v>67034.255630776</v>
      </c>
      <c r="Y112" s="23">
        <f t="shared" si="111"/>
        <v>2981567.1091427756</v>
      </c>
      <c r="Z112" s="23">
        <f t="shared" si="112"/>
        <v>1016535.6594072236</v>
      </c>
      <c r="AA112" s="23" t="str">
        <f t="shared" si="113"/>
        <v>ingen</v>
      </c>
      <c r="AB112" s="23"/>
      <c r="AC112" s="35" t="s">
        <v>111</v>
      </c>
      <c r="AD112" s="6">
        <v>4</v>
      </c>
      <c r="AE112" s="6">
        <v>2242</v>
      </c>
      <c r="AF112" s="6">
        <v>515400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6.541</v>
      </c>
      <c r="AM112" s="6">
        <v>39.648</v>
      </c>
      <c r="AN112" s="6">
        <v>2.432</v>
      </c>
      <c r="AO112" s="6">
        <v>0</v>
      </c>
      <c r="AP112" s="6">
        <v>320</v>
      </c>
      <c r="AQ112" s="6">
        <v>2060</v>
      </c>
      <c r="AR112" s="6">
        <v>0</v>
      </c>
      <c r="AS112" s="6">
        <v>0</v>
      </c>
      <c r="AT112" s="6">
        <v>2380</v>
      </c>
      <c r="AU112" s="6">
        <f t="shared" si="114"/>
        <v>0</v>
      </c>
      <c r="AV112" s="6">
        <f t="shared" si="115"/>
        <v>0</v>
      </c>
      <c r="AW112" s="6">
        <f t="shared" si="116"/>
        <v>0</v>
      </c>
      <c r="AX112" s="6"/>
      <c r="AY112" s="6">
        <f t="shared" si="117"/>
        <v>1469.1937469929085</v>
      </c>
      <c r="AZ112" s="6">
        <f t="shared" si="118"/>
        <v>945993.5575713168</v>
      </c>
      <c r="BA112" s="6">
        <f t="shared" si="119"/>
        <v>0</v>
      </c>
      <c r="BB112" s="6">
        <f t="shared" si="120"/>
        <v>406369.7200000001</v>
      </c>
      <c r="BC112" s="6">
        <f t="shared" si="121"/>
        <v>404600</v>
      </c>
      <c r="BD112" s="6">
        <f t="shared" si="122"/>
        <v>345814</v>
      </c>
      <c r="BE112" s="6">
        <v>32.27610187</v>
      </c>
      <c r="BF112" s="6">
        <f t="shared" si="123"/>
        <v>2104246.4713183097</v>
      </c>
      <c r="BG112" s="6">
        <f t="shared" si="124"/>
        <v>2243063.26101082</v>
      </c>
      <c r="BH112" s="6"/>
      <c r="BK112" s="30" t="str">
        <f t="shared" si="125"/>
        <v>Vallensbæk Vandforsyning A/S</v>
      </c>
      <c r="BL112" s="23">
        <f t="shared" si="126"/>
        <v>0.06982042108748122</v>
      </c>
      <c r="BM112" s="23">
        <f t="shared" si="127"/>
        <v>44.956404606854456</v>
      </c>
      <c r="BN112" s="23">
        <f t="shared" si="128"/>
        <v>0</v>
      </c>
      <c r="BO112" s="23">
        <f t="shared" si="129"/>
        <v>19.311887915174193</v>
      </c>
      <c r="BP112" s="23">
        <f t="shared" si="130"/>
        <v>19.227785599969106</v>
      </c>
      <c r="BQ112" s="23">
        <f t="shared" si="131"/>
        <v>16.43410145691477</v>
      </c>
      <c r="BR112" s="23"/>
      <c r="BS112" s="23">
        <f t="shared" si="132"/>
        <v>35.66188705688388</v>
      </c>
      <c r="BT112" s="23"/>
      <c r="BU112" s="23">
        <f t="shared" si="133"/>
        <v>11.065068883851694</v>
      </c>
      <c r="BV112" s="23">
        <f t="shared" si="134"/>
        <v>-13.160414828097583</v>
      </c>
      <c r="BW112" s="23">
        <f t="shared" si="135"/>
        <v>4.338265408991401</v>
      </c>
      <c r="BX112" s="23">
        <f t="shared" si="136"/>
        <v>4.4934011117940145</v>
      </c>
      <c r="BY112" s="23">
        <f t="shared" si="137"/>
        <v>-3.641339189141352</v>
      </c>
      <c r="BZ112" s="23">
        <f t="shared" si="138"/>
        <v>-3.0949813873981977</v>
      </c>
      <c r="CA112" s="23"/>
      <c r="CB112" s="23">
        <f t="shared" si="139"/>
        <v>-6.736320576539555</v>
      </c>
      <c r="CC112" s="23">
        <f t="shared" si="140"/>
        <v>0</v>
      </c>
    </row>
    <row r="113" spans="1:81" ht="15" customHeight="1">
      <c r="A113" s="1" t="s">
        <v>9</v>
      </c>
      <c r="B113" s="10">
        <v>53573930</v>
      </c>
      <c r="C113" s="10">
        <f t="shared" si="97"/>
        <v>53841799.64999999</v>
      </c>
      <c r="D113" s="10">
        <v>51182591.83391061</v>
      </c>
      <c r="E113" s="10">
        <v>16335557.137277475</v>
      </c>
      <c r="F113" s="23" t="str">
        <f t="shared" si="98"/>
        <v>ingen</v>
      </c>
      <c r="G113" s="10"/>
      <c r="H113" s="10">
        <f t="shared" si="99"/>
        <v>51182591.83391061</v>
      </c>
      <c r="I113" s="10"/>
      <c r="J113" s="10">
        <f t="shared" si="100"/>
        <v>58806038.87657142</v>
      </c>
      <c r="K113" s="10">
        <f t="shared" si="101"/>
        <v>56450742.46657711</v>
      </c>
      <c r="L113" s="10"/>
      <c r="M113" s="10">
        <f t="shared" si="102"/>
        <v>74160816.4267446</v>
      </c>
      <c r="N113" s="10">
        <f t="shared" si="103"/>
        <v>71805520.01675029</v>
      </c>
      <c r="P113" s="23">
        <f>'Potentialer og krav'!U113</f>
        <v>603057.3424941996</v>
      </c>
      <c r="Q113" s="10"/>
      <c r="R113" s="23">
        <f t="shared" si="104"/>
        <v>267869.65</v>
      </c>
      <c r="S113" s="23">
        <f t="shared" si="105"/>
        <v>1238361.3919499998</v>
      </c>
      <c r="T113" s="23">
        <f t="shared" si="106"/>
        <v>34847034.69663313</v>
      </c>
      <c r="U113" s="23">
        <f t="shared" si="107"/>
        <v>1177199.6121799438</v>
      </c>
      <c r="V113" s="23">
        <f t="shared" si="108"/>
        <v>52359791.44609055</v>
      </c>
      <c r="W113" s="23">
        <f t="shared" si="109"/>
        <v>55080161.04194999</v>
      </c>
      <c r="X113" s="23">
        <f t="shared" si="110"/>
        <v>1177199.6121799438</v>
      </c>
      <c r="Y113" s="23">
        <f t="shared" si="111"/>
        <v>52359791.44609055</v>
      </c>
      <c r="Z113" s="23">
        <f t="shared" si="112"/>
        <v>2720369.595859438</v>
      </c>
      <c r="AA113" s="23" t="str">
        <f t="shared" si="113"/>
        <v>ingen</v>
      </c>
      <c r="AB113" s="23"/>
      <c r="AC113" s="35" t="s">
        <v>9</v>
      </c>
      <c r="AD113" s="6">
        <v>447</v>
      </c>
      <c r="AE113" s="6">
        <v>10380274</v>
      </c>
      <c r="AF113" s="6">
        <v>10222220</v>
      </c>
      <c r="AG113" s="6">
        <v>27</v>
      </c>
      <c r="AH113" s="6">
        <v>14</v>
      </c>
      <c r="AI113" s="6">
        <v>3</v>
      </c>
      <c r="AJ113" s="6">
        <v>4</v>
      </c>
      <c r="AK113" s="6">
        <v>2</v>
      </c>
      <c r="AL113" s="6">
        <v>215</v>
      </c>
      <c r="AM113" s="6">
        <v>599</v>
      </c>
      <c r="AN113" s="6">
        <v>158</v>
      </c>
      <c r="AO113" s="6">
        <v>12</v>
      </c>
      <c r="AP113" s="6">
        <v>2222</v>
      </c>
      <c r="AQ113" s="6">
        <v>23852</v>
      </c>
      <c r="AR113" s="6">
        <v>5833</v>
      </c>
      <c r="AS113" s="6">
        <v>513</v>
      </c>
      <c r="AT113" s="6">
        <v>48510</v>
      </c>
      <c r="AU113" s="6">
        <f t="shared" si="114"/>
        <v>41</v>
      </c>
      <c r="AV113" s="6">
        <f t="shared" si="115"/>
        <v>7</v>
      </c>
      <c r="AW113" s="6">
        <f t="shared" si="116"/>
        <v>2</v>
      </c>
      <c r="AX113" s="6"/>
      <c r="AY113" s="6">
        <f t="shared" si="117"/>
        <v>5414303.451252954</v>
      </c>
      <c r="AZ113" s="6">
        <f t="shared" si="118"/>
        <v>20399344.425318465</v>
      </c>
      <c r="BA113" s="6">
        <f t="shared" si="119"/>
        <v>3881484</v>
      </c>
      <c r="BB113" s="6">
        <f t="shared" si="120"/>
        <v>13821160</v>
      </c>
      <c r="BC113" s="6">
        <f t="shared" si="121"/>
        <v>8241244</v>
      </c>
      <c r="BD113" s="6">
        <f t="shared" si="122"/>
        <v>7048503.000000001</v>
      </c>
      <c r="BE113" s="6">
        <v>26.38600289</v>
      </c>
      <c r="BF113" s="6">
        <f t="shared" si="123"/>
        <v>58806038.87657142</v>
      </c>
      <c r="BG113" s="6">
        <f t="shared" si="124"/>
        <v>56450742.46657711</v>
      </c>
      <c r="BH113" s="6"/>
      <c r="BK113" s="30" t="str">
        <f t="shared" si="125"/>
        <v>Vandcenter Syd as</v>
      </c>
      <c r="BL113" s="23">
        <f t="shared" si="126"/>
        <v>9.207053484110858</v>
      </c>
      <c r="BM113" s="23">
        <f t="shared" si="127"/>
        <v>34.68919997848325</v>
      </c>
      <c r="BN113" s="23">
        <f t="shared" si="128"/>
        <v>6.600485382371844</v>
      </c>
      <c r="BO113" s="23">
        <f t="shared" si="129"/>
        <v>23.502960349037235</v>
      </c>
      <c r="BP113" s="23">
        <f t="shared" si="130"/>
        <v>14.014281793911726</v>
      </c>
      <c r="BQ113" s="23">
        <f t="shared" si="131"/>
        <v>11.986019012085093</v>
      </c>
      <c r="BR113" s="23"/>
      <c r="BS113" s="23">
        <f t="shared" si="132"/>
        <v>26.00030080599682</v>
      </c>
      <c r="BT113" s="23"/>
      <c r="BU113" s="23">
        <f t="shared" si="133"/>
        <v>1.9278358208283173</v>
      </c>
      <c r="BV113" s="23">
        <f t="shared" si="134"/>
        <v>-2.8932101997263793</v>
      </c>
      <c r="BW113" s="23">
        <f t="shared" si="135"/>
        <v>-2.262219973380444</v>
      </c>
      <c r="BX113" s="23">
        <f t="shared" si="136"/>
        <v>0.30232867793097284</v>
      </c>
      <c r="BY113" s="23">
        <f t="shared" si="137"/>
        <v>1.5721646169160284</v>
      </c>
      <c r="BZ113" s="23">
        <f t="shared" si="138"/>
        <v>1.3531010574314806</v>
      </c>
      <c r="CA113" s="23"/>
      <c r="CB113" s="23">
        <f t="shared" si="139"/>
        <v>2.9252656743475036</v>
      </c>
      <c r="CC113" s="23">
        <f t="shared" si="140"/>
        <v>0</v>
      </c>
    </row>
    <row r="114" spans="1:81" ht="15" customHeight="1">
      <c r="A114" s="1" t="s">
        <v>112</v>
      </c>
      <c r="B114" s="10">
        <v>771772</v>
      </c>
      <c r="C114" s="10">
        <f t="shared" si="97"/>
        <v>775630.8599999999</v>
      </c>
      <c r="D114" s="10">
        <v>565845.5546114</v>
      </c>
      <c r="E114" s="10">
        <v>68812.33856907042</v>
      </c>
      <c r="F114" s="23" t="str">
        <f t="shared" si="98"/>
        <v>ingen</v>
      </c>
      <c r="G114" s="10"/>
      <c r="H114" s="10">
        <f t="shared" si="99"/>
        <v>565845.5546114</v>
      </c>
      <c r="I114" s="10"/>
      <c r="J114" s="10">
        <f t="shared" si="100"/>
        <v>838768.4426447519</v>
      </c>
      <c r="K114" s="10">
        <f t="shared" si="101"/>
        <v>759203.3458540987</v>
      </c>
      <c r="L114" s="10"/>
      <c r="M114" s="10">
        <f t="shared" si="102"/>
        <v>1008522.1090281719</v>
      </c>
      <c r="N114" s="10">
        <f t="shared" si="103"/>
        <v>928957.0122375187</v>
      </c>
      <c r="P114" s="23">
        <f>'Potentialer og krav'!U114</f>
        <v>0</v>
      </c>
      <c r="Q114" s="10"/>
      <c r="R114" s="23">
        <f t="shared" si="104"/>
        <v>3858.86</v>
      </c>
      <c r="S114" s="23">
        <f t="shared" si="105"/>
        <v>17839.509779999997</v>
      </c>
      <c r="T114" s="23">
        <f t="shared" si="106"/>
        <v>497033.21604232956</v>
      </c>
      <c r="U114" s="23">
        <f t="shared" si="107"/>
        <v>13014.4477560622</v>
      </c>
      <c r="V114" s="23">
        <f t="shared" si="108"/>
        <v>578860.0023674621</v>
      </c>
      <c r="W114" s="23">
        <f t="shared" si="109"/>
        <v>793470.3697799998</v>
      </c>
      <c r="X114" s="23">
        <f t="shared" si="110"/>
        <v>13014.4477560622</v>
      </c>
      <c r="Y114" s="23">
        <f t="shared" si="111"/>
        <v>578860.0023674621</v>
      </c>
      <c r="Z114" s="23">
        <f t="shared" si="112"/>
        <v>214610.3674125377</v>
      </c>
      <c r="AA114" s="23" t="str">
        <f t="shared" si="113"/>
        <v>ingen</v>
      </c>
      <c r="AB114" s="23"/>
      <c r="AC114" s="35" t="s">
        <v>112</v>
      </c>
      <c r="AD114" s="6">
        <v>284</v>
      </c>
      <c r="AE114" s="6">
        <v>296662</v>
      </c>
      <c r="AF114" s="6">
        <v>296662</v>
      </c>
      <c r="AG114" s="6"/>
      <c r="AH114" s="6"/>
      <c r="AI114" s="6"/>
      <c r="AJ114" s="6"/>
      <c r="AK114" s="6"/>
      <c r="AL114" s="6">
        <v>12</v>
      </c>
      <c r="AM114" s="6"/>
      <c r="AN114" s="6"/>
      <c r="AO114" s="6"/>
      <c r="AP114" s="6"/>
      <c r="AQ114" s="6"/>
      <c r="AR114" s="6"/>
      <c r="AS114" s="6"/>
      <c r="AT114" s="6">
        <v>3</v>
      </c>
      <c r="AU114" s="6">
        <f t="shared" si="114"/>
        <v>0</v>
      </c>
      <c r="AV114" s="6">
        <f t="shared" si="115"/>
        <v>0</v>
      </c>
      <c r="AW114" s="6">
        <f t="shared" si="116"/>
        <v>0</v>
      </c>
      <c r="AX114" s="6"/>
      <c r="AY114" s="6">
        <f t="shared" si="117"/>
        <v>229699.25301457502</v>
      </c>
      <c r="AZ114" s="6">
        <f t="shared" si="118"/>
        <v>536153.2896301768</v>
      </c>
      <c r="BA114" s="6">
        <f t="shared" si="119"/>
        <v>0</v>
      </c>
      <c r="BB114" s="6">
        <f t="shared" si="120"/>
        <v>72480</v>
      </c>
      <c r="BC114" s="6">
        <f t="shared" si="121"/>
        <v>0</v>
      </c>
      <c r="BD114" s="6">
        <f t="shared" si="122"/>
        <v>435.90000000000003</v>
      </c>
      <c r="BE114" s="6">
        <v>23.34114275</v>
      </c>
      <c r="BF114" s="6">
        <f t="shared" si="123"/>
        <v>838768.4426447519</v>
      </c>
      <c r="BG114" s="6">
        <f t="shared" si="124"/>
        <v>759203.3458540987</v>
      </c>
      <c r="BH114" s="6"/>
      <c r="BK114" s="30" t="str">
        <f t="shared" si="125"/>
        <v>Vandforsyningen Brovst og Omegn</v>
      </c>
      <c r="BL114" s="23">
        <f t="shared" si="126"/>
        <v>27.385299843935684</v>
      </c>
      <c r="BM114" s="23">
        <f t="shared" si="127"/>
        <v>63.921490410346394</v>
      </c>
      <c r="BN114" s="23">
        <f t="shared" si="128"/>
        <v>0</v>
      </c>
      <c r="BO114" s="23">
        <f t="shared" si="129"/>
        <v>8.641240694685726</v>
      </c>
      <c r="BP114" s="23">
        <f t="shared" si="130"/>
        <v>0</v>
      </c>
      <c r="BQ114" s="23">
        <f t="shared" si="131"/>
        <v>0.05196905103219519</v>
      </c>
      <c r="BR114" s="23"/>
      <c r="BS114" s="23">
        <f t="shared" si="132"/>
        <v>0.05196905103219519</v>
      </c>
      <c r="BT114" s="23"/>
      <c r="BU114" s="23">
        <f t="shared" si="133"/>
        <v>-16.25041053899651</v>
      </c>
      <c r="BV114" s="23">
        <f t="shared" si="134"/>
        <v>-32.12550063158952</v>
      </c>
      <c r="BW114" s="23">
        <f t="shared" si="135"/>
        <v>4.338265408991401</v>
      </c>
      <c r="BX114" s="23">
        <f t="shared" si="136"/>
        <v>15.164048332282482</v>
      </c>
      <c r="BY114" s="23">
        <f t="shared" si="137"/>
        <v>15.586446410827755</v>
      </c>
      <c r="BZ114" s="23">
        <f t="shared" si="138"/>
        <v>13.287151018484378</v>
      </c>
      <c r="CA114" s="23"/>
      <c r="CB114" s="23">
        <f t="shared" si="139"/>
        <v>28.873597429312127</v>
      </c>
      <c r="CC114" s="23">
        <f t="shared" si="140"/>
        <v>0</v>
      </c>
    </row>
    <row r="115" spans="1:81" ht="15" customHeight="1">
      <c r="A115" s="1" t="s">
        <v>113</v>
      </c>
      <c r="B115" s="10">
        <v>1358690</v>
      </c>
      <c r="C115" s="10">
        <f t="shared" si="97"/>
        <v>1365483.45</v>
      </c>
      <c r="D115" s="10">
        <v>1344790.963166</v>
      </c>
      <c r="E115" s="10">
        <v>396712.3962358315</v>
      </c>
      <c r="F115" s="23" t="str">
        <f t="shared" si="98"/>
        <v>ingen</v>
      </c>
      <c r="G115" s="10"/>
      <c r="H115" s="10">
        <f t="shared" si="99"/>
        <v>1344790.963166</v>
      </c>
      <c r="I115" s="10"/>
      <c r="J115" s="10">
        <f t="shared" si="100"/>
        <v>1599927.7918683917</v>
      </c>
      <c r="K115" s="10">
        <f t="shared" si="101"/>
        <v>1322650.4387189099</v>
      </c>
      <c r="L115" s="10"/>
      <c r="M115" s="10">
        <f t="shared" si="102"/>
        <v>2003365.0808181916</v>
      </c>
      <c r="N115" s="10">
        <f t="shared" si="103"/>
        <v>1726087.7276687098</v>
      </c>
      <c r="P115" s="23">
        <f>'Potentialer og krav'!U115</f>
        <v>39411.35130427665</v>
      </c>
      <c r="Q115" s="10"/>
      <c r="R115" s="23">
        <f t="shared" si="104"/>
        <v>6793.45</v>
      </c>
      <c r="S115" s="23">
        <f t="shared" si="105"/>
        <v>31406.119349999997</v>
      </c>
      <c r="T115" s="23">
        <f t="shared" si="106"/>
        <v>948078.5669301685</v>
      </c>
      <c r="U115" s="23">
        <f t="shared" si="107"/>
        <v>30930.192152818003</v>
      </c>
      <c r="V115" s="23">
        <f t="shared" si="108"/>
        <v>1375721.155318818</v>
      </c>
      <c r="W115" s="23">
        <f t="shared" si="109"/>
        <v>1396889.5693499998</v>
      </c>
      <c r="X115" s="23">
        <f t="shared" si="110"/>
        <v>30930.192152818003</v>
      </c>
      <c r="Y115" s="23">
        <f t="shared" si="111"/>
        <v>1375721.155318818</v>
      </c>
      <c r="Z115" s="23">
        <f t="shared" si="112"/>
        <v>21168.414031181717</v>
      </c>
      <c r="AA115" s="23" t="str">
        <f t="shared" si="113"/>
        <v>ingen</v>
      </c>
      <c r="AB115" s="23"/>
      <c r="AC115" s="35" t="s">
        <v>113</v>
      </c>
      <c r="AD115" s="6">
        <v>26</v>
      </c>
      <c r="AE115" s="6">
        <v>223812</v>
      </c>
      <c r="AF115" s="6">
        <v>213116</v>
      </c>
      <c r="AG115" s="6">
        <v>1</v>
      </c>
      <c r="AH115" s="6"/>
      <c r="AI115" s="6"/>
      <c r="AJ115" s="6"/>
      <c r="AK115" s="6"/>
      <c r="AL115" s="6">
        <v>47.307</v>
      </c>
      <c r="AM115" s="6">
        <v>44.808</v>
      </c>
      <c r="AN115" s="6"/>
      <c r="AO115" s="6"/>
      <c r="AP115" s="6">
        <v>115</v>
      </c>
      <c r="AQ115" s="6">
        <v>1456</v>
      </c>
      <c r="AR115" s="6"/>
      <c r="AS115" s="6"/>
      <c r="AT115" s="6">
        <v>1574</v>
      </c>
      <c r="AU115" s="6">
        <f t="shared" si="114"/>
        <v>1</v>
      </c>
      <c r="AV115" s="6">
        <f t="shared" si="115"/>
        <v>0</v>
      </c>
      <c r="AW115" s="6">
        <f t="shared" si="116"/>
        <v>0</v>
      </c>
      <c r="AX115" s="6"/>
      <c r="AY115" s="6">
        <f t="shared" si="117"/>
        <v>112965.8671388002</v>
      </c>
      <c r="AZ115" s="6">
        <f t="shared" si="118"/>
        <v>381611.1247295913</v>
      </c>
      <c r="BA115" s="6">
        <f t="shared" si="119"/>
        <v>53204</v>
      </c>
      <c r="BB115" s="6">
        <f t="shared" si="120"/>
        <v>556374.6000000001</v>
      </c>
      <c r="BC115" s="6">
        <f t="shared" si="121"/>
        <v>267070</v>
      </c>
      <c r="BD115" s="6">
        <f t="shared" si="122"/>
        <v>228702.2</v>
      </c>
      <c r="BE115" s="6">
        <v>18.98299072</v>
      </c>
      <c r="BF115" s="6">
        <f t="shared" si="123"/>
        <v>1599927.7918683917</v>
      </c>
      <c r="BG115" s="6">
        <f t="shared" si="124"/>
        <v>1322650.4387189099</v>
      </c>
      <c r="BH115" s="6"/>
      <c r="BK115" s="30" t="str">
        <f t="shared" si="125"/>
        <v>Vandforsyningen Østlolland a.m.b.a.</v>
      </c>
      <c r="BL115" s="23">
        <f t="shared" si="126"/>
        <v>7.060685345485432</v>
      </c>
      <c r="BM115" s="23">
        <f t="shared" si="127"/>
        <v>23.851771728019475</v>
      </c>
      <c r="BN115" s="23">
        <f t="shared" si="128"/>
        <v>3.3254000755789423</v>
      </c>
      <c r="BO115" s="23">
        <f t="shared" si="129"/>
        <v>34.77498189779348</v>
      </c>
      <c r="BP115" s="23">
        <f t="shared" si="130"/>
        <v>16.692628339690025</v>
      </c>
      <c r="BQ115" s="23">
        <f t="shared" si="131"/>
        <v>14.294532613432645</v>
      </c>
      <c r="BR115" s="23"/>
      <c r="BS115" s="23">
        <f t="shared" si="132"/>
        <v>30.987160953122668</v>
      </c>
      <c r="BT115" s="23"/>
      <c r="BU115" s="23">
        <f t="shared" si="133"/>
        <v>4.074203959453744</v>
      </c>
      <c r="BV115" s="23">
        <f t="shared" si="134"/>
        <v>7.944218050737398</v>
      </c>
      <c r="BW115" s="23">
        <f t="shared" si="135"/>
        <v>1.0128653334124582</v>
      </c>
      <c r="BX115" s="23">
        <f t="shared" si="136"/>
        <v>-10.969692870825273</v>
      </c>
      <c r="BY115" s="23">
        <f t="shared" si="137"/>
        <v>-1.10618192886227</v>
      </c>
      <c r="BZ115" s="23">
        <f t="shared" si="138"/>
        <v>-0.9554125439160721</v>
      </c>
      <c r="CA115" s="23"/>
      <c r="CB115" s="23">
        <f t="shared" si="139"/>
        <v>-2.0615944727783457</v>
      </c>
      <c r="CC115" s="23">
        <f t="shared" si="140"/>
        <v>0</v>
      </c>
    </row>
    <row r="116" spans="1:81" ht="15" customHeight="1">
      <c r="A116" s="1" t="s">
        <v>114</v>
      </c>
      <c r="B116" s="10">
        <v>4481475</v>
      </c>
      <c r="C116" s="10">
        <f t="shared" si="97"/>
        <v>4503882.374999999</v>
      </c>
      <c r="D116" s="10">
        <v>4503882</v>
      </c>
      <c r="E116" s="10">
        <v>4135373.4739836</v>
      </c>
      <c r="F116" s="23" t="str">
        <f t="shared" si="98"/>
        <v>ingen</v>
      </c>
      <c r="G116" s="10"/>
      <c r="H116" s="10">
        <f t="shared" si="99"/>
        <v>4503882</v>
      </c>
      <c r="I116" s="10"/>
      <c r="J116" s="10">
        <f t="shared" si="100"/>
        <v>621875.6200000001</v>
      </c>
      <c r="K116" s="10">
        <f t="shared" si="101"/>
        <v>301609.6757</v>
      </c>
      <c r="L116" s="10"/>
      <c r="M116" s="10">
        <f t="shared" si="102"/>
        <v>1973040.22</v>
      </c>
      <c r="N116" s="10">
        <f t="shared" si="103"/>
        <v>1652774.2756999999</v>
      </c>
      <c r="P116" s="23">
        <f>'Potentialer og krav'!U116</f>
        <v>225194.1</v>
      </c>
      <c r="Q116" s="10"/>
      <c r="R116" s="23">
        <f t="shared" si="104"/>
        <v>22407.375</v>
      </c>
      <c r="S116" s="23">
        <f t="shared" si="105"/>
        <v>103589.29462499998</v>
      </c>
      <c r="T116" s="23">
        <f t="shared" si="106"/>
        <v>368508.5260164002</v>
      </c>
      <c r="U116" s="23">
        <f t="shared" si="107"/>
        <v>103589.286</v>
      </c>
      <c r="V116" s="23">
        <f t="shared" si="108"/>
        <v>4607471.285999999</v>
      </c>
      <c r="W116" s="23">
        <f t="shared" si="109"/>
        <v>4607471.669624998</v>
      </c>
      <c r="X116" s="23">
        <f t="shared" si="110"/>
        <v>103589.286</v>
      </c>
      <c r="Y116" s="23">
        <f t="shared" si="111"/>
        <v>4607471.285999999</v>
      </c>
      <c r="Z116" s="23">
        <f t="shared" si="112"/>
        <v>0.3836249988526106</v>
      </c>
      <c r="AA116" s="23" t="str">
        <f t="shared" si="113"/>
        <v>ingen</v>
      </c>
      <c r="AB116" s="23"/>
      <c r="AC116" s="35" t="s">
        <v>114</v>
      </c>
      <c r="AD116" s="6">
        <v>0</v>
      </c>
      <c r="AE116" s="6">
        <v>0</v>
      </c>
      <c r="AF116" s="6">
        <f>1347298-1347298</f>
        <v>0</v>
      </c>
      <c r="AG116" s="6">
        <v>6</v>
      </c>
      <c r="AH116" s="6">
        <v>3</v>
      </c>
      <c r="AI116" s="6"/>
      <c r="AJ116" s="6"/>
      <c r="AK116" s="6"/>
      <c r="AL116" s="6">
        <v>23.658</v>
      </c>
      <c r="AM116" s="6"/>
      <c r="AN116" s="6"/>
      <c r="AO116" s="6"/>
      <c r="AP116" s="6"/>
      <c r="AQ116" s="6"/>
      <c r="AR116" s="6"/>
      <c r="AS116" s="6"/>
      <c r="AT116" s="6">
        <v>1</v>
      </c>
      <c r="AU116" s="6">
        <f t="shared" si="114"/>
        <v>9</v>
      </c>
      <c r="AV116" s="6">
        <f t="shared" si="115"/>
        <v>0</v>
      </c>
      <c r="AW116" s="6">
        <f t="shared" si="116"/>
        <v>0</v>
      </c>
      <c r="AX116" s="6"/>
      <c r="AY116" s="6">
        <f t="shared" si="117"/>
        <v>0</v>
      </c>
      <c r="AZ116" s="6">
        <f t="shared" si="118"/>
        <v>0</v>
      </c>
      <c r="BA116" s="6">
        <f t="shared" si="119"/>
        <v>478836</v>
      </c>
      <c r="BB116" s="6">
        <f t="shared" si="120"/>
        <v>142894.32000000004</v>
      </c>
      <c r="BC116" s="6">
        <f t="shared" si="121"/>
        <v>0</v>
      </c>
      <c r="BD116" s="6">
        <f t="shared" si="122"/>
        <v>145.3</v>
      </c>
      <c r="BE116" s="6"/>
      <c r="BF116" s="6">
        <f t="shared" si="123"/>
        <v>621875.6200000001</v>
      </c>
      <c r="BG116" s="6">
        <f t="shared" si="124"/>
        <v>301609.6757</v>
      </c>
      <c r="BH116" s="6"/>
      <c r="BK116" s="30" t="str">
        <f t="shared" si="125"/>
        <v>Vandfællesskabet Nordvestsjælland a.m.b.a.</v>
      </c>
      <c r="BL116" s="23">
        <f t="shared" si="126"/>
        <v>0</v>
      </c>
      <c r="BM116" s="23">
        <f t="shared" si="127"/>
        <v>0</v>
      </c>
      <c r="BN116" s="23">
        <f t="shared" si="128"/>
        <v>76.99867700232403</v>
      </c>
      <c r="BO116" s="23">
        <f t="shared" si="129"/>
        <v>22.97795819684972</v>
      </c>
      <c r="BP116" s="23">
        <f t="shared" si="130"/>
        <v>0</v>
      </c>
      <c r="BQ116" s="23">
        <f t="shared" si="131"/>
        <v>0.02336480082624882</v>
      </c>
      <c r="BR116" s="23"/>
      <c r="BS116" s="23">
        <f t="shared" si="132"/>
        <v>0.02336480082624882</v>
      </c>
      <c r="BT116" s="23"/>
      <c r="BU116" s="23">
        <f t="shared" si="133"/>
        <v>11.134889304939176</v>
      </c>
      <c r="BV116" s="23">
        <f t="shared" si="134"/>
        <v>31.795989778756873</v>
      </c>
      <c r="BW116" s="23">
        <f t="shared" si="135"/>
        <v>-72.66041159333263</v>
      </c>
      <c r="BX116" s="23">
        <f t="shared" si="136"/>
        <v>0.8273308301184876</v>
      </c>
      <c r="BY116" s="23">
        <f t="shared" si="137"/>
        <v>15.586446410827755</v>
      </c>
      <c r="BZ116" s="23">
        <f t="shared" si="138"/>
        <v>13.315755268690324</v>
      </c>
      <c r="CA116" s="23"/>
      <c r="CB116" s="23">
        <f t="shared" si="139"/>
        <v>28.902201679518072</v>
      </c>
      <c r="CC116" s="23">
        <f t="shared" si="140"/>
        <v>0</v>
      </c>
    </row>
    <row r="117" spans="1:81" ht="15" customHeight="1">
      <c r="A117" s="1" t="s">
        <v>115</v>
      </c>
      <c r="B117" s="10">
        <v>3032242</v>
      </c>
      <c r="C117" s="10">
        <f t="shared" si="97"/>
        <v>3047403.2099999995</v>
      </c>
      <c r="D117" s="10">
        <v>2398402</v>
      </c>
      <c r="E117" s="10">
        <v>1381703.572721044</v>
      </c>
      <c r="F117" s="23" t="str">
        <f t="shared" si="98"/>
        <v>ingen</v>
      </c>
      <c r="G117" s="10"/>
      <c r="H117" s="10">
        <f t="shared" si="99"/>
        <v>2398402</v>
      </c>
      <c r="I117" s="10"/>
      <c r="J117" s="10">
        <f t="shared" si="100"/>
        <v>1709532.7296998457</v>
      </c>
      <c r="K117" s="10">
        <f t="shared" si="101"/>
        <v>1730471.066400723</v>
      </c>
      <c r="L117" s="10"/>
      <c r="M117" s="10">
        <f t="shared" si="102"/>
        <v>2429053.3296998455</v>
      </c>
      <c r="N117" s="10">
        <f t="shared" si="103"/>
        <v>2449991.666400723</v>
      </c>
      <c r="P117" s="23">
        <f>'Potentialer og krav'!U117</f>
        <v>119920.1</v>
      </c>
      <c r="Q117" s="10"/>
      <c r="R117" s="23">
        <f t="shared" si="104"/>
        <v>15161.210000000001</v>
      </c>
      <c r="S117" s="23">
        <f t="shared" si="105"/>
        <v>70090.27382999999</v>
      </c>
      <c r="T117" s="23">
        <f t="shared" si="106"/>
        <v>1016698.4272789559</v>
      </c>
      <c r="U117" s="23">
        <f t="shared" si="107"/>
        <v>55163.246</v>
      </c>
      <c r="V117" s="23">
        <f t="shared" si="108"/>
        <v>2453565.246</v>
      </c>
      <c r="W117" s="23">
        <f t="shared" si="109"/>
        <v>3117493.4838299993</v>
      </c>
      <c r="X117" s="23">
        <f t="shared" si="110"/>
        <v>55163.246</v>
      </c>
      <c r="Y117" s="23">
        <f t="shared" si="111"/>
        <v>2453565.246</v>
      </c>
      <c r="Z117" s="23">
        <f t="shared" si="112"/>
        <v>663928.2378299995</v>
      </c>
      <c r="AA117" s="23" t="str">
        <f t="shared" si="113"/>
        <v>ingen</v>
      </c>
      <c r="AB117" s="23"/>
      <c r="AC117" s="35" t="s">
        <v>115</v>
      </c>
      <c r="AD117" s="6">
        <v>31</v>
      </c>
      <c r="AE117" s="6">
        <v>337920</v>
      </c>
      <c r="AF117" s="6">
        <v>323671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4</v>
      </c>
      <c r="AM117" s="6">
        <v>50</v>
      </c>
      <c r="AN117" s="6"/>
      <c r="AO117" s="6"/>
      <c r="AP117" s="6"/>
      <c r="AQ117" s="6">
        <v>1985</v>
      </c>
      <c r="AR117" s="6"/>
      <c r="AS117" s="6"/>
      <c r="AT117" s="6">
        <v>2014</v>
      </c>
      <c r="AU117" s="6">
        <f t="shared" si="114"/>
        <v>0</v>
      </c>
      <c r="AV117" s="6">
        <f t="shared" si="115"/>
        <v>0</v>
      </c>
      <c r="AW117" s="6">
        <f t="shared" si="116"/>
        <v>0</v>
      </c>
      <c r="AX117" s="6"/>
      <c r="AY117" s="6">
        <f t="shared" si="117"/>
        <v>166893.31622843124</v>
      </c>
      <c r="AZ117" s="6">
        <f t="shared" si="118"/>
        <v>586395.2134714144</v>
      </c>
      <c r="BA117" s="6">
        <f t="shared" si="119"/>
        <v>0</v>
      </c>
      <c r="BB117" s="6">
        <f t="shared" si="120"/>
        <v>326160</v>
      </c>
      <c r="BC117" s="6">
        <f t="shared" si="121"/>
        <v>337450</v>
      </c>
      <c r="BD117" s="6">
        <f t="shared" si="122"/>
        <v>292634.2</v>
      </c>
      <c r="BE117" s="6">
        <v>29.2915549</v>
      </c>
      <c r="BF117" s="6">
        <f t="shared" si="123"/>
        <v>1709532.7296998457</v>
      </c>
      <c r="BG117" s="6">
        <f t="shared" si="124"/>
        <v>1730471.066400723</v>
      </c>
      <c r="BH117" s="6"/>
      <c r="BK117" s="30" t="str">
        <f t="shared" si="125"/>
        <v>Vandværket Lyngen</v>
      </c>
      <c r="BL117" s="23">
        <f t="shared" si="126"/>
        <v>9.762510733429119</v>
      </c>
      <c r="BM117" s="23">
        <f t="shared" si="127"/>
        <v>34.30149088601374</v>
      </c>
      <c r="BN117" s="23">
        <f t="shared" si="128"/>
        <v>0</v>
      </c>
      <c r="BO117" s="23">
        <f t="shared" si="129"/>
        <v>19.078897662127016</v>
      </c>
      <c r="BP117" s="23">
        <f t="shared" si="130"/>
        <v>19.73931204342887</v>
      </c>
      <c r="BQ117" s="23">
        <f t="shared" si="131"/>
        <v>17.117788675001254</v>
      </c>
      <c r="BR117" s="23"/>
      <c r="BS117" s="23">
        <f t="shared" si="132"/>
        <v>36.857100718430125</v>
      </c>
      <c r="BT117" s="23"/>
      <c r="BU117" s="23">
        <f t="shared" si="133"/>
        <v>1.3723785715100565</v>
      </c>
      <c r="BV117" s="23">
        <f t="shared" si="134"/>
        <v>-2.5055011072568654</v>
      </c>
      <c r="BW117" s="23">
        <f t="shared" si="135"/>
        <v>4.338265408991401</v>
      </c>
      <c r="BX117" s="23">
        <f t="shared" si="136"/>
        <v>4.7263913648411915</v>
      </c>
      <c r="BY117" s="23">
        <f t="shared" si="137"/>
        <v>-4.152865632601117</v>
      </c>
      <c r="BZ117" s="23">
        <f t="shared" si="138"/>
        <v>-3.7786686054846808</v>
      </c>
      <c r="CA117" s="23"/>
      <c r="CB117" s="23">
        <f t="shared" si="139"/>
        <v>-7.931534238085803</v>
      </c>
      <c r="CC117" s="23">
        <f t="shared" si="140"/>
        <v>0</v>
      </c>
    </row>
    <row r="118" spans="1:81" ht="15" customHeight="1">
      <c r="A118" s="1" t="s">
        <v>116</v>
      </c>
      <c r="B118" s="10">
        <v>9564421</v>
      </c>
      <c r="C118" s="10">
        <f t="shared" si="97"/>
        <v>9612243.104999999</v>
      </c>
      <c r="D118" s="10">
        <v>7578261.7033984</v>
      </c>
      <c r="E118" s="10">
        <v>1249689.4365775126</v>
      </c>
      <c r="F118" s="23" t="str">
        <f t="shared" si="98"/>
        <v>ingen</v>
      </c>
      <c r="G118" s="10"/>
      <c r="H118" s="10">
        <f t="shared" si="99"/>
        <v>7578261.7033984</v>
      </c>
      <c r="I118" s="10"/>
      <c r="J118" s="10">
        <f t="shared" si="100"/>
        <v>10679768.510258384</v>
      </c>
      <c r="K118" s="10">
        <f t="shared" si="101"/>
        <v>9546731.174390439</v>
      </c>
      <c r="L118" s="10"/>
      <c r="M118" s="10">
        <f t="shared" si="102"/>
        <v>12953247.021277905</v>
      </c>
      <c r="N118" s="10">
        <f t="shared" si="103"/>
        <v>11820209.68540996</v>
      </c>
      <c r="P118" s="23">
        <f>'Potentialer og krav'!U118</f>
        <v>0</v>
      </c>
      <c r="Q118" s="10"/>
      <c r="R118" s="23">
        <f t="shared" si="104"/>
        <v>47822.105</v>
      </c>
      <c r="S118" s="23">
        <f t="shared" si="105"/>
        <v>221081.59141499997</v>
      </c>
      <c r="T118" s="23">
        <f t="shared" si="106"/>
        <v>6328572.266820887</v>
      </c>
      <c r="U118" s="23">
        <f t="shared" si="107"/>
        <v>174300.0191781632</v>
      </c>
      <c r="V118" s="23">
        <f t="shared" si="108"/>
        <v>7752561.722576562</v>
      </c>
      <c r="W118" s="23">
        <f t="shared" si="109"/>
        <v>9833324.696414998</v>
      </c>
      <c r="X118" s="23">
        <f t="shared" si="110"/>
        <v>174300.0191781632</v>
      </c>
      <c r="Y118" s="23">
        <f t="shared" si="111"/>
        <v>7752561.722576562</v>
      </c>
      <c r="Z118" s="23">
        <f t="shared" si="112"/>
        <v>2080762.9738384355</v>
      </c>
      <c r="AA118" s="23" t="str">
        <f t="shared" si="113"/>
        <v>ingen</v>
      </c>
      <c r="AB118" s="23"/>
      <c r="AC118" s="35" t="s">
        <v>116</v>
      </c>
      <c r="AD118" s="6">
        <v>144</v>
      </c>
      <c r="AE118" s="6">
        <v>1420825</v>
      </c>
      <c r="AF118" s="6">
        <v>1762503</v>
      </c>
      <c r="AG118" s="6">
        <v>4</v>
      </c>
      <c r="AH118" s="6">
        <v>3</v>
      </c>
      <c r="AI118" s="6"/>
      <c r="AJ118" s="6"/>
      <c r="AK118" s="6"/>
      <c r="AL118" s="6">
        <v>322</v>
      </c>
      <c r="AM118" s="6">
        <v>170</v>
      </c>
      <c r="AN118" s="6">
        <v>7</v>
      </c>
      <c r="AO118" s="6"/>
      <c r="AP118" s="6">
        <v>1384</v>
      </c>
      <c r="AQ118" s="6">
        <v>6880</v>
      </c>
      <c r="AR118" s="6">
        <v>337</v>
      </c>
      <c r="AS118" s="6">
        <v>0</v>
      </c>
      <c r="AT118" s="6">
        <v>8661</v>
      </c>
      <c r="AU118" s="6">
        <f t="shared" si="114"/>
        <v>7</v>
      </c>
      <c r="AV118" s="6">
        <f t="shared" si="115"/>
        <v>0</v>
      </c>
      <c r="AW118" s="6">
        <f t="shared" si="116"/>
        <v>0</v>
      </c>
      <c r="AX118" s="6"/>
      <c r="AY118" s="6">
        <f t="shared" si="117"/>
        <v>778760.585989814</v>
      </c>
      <c r="AZ118" s="6">
        <f t="shared" si="118"/>
        <v>3348306.6242685695</v>
      </c>
      <c r="BA118" s="6">
        <f t="shared" si="119"/>
        <v>372428</v>
      </c>
      <c r="BB118" s="6">
        <f t="shared" si="120"/>
        <v>3338340</v>
      </c>
      <c r="BC118" s="6">
        <f t="shared" si="121"/>
        <v>1583490</v>
      </c>
      <c r="BD118" s="6">
        <f t="shared" si="122"/>
        <v>1258443.3</v>
      </c>
      <c r="BE118" s="6">
        <v>22.71711457</v>
      </c>
      <c r="BF118" s="6">
        <f t="shared" si="123"/>
        <v>10679768.510258384</v>
      </c>
      <c r="BG118" s="6">
        <f t="shared" si="124"/>
        <v>9546731.174390439</v>
      </c>
      <c r="BH118" s="6"/>
      <c r="BK118" s="30" t="str">
        <f t="shared" si="125"/>
        <v>VARDE VANDFORSYNING A/S</v>
      </c>
      <c r="BL118" s="23">
        <f t="shared" si="126"/>
        <v>7.291923839377048</v>
      </c>
      <c r="BM118" s="23">
        <f t="shared" si="127"/>
        <v>31.351865174346944</v>
      </c>
      <c r="BN118" s="23">
        <f t="shared" si="128"/>
        <v>3.4872291439862826</v>
      </c>
      <c r="BO118" s="23">
        <f t="shared" si="129"/>
        <v>31.258542699622925</v>
      </c>
      <c r="BP118" s="23">
        <f t="shared" si="130"/>
        <v>14.827006769659743</v>
      </c>
      <c r="BQ118" s="23">
        <f t="shared" si="131"/>
        <v>11.783432373007058</v>
      </c>
      <c r="BR118" s="23"/>
      <c r="BS118" s="23">
        <f t="shared" si="132"/>
        <v>26.6104391426668</v>
      </c>
      <c r="BT118" s="23"/>
      <c r="BU118" s="23">
        <f t="shared" si="133"/>
        <v>3.842965465562128</v>
      </c>
      <c r="BV118" s="23">
        <f t="shared" si="134"/>
        <v>0.44412460440992874</v>
      </c>
      <c r="BW118" s="23">
        <f t="shared" si="135"/>
        <v>0.851036265005118</v>
      </c>
      <c r="BX118" s="23">
        <f t="shared" si="136"/>
        <v>-7.453253672654718</v>
      </c>
      <c r="BY118" s="23">
        <f t="shared" si="137"/>
        <v>0.7594396411680115</v>
      </c>
      <c r="BZ118" s="23">
        <f t="shared" si="138"/>
        <v>1.5556876965095157</v>
      </c>
      <c r="CA118" s="23"/>
      <c r="CB118" s="23">
        <f t="shared" si="139"/>
        <v>2.3151273376775237</v>
      </c>
      <c r="CC118" s="23">
        <f t="shared" si="140"/>
        <v>0</v>
      </c>
    </row>
    <row r="119" spans="1:81" ht="15" customHeight="1">
      <c r="A119" s="1" t="s">
        <v>117</v>
      </c>
      <c r="B119" s="10">
        <v>615346</v>
      </c>
      <c r="C119" s="10">
        <f t="shared" si="97"/>
        <v>618422.73</v>
      </c>
      <c r="D119" s="10">
        <v>459511.5898688</v>
      </c>
      <c r="E119" s="10">
        <v>0</v>
      </c>
      <c r="F119" s="23" t="str">
        <f t="shared" si="98"/>
        <v>ingen</v>
      </c>
      <c r="G119" s="10"/>
      <c r="H119" s="10">
        <f t="shared" si="99"/>
        <v>459511.5898688</v>
      </c>
      <c r="I119" s="10"/>
      <c r="J119" s="10">
        <f t="shared" si="100"/>
        <v>1142838.0148262219</v>
      </c>
      <c r="K119" s="10">
        <f t="shared" si="101"/>
        <v>1160572.4278056182</v>
      </c>
      <c r="L119" s="10"/>
      <c r="M119" s="10">
        <f t="shared" si="102"/>
        <v>1280691.4917868618</v>
      </c>
      <c r="N119" s="10">
        <f t="shared" si="103"/>
        <v>1298425.904766258</v>
      </c>
      <c r="P119" s="23">
        <f>'Potentialer og krav'!U119</f>
        <v>0</v>
      </c>
      <c r="Q119" s="10"/>
      <c r="R119" s="23">
        <f t="shared" si="104"/>
        <v>3076.73</v>
      </c>
      <c r="S119" s="23">
        <f t="shared" si="105"/>
        <v>14223.72279</v>
      </c>
      <c r="T119" s="23">
        <f t="shared" si="106"/>
        <v>459511.5898688</v>
      </c>
      <c r="U119" s="23">
        <f t="shared" si="107"/>
        <v>10568.7665669824</v>
      </c>
      <c r="V119" s="23">
        <f t="shared" si="108"/>
        <v>470080.3564357824</v>
      </c>
      <c r="W119" s="23">
        <f t="shared" si="109"/>
        <v>632646.4527899999</v>
      </c>
      <c r="X119" s="23">
        <f t="shared" si="110"/>
        <v>10568.7665669824</v>
      </c>
      <c r="Y119" s="23">
        <f t="shared" si="111"/>
        <v>470080.3564357824</v>
      </c>
      <c r="Z119" s="23">
        <f t="shared" si="112"/>
        <v>162566.0963542175</v>
      </c>
      <c r="AA119" s="23" t="str">
        <f t="shared" si="113"/>
        <v>ingen</v>
      </c>
      <c r="AB119" s="23"/>
      <c r="AC119" s="35" t="s">
        <v>117</v>
      </c>
      <c r="AD119" s="6">
        <v>14</v>
      </c>
      <c r="AE119" s="6">
        <v>219847</v>
      </c>
      <c r="AF119" s="6">
        <v>201280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47</v>
      </c>
      <c r="AM119" s="6">
        <v>18</v>
      </c>
      <c r="AN119" s="6">
        <v>0</v>
      </c>
      <c r="AO119" s="6">
        <v>0</v>
      </c>
      <c r="AP119" s="6">
        <v>304</v>
      </c>
      <c r="AQ119" s="6">
        <v>598</v>
      </c>
      <c r="AR119" s="6">
        <v>0</v>
      </c>
      <c r="AS119" s="6">
        <v>0</v>
      </c>
      <c r="AT119" s="6">
        <v>953</v>
      </c>
      <c r="AU119" s="6">
        <f t="shared" si="114"/>
        <v>0</v>
      </c>
      <c r="AV119" s="6">
        <f t="shared" si="115"/>
        <v>0</v>
      </c>
      <c r="AW119" s="6">
        <f t="shared" si="116"/>
        <v>0</v>
      </c>
      <c r="AX119" s="6"/>
      <c r="AY119" s="6">
        <f t="shared" si="117"/>
        <v>98586.01772945734</v>
      </c>
      <c r="AZ119" s="6">
        <f t="shared" si="118"/>
        <v>359841.09709676466</v>
      </c>
      <c r="BA119" s="6">
        <f t="shared" si="119"/>
        <v>0</v>
      </c>
      <c r="BB119" s="6">
        <f t="shared" si="120"/>
        <v>392600</v>
      </c>
      <c r="BC119" s="6">
        <f t="shared" si="121"/>
        <v>153340</v>
      </c>
      <c r="BD119" s="6">
        <f t="shared" si="122"/>
        <v>138470.90000000002</v>
      </c>
      <c r="BE119" s="6">
        <v>29.47321506</v>
      </c>
      <c r="BF119" s="6">
        <f t="shared" si="123"/>
        <v>1142838.0148262219</v>
      </c>
      <c r="BG119" s="6">
        <f t="shared" si="124"/>
        <v>1160572.4278056182</v>
      </c>
      <c r="BH119" s="6"/>
      <c r="BK119" s="30" t="str">
        <f t="shared" si="125"/>
        <v>Vemb Vandværk</v>
      </c>
      <c r="BL119" s="23">
        <f t="shared" si="126"/>
        <v>8.62642093196805</v>
      </c>
      <c r="BM119" s="23">
        <f t="shared" si="127"/>
        <v>31.486622988427765</v>
      </c>
      <c r="BN119" s="23">
        <f t="shared" si="128"/>
        <v>0</v>
      </c>
      <c r="BO119" s="23">
        <f t="shared" si="129"/>
        <v>34.3530749683452</v>
      </c>
      <c r="BP119" s="23">
        <f t="shared" si="130"/>
        <v>13.417474568634876</v>
      </c>
      <c r="BQ119" s="23">
        <f t="shared" si="131"/>
        <v>12.116406542624127</v>
      </c>
      <c r="BR119" s="23"/>
      <c r="BS119" s="23">
        <f t="shared" si="132"/>
        <v>25.533881111259003</v>
      </c>
      <c r="BT119" s="23"/>
      <c r="BU119" s="23">
        <f t="shared" si="133"/>
        <v>2.508468372971125</v>
      </c>
      <c r="BV119" s="23">
        <f t="shared" si="134"/>
        <v>0.30936679032910774</v>
      </c>
      <c r="BW119" s="23">
        <f t="shared" si="135"/>
        <v>4.338265408991401</v>
      </c>
      <c r="BX119" s="23">
        <f t="shared" si="136"/>
        <v>-10.54778594137699</v>
      </c>
      <c r="BY119" s="23">
        <f t="shared" si="137"/>
        <v>2.168971842192878</v>
      </c>
      <c r="BZ119" s="23">
        <f t="shared" si="138"/>
        <v>1.2227135268924467</v>
      </c>
      <c r="CA119" s="23"/>
      <c r="CB119" s="23">
        <f t="shared" si="139"/>
        <v>3.3916853690853195</v>
      </c>
      <c r="CC119" s="23">
        <f t="shared" si="140"/>
        <v>0</v>
      </c>
    </row>
    <row r="120" spans="1:81" ht="15" customHeight="1">
      <c r="A120" s="1" t="s">
        <v>118</v>
      </c>
      <c r="B120" s="10">
        <v>11732154</v>
      </c>
      <c r="C120" s="10">
        <f t="shared" si="97"/>
        <v>11790814.77</v>
      </c>
      <c r="D120" s="10">
        <v>10042672.0708678</v>
      </c>
      <c r="E120" s="10">
        <v>968594.5431404244</v>
      </c>
      <c r="F120" s="23" t="str">
        <f t="shared" si="98"/>
        <v>ingen</v>
      </c>
      <c r="G120" s="10"/>
      <c r="H120" s="10">
        <f t="shared" si="99"/>
        <v>10042672.0708678</v>
      </c>
      <c r="I120" s="10"/>
      <c r="J120" s="10">
        <f t="shared" si="100"/>
        <v>15312939.808508523</v>
      </c>
      <c r="K120" s="10">
        <f t="shared" si="101"/>
        <v>14888374.350790985</v>
      </c>
      <c r="L120" s="10"/>
      <c r="M120" s="10">
        <f t="shared" si="102"/>
        <v>18325741.429768864</v>
      </c>
      <c r="N120" s="10">
        <f t="shared" si="103"/>
        <v>17901175.972051326</v>
      </c>
      <c r="P120" s="23">
        <f>'Potentialer og krav'!U120</f>
        <v>0</v>
      </c>
      <c r="Q120" s="10"/>
      <c r="R120" s="23">
        <f t="shared" si="104"/>
        <v>58660.770000000004</v>
      </c>
      <c r="S120" s="23">
        <f t="shared" si="105"/>
        <v>271188.73971</v>
      </c>
      <c r="T120" s="23">
        <f t="shared" si="106"/>
        <v>9074077.527727375</v>
      </c>
      <c r="U120" s="23">
        <f t="shared" si="107"/>
        <v>230981.4576299594</v>
      </c>
      <c r="V120" s="23">
        <f t="shared" si="108"/>
        <v>10273653.528497757</v>
      </c>
      <c r="W120" s="23">
        <f t="shared" si="109"/>
        <v>12062003.509709999</v>
      </c>
      <c r="X120" s="23">
        <f t="shared" si="110"/>
        <v>230981.4576299594</v>
      </c>
      <c r="Y120" s="23">
        <f t="shared" si="111"/>
        <v>10273653.528497757</v>
      </c>
      <c r="Z120" s="23">
        <f t="shared" si="112"/>
        <v>1788349.9812122416</v>
      </c>
      <c r="AA120" s="23" t="str">
        <f t="shared" si="113"/>
        <v>ingen</v>
      </c>
      <c r="AB120" s="23"/>
      <c r="AC120" s="35" t="s">
        <v>118</v>
      </c>
      <c r="AD120" s="6">
        <v>162</v>
      </c>
      <c r="AE120" s="6">
        <v>2629605</v>
      </c>
      <c r="AF120" s="6">
        <v>2610898</v>
      </c>
      <c r="AG120" s="6">
        <v>1</v>
      </c>
      <c r="AH120" s="6">
        <v>1</v>
      </c>
      <c r="AI120" s="6">
        <v>1</v>
      </c>
      <c r="AJ120" s="6">
        <v>2</v>
      </c>
      <c r="AK120" s="6">
        <v>1</v>
      </c>
      <c r="AL120" s="6">
        <v>93</v>
      </c>
      <c r="AM120" s="6">
        <v>209</v>
      </c>
      <c r="AN120" s="6">
        <v>39</v>
      </c>
      <c r="AO120" s="6">
        <v>0</v>
      </c>
      <c r="AP120" s="6">
        <v>904</v>
      </c>
      <c r="AQ120" s="6">
        <v>8462</v>
      </c>
      <c r="AR120" s="6">
        <v>1946</v>
      </c>
      <c r="AS120" s="6">
        <v>0</v>
      </c>
      <c r="AT120" s="6">
        <v>10718</v>
      </c>
      <c r="AU120" s="6">
        <f t="shared" si="114"/>
        <v>2</v>
      </c>
      <c r="AV120" s="6">
        <f t="shared" si="115"/>
        <v>3</v>
      </c>
      <c r="AW120" s="6">
        <f t="shared" si="116"/>
        <v>1</v>
      </c>
      <c r="AX120" s="6"/>
      <c r="AY120" s="6">
        <f t="shared" si="117"/>
        <v>1356341.474283126</v>
      </c>
      <c r="AZ120" s="6">
        <f t="shared" si="118"/>
        <v>5014916.934225396</v>
      </c>
      <c r="BA120" s="6">
        <f t="shared" si="119"/>
        <v>893856</v>
      </c>
      <c r="BB120" s="6">
        <f t="shared" si="120"/>
        <v>3866900</v>
      </c>
      <c r="BC120" s="6">
        <f t="shared" si="121"/>
        <v>2623600</v>
      </c>
      <c r="BD120" s="6">
        <f t="shared" si="122"/>
        <v>1557325.4000000001</v>
      </c>
      <c r="BE120" s="6">
        <v>27.07078181</v>
      </c>
      <c r="BF120" s="6">
        <f t="shared" si="123"/>
        <v>15312939.808508523</v>
      </c>
      <c r="BG120" s="6">
        <f t="shared" si="124"/>
        <v>14888374.350790985</v>
      </c>
      <c r="BH120" s="6"/>
      <c r="BK120" s="30" t="str">
        <f t="shared" si="125"/>
        <v>Verdo Vand A/S</v>
      </c>
      <c r="BL120" s="23">
        <f t="shared" si="126"/>
        <v>8.857485833840245</v>
      </c>
      <c r="BM120" s="23">
        <f t="shared" si="127"/>
        <v>32.74953729942107</v>
      </c>
      <c r="BN120" s="23">
        <f t="shared" si="128"/>
        <v>5.837259279915248</v>
      </c>
      <c r="BO120" s="23">
        <f t="shared" si="129"/>
        <v>25.252499182759053</v>
      </c>
      <c r="BP120" s="23">
        <f t="shared" si="130"/>
        <v>17.133222182080384</v>
      </c>
      <c r="BQ120" s="23">
        <f t="shared" si="131"/>
        <v>10.169996221983995</v>
      </c>
      <c r="BR120" s="23"/>
      <c r="BS120" s="23">
        <f t="shared" si="132"/>
        <v>27.30321840406438</v>
      </c>
      <c r="BT120" s="23"/>
      <c r="BU120" s="23">
        <f t="shared" si="133"/>
        <v>2.27740347109893</v>
      </c>
      <c r="BV120" s="23">
        <f t="shared" si="134"/>
        <v>-0.9535475206641983</v>
      </c>
      <c r="BW120" s="23">
        <f t="shared" si="135"/>
        <v>-1.4989938709238473</v>
      </c>
      <c r="BX120" s="23">
        <f t="shared" si="136"/>
        <v>-1.4472101557908452</v>
      </c>
      <c r="BY120" s="23">
        <f t="shared" si="137"/>
        <v>-1.54677577125263</v>
      </c>
      <c r="BZ120" s="23">
        <f t="shared" si="138"/>
        <v>3.1691238475325783</v>
      </c>
      <c r="CA120" s="23"/>
      <c r="CB120" s="23">
        <f t="shared" si="139"/>
        <v>1.6223480762799412</v>
      </c>
      <c r="CC120" s="23">
        <f t="shared" si="140"/>
        <v>0</v>
      </c>
    </row>
    <row r="121" spans="1:81" ht="15" customHeight="1">
      <c r="A121" s="30" t="s">
        <v>131</v>
      </c>
      <c r="B121" s="23">
        <v>14982685</v>
      </c>
      <c r="C121" s="10">
        <f t="shared" si="97"/>
        <v>15057598.424999999</v>
      </c>
      <c r="D121" s="23">
        <v>14040446.9504124</v>
      </c>
      <c r="E121" s="23">
        <v>0</v>
      </c>
      <c r="F121" s="23" t="str">
        <f t="shared" si="98"/>
        <v>ingen</v>
      </c>
      <c r="G121" s="23"/>
      <c r="H121" s="10">
        <f t="shared" si="99"/>
        <v>14040446.9504124</v>
      </c>
      <c r="I121" s="23"/>
      <c r="J121" s="10">
        <f t="shared" si="100"/>
        <v>25283998.102670703</v>
      </c>
      <c r="K121" s="10">
        <f t="shared" si="101"/>
        <v>25038015.741665874</v>
      </c>
      <c r="L121" s="23"/>
      <c r="M121" s="10">
        <f t="shared" si="102"/>
        <v>29496132.187794425</v>
      </c>
      <c r="N121" s="10">
        <f t="shared" si="103"/>
        <v>29250149.826789595</v>
      </c>
      <c r="P121" s="23">
        <f>'Potentialer og krav'!U121</f>
        <v>0</v>
      </c>
      <c r="Q121" s="10"/>
      <c r="R121" s="23">
        <f t="shared" si="104"/>
        <v>74913.425</v>
      </c>
      <c r="S121" s="23">
        <f t="shared" si="105"/>
        <v>346324.76377499994</v>
      </c>
      <c r="T121" s="23">
        <f t="shared" si="106"/>
        <v>14040446.9504124</v>
      </c>
      <c r="U121" s="23">
        <f t="shared" si="107"/>
        <v>322930.2798594852</v>
      </c>
      <c r="V121" s="23">
        <f t="shared" si="108"/>
        <v>14363377.230271883</v>
      </c>
      <c r="W121" s="23">
        <f t="shared" si="109"/>
        <v>15403923.188774997</v>
      </c>
      <c r="X121" s="23">
        <f t="shared" si="110"/>
        <v>322930.2798594852</v>
      </c>
      <c r="Y121" s="23">
        <f t="shared" si="111"/>
        <v>14363377.230271883</v>
      </c>
      <c r="Z121" s="23">
        <f t="shared" si="112"/>
        <v>1040545.9585031141</v>
      </c>
      <c r="AA121" s="23" t="str">
        <f t="shared" si="113"/>
        <v>ingen</v>
      </c>
      <c r="AB121" s="23"/>
      <c r="AC121" s="35" t="s">
        <v>131</v>
      </c>
      <c r="AD121" s="6">
        <v>297</v>
      </c>
      <c r="AE121" s="6">
        <v>3986510</v>
      </c>
      <c r="AF121" s="6">
        <v>3967593</v>
      </c>
      <c r="AG121" s="6">
        <v>15</v>
      </c>
      <c r="AH121" s="6">
        <v>5</v>
      </c>
      <c r="AI121" s="6">
        <v>1</v>
      </c>
      <c r="AJ121" s="6"/>
      <c r="AK121" s="6">
        <v>1</v>
      </c>
      <c r="AL121" s="6">
        <v>660</v>
      </c>
      <c r="AM121" s="6">
        <v>379</v>
      </c>
      <c r="AN121" s="6">
        <v>35</v>
      </c>
      <c r="AO121" s="6">
        <v>0</v>
      </c>
      <c r="AP121" s="6">
        <v>2239</v>
      </c>
      <c r="AQ121" s="6">
        <v>14668</v>
      </c>
      <c r="AR121" s="6">
        <v>702</v>
      </c>
      <c r="AS121" s="6">
        <v>0</v>
      </c>
      <c r="AT121" s="6">
        <v>16726</v>
      </c>
      <c r="AU121" s="6">
        <f t="shared" si="114"/>
        <v>20</v>
      </c>
      <c r="AV121" s="6">
        <f t="shared" si="115"/>
        <v>1</v>
      </c>
      <c r="AW121" s="6">
        <f t="shared" si="116"/>
        <v>1</v>
      </c>
      <c r="AX121" s="6"/>
      <c r="AY121" s="6">
        <f t="shared" si="117"/>
        <v>2186895.063425235</v>
      </c>
      <c r="AZ121" s="6">
        <f t="shared" si="118"/>
        <v>7710625.239245466</v>
      </c>
      <c r="BA121" s="6">
        <f t="shared" si="119"/>
        <v>1601080</v>
      </c>
      <c r="BB121" s="6">
        <f t="shared" si="120"/>
        <v>8108860</v>
      </c>
      <c r="BC121" s="6">
        <f t="shared" si="121"/>
        <v>3246250</v>
      </c>
      <c r="BD121" s="6">
        <f t="shared" si="122"/>
        <v>2430287.8000000003</v>
      </c>
      <c r="BE121" s="6">
        <v>28.07062354</v>
      </c>
      <c r="BF121" s="6">
        <f t="shared" si="123"/>
        <v>25283998.102670703</v>
      </c>
      <c r="BG121" s="6">
        <f t="shared" si="124"/>
        <v>25038015.741665874</v>
      </c>
      <c r="BH121" s="6"/>
      <c r="BK121" s="30" t="str">
        <f t="shared" si="125"/>
        <v>Vestforsyning Vand A/S</v>
      </c>
      <c r="BL121" s="23">
        <f t="shared" si="126"/>
        <v>8.64932458286428</v>
      </c>
      <c r="BM121" s="23">
        <f t="shared" si="127"/>
        <v>30.496067939630983</v>
      </c>
      <c r="BN121" s="23">
        <f t="shared" si="128"/>
        <v>6.332384591623905</v>
      </c>
      <c r="BO121" s="23">
        <f t="shared" si="129"/>
        <v>32.07111457243574</v>
      </c>
      <c r="BP121" s="23">
        <f t="shared" si="130"/>
        <v>12.8391482502805</v>
      </c>
      <c r="BQ121" s="23">
        <f t="shared" si="131"/>
        <v>9.611960063164588</v>
      </c>
      <c r="BR121" s="23"/>
      <c r="BS121" s="23">
        <f t="shared" si="132"/>
        <v>22.45110831344509</v>
      </c>
      <c r="BT121" s="23"/>
      <c r="BU121" s="23">
        <f t="shared" si="133"/>
        <v>2.485564722074896</v>
      </c>
      <c r="BV121" s="23">
        <f t="shared" si="134"/>
        <v>1.29992183912589</v>
      </c>
      <c r="BW121" s="23">
        <f t="shared" si="135"/>
        <v>-1.9941191826325042</v>
      </c>
      <c r="BX121" s="23">
        <f t="shared" si="136"/>
        <v>-8.265825545467532</v>
      </c>
      <c r="BY121" s="23">
        <f t="shared" si="137"/>
        <v>2.7472981605472544</v>
      </c>
      <c r="BZ121" s="23">
        <f t="shared" si="138"/>
        <v>3.727160006351985</v>
      </c>
      <c r="CA121" s="23"/>
      <c r="CB121" s="23">
        <f t="shared" si="139"/>
        <v>6.4744581668992325</v>
      </c>
      <c r="CC121" s="23">
        <f t="shared" si="140"/>
        <v>0</v>
      </c>
    </row>
    <row r="122" spans="1:81" ht="15" customHeight="1">
      <c r="A122" s="1" t="s">
        <v>119</v>
      </c>
      <c r="B122" s="10">
        <v>2146500</v>
      </c>
      <c r="C122" s="10">
        <f>B122*1.005</f>
        <v>2157232.5</v>
      </c>
      <c r="D122" s="10">
        <v>2153602.1969462</v>
      </c>
      <c r="E122" s="10">
        <v>485820.0112832398</v>
      </c>
      <c r="F122" s="23" t="str">
        <f>IF(D122&gt;C122,D122-C122,"ingen")</f>
        <v>ingen</v>
      </c>
      <c r="G122" s="10"/>
      <c r="H122" s="10">
        <f>IF(F122="ingen",D122,IF(E122&lt;F122,D122-E122,C122))</f>
        <v>2153602.1969462</v>
      </c>
      <c r="I122" s="10"/>
      <c r="J122" s="10">
        <f aca="true" t="shared" si="141" ref="J122:K125">BF122</f>
        <v>2814461.9441507985</v>
      </c>
      <c r="K122" s="10">
        <f t="shared" si="141"/>
        <v>2490137.0000970317</v>
      </c>
      <c r="L122" s="10"/>
      <c r="M122" s="10">
        <f>J122+(0.3*H122)</f>
        <v>3460542.6032346585</v>
      </c>
      <c r="N122" s="10">
        <f>K122+(0.3*H122)</f>
        <v>3136217.6591808917</v>
      </c>
      <c r="P122" s="23">
        <f>'Potentialer og krav'!U122</f>
        <v>25742.004893025718</v>
      </c>
      <c r="Q122" s="10"/>
      <c r="R122" s="23">
        <f>B122*0.005</f>
        <v>10732.5</v>
      </c>
      <c r="S122" s="23">
        <f>C122*0.023</f>
        <v>49616.347499999996</v>
      </c>
      <c r="T122" s="23">
        <f>D122-E122</f>
        <v>1667782.1856629602</v>
      </c>
      <c r="U122" s="23">
        <f>H122*0.023</f>
        <v>49532.850529762596</v>
      </c>
      <c r="V122" s="23">
        <f>H122*1.023</f>
        <v>2203135.0474759624</v>
      </c>
      <c r="W122" s="23">
        <f>C122*1.023</f>
        <v>2206848.8474999997</v>
      </c>
      <c r="X122" s="23">
        <f>D122*0.023</f>
        <v>49532.850529762596</v>
      </c>
      <c r="Y122" s="23">
        <f>D122*1.023</f>
        <v>2203135.0474759624</v>
      </c>
      <c r="Z122" s="23">
        <f>W122-Y122</f>
        <v>3713.8000240372494</v>
      </c>
      <c r="AA122" s="23" t="str">
        <f>IF(F122="ingen","ingen",IF(H122&lt;=T122,V122-Y122,"tal til venstre"))</f>
        <v>ingen</v>
      </c>
      <c r="AB122" s="23"/>
      <c r="AC122" s="35" t="s">
        <v>119</v>
      </c>
      <c r="AD122" s="6">
        <v>150</v>
      </c>
      <c r="AE122" s="6">
        <v>416000</v>
      </c>
      <c r="AF122" s="6">
        <v>398138</v>
      </c>
      <c r="AG122" s="6">
        <v>3</v>
      </c>
      <c r="AH122" s="6"/>
      <c r="AI122" s="6"/>
      <c r="AJ122" s="6"/>
      <c r="AK122" s="6"/>
      <c r="AL122" s="6">
        <v>95.006</v>
      </c>
      <c r="AM122" s="6">
        <v>56.557</v>
      </c>
      <c r="AN122" s="6"/>
      <c r="AO122" s="6"/>
      <c r="AP122" s="6">
        <v>295</v>
      </c>
      <c r="AQ122" s="6">
        <v>2056</v>
      </c>
      <c r="AR122" s="6"/>
      <c r="AS122" s="6"/>
      <c r="AT122" s="6">
        <v>2358</v>
      </c>
      <c r="AU122" s="6">
        <f>SUM(AG122:AH122)</f>
        <v>3</v>
      </c>
      <c r="AV122" s="6">
        <f>SUM(AI122:AJ122)</f>
        <v>0</v>
      </c>
      <c r="AW122" s="6">
        <f>AK122</f>
        <v>0</v>
      </c>
      <c r="AX122" s="6"/>
      <c r="AY122" s="6">
        <f>1.428*AD122^(0.195)*AE122^(0.864)</f>
        <v>271620.5602207394</v>
      </c>
      <c r="AZ122" s="6">
        <f>1.27*AF122^(1.028)</f>
        <v>725501.4639300591</v>
      </c>
      <c r="BA122" s="6">
        <f>53204*AU122+125224*AV122+411776*AW122</f>
        <v>159612</v>
      </c>
      <c r="BB122" s="6">
        <f>6.04*(AL122+AM122)*1000+52.38*(AN122+AO122)*1000</f>
        <v>915440.5199999999</v>
      </c>
      <c r="BC122" s="6">
        <f>170*(AP122+AQ122)+530*AR122+1398*AS122</f>
        <v>399670</v>
      </c>
      <c r="BD122" s="6">
        <f>145.3*AT122</f>
        <v>342617.4</v>
      </c>
      <c r="BE122" s="6">
        <v>22.209158338263073</v>
      </c>
      <c r="BF122" s="6">
        <f>SUM(AY122:BD122)+AX122+BH122</f>
        <v>2814461.9441507985</v>
      </c>
      <c r="BG122" s="6">
        <f>(0.485+0.018*BE122)*BF122</f>
        <v>2490137.0000970317</v>
      </c>
      <c r="BH122" s="6"/>
      <c r="BK122" s="30" t="str">
        <f>AC122</f>
        <v>Videbæk Vand A/S</v>
      </c>
      <c r="BL122" s="23">
        <f aca="true" t="shared" si="142" ref="BL122:BQ125">(AY122/SUM($AY122:$BD122))*100</f>
        <v>9.650887651376465</v>
      </c>
      <c r="BM122" s="23">
        <f t="shared" si="142"/>
        <v>25.777625646630053</v>
      </c>
      <c r="BN122" s="23">
        <f t="shared" si="142"/>
        <v>5.671137260594915</v>
      </c>
      <c r="BO122" s="23">
        <f t="shared" si="142"/>
        <v>32.52630656110057</v>
      </c>
      <c r="BP122" s="23">
        <f t="shared" si="142"/>
        <v>14.200582844284703</v>
      </c>
      <c r="BQ122" s="23">
        <f t="shared" si="142"/>
        <v>12.173460036013287</v>
      </c>
      <c r="BR122" s="23"/>
      <c r="BS122" s="23">
        <f>BP122+BQ122</f>
        <v>26.374042880297992</v>
      </c>
      <c r="BT122" s="23"/>
      <c r="BU122" s="23">
        <f t="shared" si="133"/>
        <v>1.4840016535627107</v>
      </c>
      <c r="BV122" s="23">
        <f t="shared" si="134"/>
        <v>6.01836413212682</v>
      </c>
      <c r="BW122" s="23">
        <f t="shared" si="135"/>
        <v>-1.3328718516035147</v>
      </c>
      <c r="BX122" s="23">
        <f t="shared" si="136"/>
        <v>-8.721017534132361</v>
      </c>
      <c r="BY122" s="23">
        <f t="shared" si="137"/>
        <v>1.3858635665430512</v>
      </c>
      <c r="BZ122" s="23">
        <f t="shared" si="138"/>
        <v>1.1656600335032863</v>
      </c>
      <c r="CA122" s="23"/>
      <c r="CB122" s="23">
        <f t="shared" si="139"/>
        <v>2.5515236000463304</v>
      </c>
      <c r="CC122" s="23">
        <f t="shared" si="140"/>
        <v>0</v>
      </c>
    </row>
    <row r="123" spans="1:81" ht="15" customHeight="1">
      <c r="A123" s="1" t="s">
        <v>120</v>
      </c>
      <c r="B123" s="10">
        <v>1297497</v>
      </c>
      <c r="C123" s="10">
        <f>B123*1.005</f>
        <v>1303984.4849999999</v>
      </c>
      <c r="D123" s="10">
        <v>1303984</v>
      </c>
      <c r="E123" s="10">
        <v>466567.0399808</v>
      </c>
      <c r="F123" s="23" t="str">
        <f>IF(D123&gt;C123,D123-C123,"ingen")</f>
        <v>ingen</v>
      </c>
      <c r="G123" s="10"/>
      <c r="H123" s="10">
        <f>IF(F123="ingen",D123,IF(E123&lt;F123,D123-E123,C123))</f>
        <v>1303984</v>
      </c>
      <c r="I123" s="10"/>
      <c r="J123" s="10">
        <f t="shared" si="141"/>
        <v>1397688.5665673711</v>
      </c>
      <c r="K123" s="10">
        <f t="shared" si="141"/>
        <v>1466795.5950023583</v>
      </c>
      <c r="L123" s="10"/>
      <c r="M123" s="10">
        <f>J123+(0.3*H123)</f>
        <v>1788883.766567371</v>
      </c>
      <c r="N123" s="10">
        <f>K123+(0.3*H123)</f>
        <v>1857990.7950023583</v>
      </c>
      <c r="P123" s="23">
        <f>'Potentialer og krav'!U123</f>
        <v>58870.635519568306</v>
      </c>
      <c r="Q123" s="10"/>
      <c r="R123" s="23">
        <f>B123*0.005</f>
        <v>6487.485000000001</v>
      </c>
      <c r="S123" s="23">
        <f>C123*0.023</f>
        <v>29991.643154999998</v>
      </c>
      <c r="T123" s="23">
        <f>D123-E123</f>
        <v>837416.9600192</v>
      </c>
      <c r="U123" s="23">
        <f>H123*0.023</f>
        <v>29991.631999999998</v>
      </c>
      <c r="V123" s="23">
        <f>H123*1.023</f>
        <v>1333975.632</v>
      </c>
      <c r="W123" s="23">
        <f>C123*1.023</f>
        <v>1333976.1281549998</v>
      </c>
      <c r="X123" s="23">
        <f>D123*0.023</f>
        <v>29991.631999999998</v>
      </c>
      <c r="Y123" s="23">
        <f>D123*1.023</f>
        <v>1333975.632</v>
      </c>
      <c r="Z123" s="23">
        <f>W123-Y123</f>
        <v>0.49615499982610345</v>
      </c>
      <c r="AA123" s="23" t="str">
        <f>IF(F123="ingen","ingen",IF(H123&lt;=T123,V123-Y123,"tal til venstre"))</f>
        <v>ingen</v>
      </c>
      <c r="AB123" s="23"/>
      <c r="AC123" s="35" t="s">
        <v>120</v>
      </c>
      <c r="AD123" s="6">
        <v>357</v>
      </c>
      <c r="AE123" s="6">
        <v>222498</v>
      </c>
      <c r="AF123" s="6">
        <v>205336</v>
      </c>
      <c r="AG123" s="6">
        <v>2</v>
      </c>
      <c r="AH123" s="6"/>
      <c r="AI123" s="6"/>
      <c r="AJ123" s="6"/>
      <c r="AK123" s="6"/>
      <c r="AL123" s="6">
        <v>18</v>
      </c>
      <c r="AM123" s="6">
        <v>39</v>
      </c>
      <c r="AN123" s="6"/>
      <c r="AO123" s="6"/>
      <c r="AP123" s="6">
        <v>250</v>
      </c>
      <c r="AQ123" s="6">
        <v>1000</v>
      </c>
      <c r="AR123" s="6"/>
      <c r="AS123" s="6"/>
      <c r="AT123" s="6">
        <v>1238</v>
      </c>
      <c r="AU123" s="6">
        <f>SUM(AG123:AH123)</f>
        <v>2</v>
      </c>
      <c r="AV123" s="6">
        <f>SUM(AI123:AJ123)</f>
        <v>0</v>
      </c>
      <c r="AW123" s="6">
        <f>AK123</f>
        <v>0</v>
      </c>
      <c r="AX123" s="6"/>
      <c r="AY123" s="6">
        <f>1.428*AD123^(0.195)*AE123^(0.864)</f>
        <v>187321.77740704836</v>
      </c>
      <c r="AZ123" s="6">
        <f>1.27*AF123^(1.028)</f>
        <v>367297.3891603225</v>
      </c>
      <c r="BA123" s="6">
        <f>53204*AU123+125224*AV123+411776*AW123</f>
        <v>106408</v>
      </c>
      <c r="BB123" s="6">
        <f>6.04*(AL123+AM123)*1000+52.38*(AN123+AO123)*1000</f>
        <v>344280.00000000006</v>
      </c>
      <c r="BC123" s="6">
        <f>170*(AP123+AQ123)+530*AR123+1398*AS123</f>
        <v>212500</v>
      </c>
      <c r="BD123" s="6">
        <f>145.3*AT123</f>
        <v>179881.40000000002</v>
      </c>
      <c r="BE123" s="6">
        <v>31.357988669770904</v>
      </c>
      <c r="BF123" s="6">
        <f>SUM(AY123:BD123)+AX123+BH123</f>
        <v>1397688.5665673711</v>
      </c>
      <c r="BG123" s="6">
        <f>(0.485+0.018*BE123)*BF123</f>
        <v>1466795.5950023583</v>
      </c>
      <c r="BH123" s="6"/>
      <c r="BK123" s="30" t="str">
        <f>AC123</f>
        <v>Vodskov Vandværk</v>
      </c>
      <c r="BL123" s="23">
        <f t="shared" si="142"/>
        <v>13.40225439971209</v>
      </c>
      <c r="BM123" s="23">
        <f t="shared" si="142"/>
        <v>26.27891491323994</v>
      </c>
      <c r="BN123" s="23">
        <f t="shared" si="142"/>
        <v>7.613140906012479</v>
      </c>
      <c r="BO123" s="23">
        <f t="shared" si="142"/>
        <v>24.632096751390655</v>
      </c>
      <c r="BP123" s="23">
        <f t="shared" si="142"/>
        <v>15.203673055857191</v>
      </c>
      <c r="BQ123" s="23">
        <f t="shared" si="142"/>
        <v>12.869919973787624</v>
      </c>
      <c r="BR123" s="23"/>
      <c r="BS123" s="23">
        <f>BP123+BQ123</f>
        <v>28.073593029644815</v>
      </c>
      <c r="BT123" s="23"/>
      <c r="BU123" s="23">
        <f t="shared" si="133"/>
        <v>-2.2673650947729147</v>
      </c>
      <c r="BV123" s="23">
        <f t="shared" si="134"/>
        <v>5.517074865516932</v>
      </c>
      <c r="BW123" s="23">
        <f t="shared" si="135"/>
        <v>-3.2748754970210783</v>
      </c>
      <c r="BX123" s="23">
        <f t="shared" si="136"/>
        <v>-0.8268077244224479</v>
      </c>
      <c r="BY123" s="23">
        <f t="shared" si="137"/>
        <v>0.3827733549705634</v>
      </c>
      <c r="BZ123" s="23">
        <f t="shared" si="138"/>
        <v>0.46920009572894905</v>
      </c>
      <c r="CA123" s="23"/>
      <c r="CB123" s="23">
        <f t="shared" si="139"/>
        <v>0.8519734506995071</v>
      </c>
      <c r="CC123" s="23">
        <f t="shared" si="140"/>
        <v>0</v>
      </c>
    </row>
    <row r="124" spans="1:81" ht="15" customHeight="1">
      <c r="A124" s="1" t="s">
        <v>121</v>
      </c>
      <c r="B124" s="10">
        <v>1353608</v>
      </c>
      <c r="C124" s="10">
        <f>B124*1.005</f>
        <v>1360376.0399999998</v>
      </c>
      <c r="D124" s="10">
        <v>1345390.9879536</v>
      </c>
      <c r="E124" s="10">
        <v>479199.7130722013</v>
      </c>
      <c r="F124" s="23" t="str">
        <f>IF(D124&gt;C124,D124-C124,"ingen")</f>
        <v>ingen</v>
      </c>
      <c r="G124" s="10"/>
      <c r="H124" s="10">
        <f>IF(F124="ingen",D124,IF(E124&lt;F124,D124-E124,C124))</f>
        <v>1345390.9879536</v>
      </c>
      <c r="I124" s="10"/>
      <c r="J124" s="10">
        <f t="shared" si="141"/>
        <v>1326550.4450994148</v>
      </c>
      <c r="K124" s="10">
        <f t="shared" si="141"/>
        <v>1651989.5804435455</v>
      </c>
      <c r="L124" s="10"/>
      <c r="M124" s="10">
        <f>J124+(0.3*H124)</f>
        <v>1730167.7414854947</v>
      </c>
      <c r="N124" s="10">
        <f>K124+(0.3*H124)</f>
        <v>2055606.8768296256</v>
      </c>
      <c r="P124" s="23">
        <f>'Potentialer og krav'!U124</f>
        <v>60714.478365377705</v>
      </c>
      <c r="Q124" s="10"/>
      <c r="R124" s="23">
        <f>B124*0.005</f>
        <v>6768.04</v>
      </c>
      <c r="S124" s="23">
        <f>C124*0.023</f>
        <v>31288.648919999996</v>
      </c>
      <c r="T124" s="23">
        <f>D124-E124</f>
        <v>866191.2748813988</v>
      </c>
      <c r="U124" s="23">
        <f>H124*0.023</f>
        <v>30943.9927229328</v>
      </c>
      <c r="V124" s="23">
        <f>H124*1.023</f>
        <v>1376334.9806765327</v>
      </c>
      <c r="W124" s="23">
        <f>C124*1.023</f>
        <v>1391664.6889199996</v>
      </c>
      <c r="X124" s="23">
        <f>D124*0.023</f>
        <v>30943.9927229328</v>
      </c>
      <c r="Y124" s="23">
        <f>D124*1.023</f>
        <v>1376334.9806765327</v>
      </c>
      <c r="Z124" s="23">
        <f>W124-Y124</f>
        <v>15329.708243466914</v>
      </c>
      <c r="AA124" s="23" t="str">
        <f>IF(F124="ingen","ingen",IF(H124&lt;=T124,V124-Y124,"tal til venstre"))</f>
        <v>ingen</v>
      </c>
      <c r="AB124" s="23"/>
      <c r="AC124" s="35" t="s">
        <v>121</v>
      </c>
      <c r="AD124" s="6">
        <v>396</v>
      </c>
      <c r="AE124" s="6">
        <v>264791</v>
      </c>
      <c r="AF124" s="6">
        <v>264791</v>
      </c>
      <c r="AG124" s="6"/>
      <c r="AH124" s="6"/>
      <c r="AI124" s="6"/>
      <c r="AJ124" s="6"/>
      <c r="AK124" s="6"/>
      <c r="AL124" s="6">
        <v>22</v>
      </c>
      <c r="AM124" s="6">
        <v>20</v>
      </c>
      <c r="AN124" s="6"/>
      <c r="AO124" s="6"/>
      <c r="AP124" s="6">
        <v>62</v>
      </c>
      <c r="AQ124" s="6">
        <v>1119</v>
      </c>
      <c r="AR124" s="6"/>
      <c r="AS124" s="6"/>
      <c r="AT124" s="6">
        <v>1190</v>
      </c>
      <c r="AU124" s="6">
        <f>SUM(AG124:AH124)</f>
        <v>0</v>
      </c>
      <c r="AV124" s="6">
        <f>SUM(AI124:AJ124)</f>
        <v>0</v>
      </c>
      <c r="AW124" s="6">
        <f>AK124</f>
        <v>0</v>
      </c>
      <c r="AX124" s="6"/>
      <c r="AY124" s="6">
        <f>1.428*AD124^(0.195)*AE124^(0.864)</f>
        <v>222160.65672908988</v>
      </c>
      <c r="AZ124" s="6">
        <f>1.27*AF124^(1.028)</f>
        <v>477032.7883703248</v>
      </c>
      <c r="BA124" s="6">
        <f>53204*AU124+125224*AV124+411776*AW124</f>
        <v>0</v>
      </c>
      <c r="BB124" s="6">
        <f>6.04*(AL124+AM124)*1000+52.38*(AN124+AO124)*1000</f>
        <v>253680</v>
      </c>
      <c r="BC124" s="6">
        <f>170*(AP124+AQ124)+530*AR124+1398*AS124</f>
        <v>200770</v>
      </c>
      <c r="BD124" s="6">
        <f>145.3*AT124</f>
        <v>172907</v>
      </c>
      <c r="BE124" s="6">
        <v>42.24040959</v>
      </c>
      <c r="BF124" s="6">
        <f>SUM(AY124:BD124)+AX124+BH124</f>
        <v>1326550.4450994148</v>
      </c>
      <c r="BG124" s="6">
        <f>(0.485+0.018*BE124)*BF124</f>
        <v>1651989.5804435455</v>
      </c>
      <c r="BH124" s="6"/>
      <c r="BK124" s="30" t="str">
        <f>AC124</f>
        <v>Vrå Vandværk Amba</v>
      </c>
      <c r="BL124" s="23">
        <f t="shared" si="142"/>
        <v>16.747245274373313</v>
      </c>
      <c r="BM124" s="23">
        <f t="shared" si="142"/>
        <v>35.96039563610978</v>
      </c>
      <c r="BN124" s="23">
        <f t="shared" si="142"/>
        <v>0</v>
      </c>
      <c r="BO124" s="23">
        <f t="shared" si="142"/>
        <v>19.12328332006919</v>
      </c>
      <c r="BP124" s="23">
        <f t="shared" si="142"/>
        <v>15.13474295242152</v>
      </c>
      <c r="BQ124" s="23">
        <f t="shared" si="142"/>
        <v>13.03433281702619</v>
      </c>
      <c r="BR124" s="23"/>
      <c r="BS124" s="23">
        <f>BP124+BQ124</f>
        <v>28.16907576944771</v>
      </c>
      <c r="BT124" s="23"/>
      <c r="BU124" s="23">
        <f t="shared" si="133"/>
        <v>-5.612355969434137</v>
      </c>
      <c r="BV124" s="23">
        <f t="shared" si="134"/>
        <v>-4.164405857352907</v>
      </c>
      <c r="BW124" s="23">
        <f t="shared" si="135"/>
        <v>4.338265408991401</v>
      </c>
      <c r="BX124" s="23">
        <f t="shared" si="136"/>
        <v>4.682005706899016</v>
      </c>
      <c r="BY124" s="23">
        <f t="shared" si="137"/>
        <v>0.45170345840623405</v>
      </c>
      <c r="BZ124" s="23">
        <f t="shared" si="138"/>
        <v>0.3047872524903834</v>
      </c>
      <c r="CA124" s="23"/>
      <c r="CB124" s="23">
        <f t="shared" si="139"/>
        <v>0.7564907108966139</v>
      </c>
      <c r="CC124" s="23">
        <f t="shared" si="140"/>
        <v>0</v>
      </c>
    </row>
    <row r="125" spans="1:81" ht="15" customHeight="1">
      <c r="A125" s="1" t="s">
        <v>122</v>
      </c>
      <c r="B125" s="10">
        <v>271161</v>
      </c>
      <c r="C125" s="10">
        <f>B125*1.005</f>
        <v>272516.805</v>
      </c>
      <c r="D125" s="10">
        <v>186828.3406262</v>
      </c>
      <c r="E125" s="10">
        <v>0</v>
      </c>
      <c r="F125" s="23" t="str">
        <f>IF(D125&gt;C125,D125-C125,"ingen")</f>
        <v>ingen</v>
      </c>
      <c r="G125" s="10"/>
      <c r="H125" s="10">
        <f>IF(F125="ingen",D125,IF(E125&lt;F125,D125-E125,C125))</f>
        <v>186828.3406262</v>
      </c>
      <c r="I125" s="10"/>
      <c r="J125" s="10">
        <f t="shared" si="141"/>
        <v>474001.9738281875</v>
      </c>
      <c r="K125" s="10">
        <f t="shared" si="141"/>
        <v>284495.98469167814</v>
      </c>
      <c r="L125" s="10"/>
      <c r="M125" s="10">
        <f>J125+(0.3*H125)</f>
        <v>530050.4760160475</v>
      </c>
      <c r="N125" s="10">
        <f>K125+(0.3*H125)</f>
        <v>340544.48687953816</v>
      </c>
      <c r="P125" s="23">
        <f>'Potentialer og krav'!U125</f>
        <v>0</v>
      </c>
      <c r="Q125" s="10"/>
      <c r="R125" s="23">
        <f>B125*0.005</f>
        <v>1355.805</v>
      </c>
      <c r="S125" s="23">
        <f>C125*0.023</f>
        <v>6267.886515</v>
      </c>
      <c r="T125" s="23">
        <f>D125-E125</f>
        <v>186828.3406262</v>
      </c>
      <c r="U125" s="23">
        <f>H125*0.023</f>
        <v>4297.0518344025995</v>
      </c>
      <c r="V125" s="23">
        <f>H125*1.023</f>
        <v>191125.39246060257</v>
      </c>
      <c r="W125" s="23">
        <f>C125*1.023</f>
        <v>278784.69151499995</v>
      </c>
      <c r="X125" s="23">
        <f>D125*0.023</f>
        <v>4297.0518344025995</v>
      </c>
      <c r="Y125" s="23">
        <f>D125*1.023</f>
        <v>191125.39246060257</v>
      </c>
      <c r="Z125" s="23">
        <f>W125-Y125</f>
        <v>87659.29905439739</v>
      </c>
      <c r="AA125" s="23" t="str">
        <f>IF(F125="ingen","ingen",IF(H125&lt;=T125,V125-Y125,"tal til venstre"))</f>
        <v>ingen</v>
      </c>
      <c r="AB125" s="23"/>
      <c r="AC125" s="35" t="s">
        <v>122</v>
      </c>
      <c r="AD125" s="6">
        <v>350</v>
      </c>
      <c r="AE125" s="6">
        <v>568445</v>
      </c>
      <c r="AF125" s="6"/>
      <c r="AG125" s="6">
        <v>1</v>
      </c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>
        <v>8</v>
      </c>
      <c r="AU125" s="6">
        <f>SUM(AG125:AH125)</f>
        <v>1</v>
      </c>
      <c r="AV125" s="6">
        <f>SUM(AI125:AJ125)</f>
        <v>0</v>
      </c>
      <c r="AW125" s="6">
        <f>AK125</f>
        <v>0</v>
      </c>
      <c r="AX125" s="6"/>
      <c r="AY125" s="6">
        <f>1.428*AD125^(0.195)*AE125^(0.864)</f>
        <v>419635.5738281875</v>
      </c>
      <c r="AZ125" s="6">
        <f>1.27*AF125^(1.028)</f>
        <v>0</v>
      </c>
      <c r="BA125" s="6">
        <f>53204*AU125+125224*AV125+411776*AW125</f>
        <v>53204</v>
      </c>
      <c r="BB125" s="6">
        <f>6.04*(AL125+AM125)*1000+52.38*(AN125+AO125)*1000</f>
        <v>0</v>
      </c>
      <c r="BC125" s="6">
        <f>170*(AP125+AQ125)+530*AR125+1398*AS125</f>
        <v>0</v>
      </c>
      <c r="BD125" s="6">
        <f>145.3*AT125</f>
        <v>1162.4</v>
      </c>
      <c r="BE125" s="6">
        <v>6.4</v>
      </c>
      <c r="BF125" s="6">
        <f>SUM(AY125:BD125)+AX125+BH125</f>
        <v>474001.9738281875</v>
      </c>
      <c r="BG125" s="6">
        <f>(0.485+0.018*BE125)*BF125</f>
        <v>284495.98469167814</v>
      </c>
      <c r="BH125" s="6"/>
      <c r="BK125" s="30" t="str">
        <f>AC125</f>
        <v>Østvendsyssel Råvandsforsyningsselskab I/S</v>
      </c>
      <c r="BL125" s="23">
        <f t="shared" si="142"/>
        <v>88.53034312053174</v>
      </c>
      <c r="BM125" s="23">
        <f t="shared" si="142"/>
        <v>0</v>
      </c>
      <c r="BN125" s="23">
        <f t="shared" si="142"/>
        <v>11.224425833147473</v>
      </c>
      <c r="BO125" s="23">
        <f t="shared" si="142"/>
        <v>0</v>
      </c>
      <c r="BP125" s="23">
        <f t="shared" si="142"/>
        <v>0</v>
      </c>
      <c r="BQ125" s="23">
        <f t="shared" si="142"/>
        <v>0.24523104632077708</v>
      </c>
      <c r="BR125" s="23"/>
      <c r="BS125" s="23">
        <f>BP125+BQ125</f>
        <v>0.24523104632077708</v>
      </c>
      <c r="BT125" s="23"/>
      <c r="BU125" s="23">
        <f t="shared" si="133"/>
        <v>-77.39545381559256</v>
      </c>
      <c r="BV125" s="23">
        <f t="shared" si="134"/>
        <v>31.795989778756873</v>
      </c>
      <c r="BW125" s="23">
        <f t="shared" si="135"/>
        <v>-6.886160424156072</v>
      </c>
      <c r="BX125" s="23">
        <f t="shared" si="136"/>
        <v>23.805289026968207</v>
      </c>
      <c r="BY125" s="23">
        <f t="shared" si="137"/>
        <v>15.586446410827755</v>
      </c>
      <c r="BZ125" s="23">
        <f t="shared" si="138"/>
        <v>13.093889023195796</v>
      </c>
      <c r="CA125" s="23"/>
      <c r="CB125" s="23">
        <f t="shared" si="139"/>
        <v>28.680335434023544</v>
      </c>
      <c r="CC125" s="23">
        <f t="shared" si="140"/>
        <v>0</v>
      </c>
    </row>
    <row r="126" spans="1:61" ht="15" customHeight="1">
      <c r="A126" s="9" t="s">
        <v>229</v>
      </c>
      <c r="F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Y126" s="6"/>
      <c r="AZ126" s="6"/>
      <c r="BA126" s="6"/>
      <c r="BB126" s="6"/>
      <c r="BC126" s="6"/>
      <c r="BD126" s="6"/>
      <c r="BF126" s="6"/>
      <c r="BI126" s="30"/>
    </row>
    <row r="127" spans="1:62" ht="15" customHeight="1">
      <c r="A127" s="30" t="s">
        <v>231</v>
      </c>
      <c r="F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Y127" s="6"/>
      <c r="AZ127" s="6"/>
      <c r="BA127" s="6"/>
      <c r="BB127" s="6"/>
      <c r="BC127" s="6"/>
      <c r="BD127" s="6"/>
      <c r="BF127" s="6"/>
      <c r="BI127" s="30" t="s">
        <v>234</v>
      </c>
      <c r="BJ127" s="37" t="s">
        <v>235</v>
      </c>
    </row>
    <row r="128" spans="1:79" ht="15" customHeight="1">
      <c r="A128" s="40" t="s">
        <v>232</v>
      </c>
      <c r="B128" s="10">
        <v>1861471</v>
      </c>
      <c r="C128" s="10">
        <f aca="true" t="shared" si="143" ref="C128:C136">B128*1.005</f>
        <v>1870778.3549999997</v>
      </c>
      <c r="D128" s="11">
        <v>1202754.3561978</v>
      </c>
      <c r="E128" s="10">
        <f>D128*BI128/100</f>
        <v>648986.5467511294</v>
      </c>
      <c r="F128" s="23" t="str">
        <f aca="true" t="shared" si="144" ref="F128:F136">IF(D128&gt;C128,D128-C128,"ingen")</f>
        <v>ingen</v>
      </c>
      <c r="H128" s="10">
        <f aca="true" t="shared" si="145" ref="H128:H136">IF(F128="ingen",D128,IF(E128&lt;F128,D128-E128,C128))</f>
        <v>1202754.3561978</v>
      </c>
      <c r="J128" s="10">
        <f>BF128</f>
        <v>1787916.601524561</v>
      </c>
      <c r="P128" s="10">
        <f>H128*BJ128/100</f>
        <v>60137.717809890004</v>
      </c>
      <c r="R128" s="23">
        <f aca="true" t="shared" si="146" ref="R128:R136">B128*0.005</f>
        <v>9307.355</v>
      </c>
      <c r="S128" s="23">
        <f aca="true" t="shared" si="147" ref="S128:S136">C128*0.023</f>
        <v>43027.90216499999</v>
      </c>
      <c r="T128" s="23">
        <f aca="true" t="shared" si="148" ref="T128:T136">D128-E128</f>
        <v>553767.8094466706</v>
      </c>
      <c r="U128" s="23">
        <f aca="true" t="shared" si="149" ref="U128:U136">H128*0.023</f>
        <v>27663.3501925494</v>
      </c>
      <c r="V128" s="23">
        <f aca="true" t="shared" si="150" ref="V128:V136">H128*1.023</f>
        <v>1230417.7063903494</v>
      </c>
      <c r="W128" s="23">
        <f aca="true" t="shared" si="151" ref="W128:W136">C128*1.023</f>
        <v>1913806.2571649996</v>
      </c>
      <c r="X128" s="23">
        <f aca="true" t="shared" si="152" ref="X128:X136">D128*0.023</f>
        <v>27663.3501925494</v>
      </c>
      <c r="Y128" s="23">
        <f aca="true" t="shared" si="153" ref="Y128:Y136">D128*1.023</f>
        <v>1230417.7063903494</v>
      </c>
      <c r="Z128" s="23">
        <f aca="true" t="shared" si="154" ref="Z128:Z136">W128-Y128</f>
        <v>683388.5507746502</v>
      </c>
      <c r="AA128" s="23" t="str">
        <f aca="true" t="shared" si="155" ref="AA128:AA136">IF(F128="ingen","ingen",IF(H128&lt;=T128,V128-Y128,"tal til venstre"))</f>
        <v>ingen</v>
      </c>
      <c r="AC128" s="40" t="s">
        <v>215</v>
      </c>
      <c r="AD128" s="3">
        <v>82.2</v>
      </c>
      <c r="AE128" s="3">
        <v>255061</v>
      </c>
      <c r="AF128" s="10">
        <v>231168</v>
      </c>
      <c r="AG128" s="3">
        <v>4</v>
      </c>
      <c r="AL128" s="6">
        <v>36</v>
      </c>
      <c r="AM128" s="6">
        <v>49</v>
      </c>
      <c r="AP128" s="3">
        <v>750</v>
      </c>
      <c r="AQ128" s="3">
        <v>810</v>
      </c>
      <c r="AT128" s="3">
        <v>1537</v>
      </c>
      <c r="AU128" s="6">
        <f>SUM(AG128:AH128)</f>
        <v>4</v>
      </c>
      <c r="AV128" s="6">
        <f>SUM(AI128:AJ128)</f>
        <v>0</v>
      </c>
      <c r="AW128" s="6">
        <f>AK128</f>
        <v>0</v>
      </c>
      <c r="AY128" s="6">
        <f aca="true" t="shared" si="156" ref="AY128:AY136">1.428*AD128^(0.195)*AE128^(0.864)</f>
        <v>158295.53974566728</v>
      </c>
      <c r="AZ128" s="6">
        <f aca="true" t="shared" si="157" ref="AZ128:AZ136">1.27*AF128^(1.028)</f>
        <v>414878.96177889354</v>
      </c>
      <c r="BA128" s="6">
        <f>53204*AU128+125224*AV128+411776*AW128</f>
        <v>212816</v>
      </c>
      <c r="BB128" s="6">
        <f aca="true" t="shared" si="158" ref="BB128:BB136">6.04*(AL128+AM128)*1000+52.38*(AN128+AO128)*1000</f>
        <v>513400</v>
      </c>
      <c r="BC128" s="6">
        <f aca="true" t="shared" si="159" ref="BC128:BC136">170*(AP128+AQ128)+530*AR128+1398*AS128</f>
        <v>265200</v>
      </c>
      <c r="BD128" s="6">
        <f aca="true" t="shared" si="160" ref="BD128:BD136">145.3*AT128</f>
        <v>223326.1</v>
      </c>
      <c r="BF128" s="6">
        <f aca="true" t="shared" si="161" ref="BF128:BF136">SUM(AY128:BD128)+AX128+BH128</f>
        <v>1787916.601524561</v>
      </c>
      <c r="BG128" s="6">
        <f>H128/BF128</f>
        <v>0.6727127849096588</v>
      </c>
      <c r="BI128" s="30">
        <f aca="true" t="shared" si="162" ref="BI128:BI136">(($BK$137/BG128)-1)*-100</f>
        <v>53.958361772451546</v>
      </c>
      <c r="BJ128" s="37">
        <f aca="true" t="shared" si="163" ref="BJ128:BJ137">IF(BI128/4&gt;=5,5,BI128/4)</f>
        <v>5</v>
      </c>
      <c r="BK128" s="44" t="s">
        <v>190</v>
      </c>
      <c r="BL128" s="45">
        <v>11.134889304939176</v>
      </c>
      <c r="BM128" s="45">
        <v>31.795989778756873</v>
      </c>
      <c r="BN128" s="45">
        <v>4.338265408991401</v>
      </c>
      <c r="BO128" s="45">
        <v>23.805289026968207</v>
      </c>
      <c r="BP128" s="45">
        <v>15.586446410827755</v>
      </c>
      <c r="BQ128" s="45">
        <v>13.339120069516573</v>
      </c>
      <c r="BR128" s="45"/>
      <c r="BS128" s="46">
        <v>28.925566480344322</v>
      </c>
      <c r="CA128" s="10"/>
    </row>
    <row r="129" spans="1:79" ht="15" customHeight="1">
      <c r="A129" s="40" t="s">
        <v>224</v>
      </c>
      <c r="B129" s="10">
        <v>1997913</v>
      </c>
      <c r="C129" s="10">
        <f t="shared" si="143"/>
        <v>2007902.5649999997</v>
      </c>
      <c r="D129" s="11">
        <v>1118534.9237048</v>
      </c>
      <c r="E129" s="10">
        <f>D129*BI129/100</f>
        <v>670639.7730207194</v>
      </c>
      <c r="F129" s="23" t="str">
        <f>IF(D129&gt;C129,D129-C129,"ingen")</f>
        <v>ingen</v>
      </c>
      <c r="H129" s="10">
        <f>IF(F129="ingen",D129,IF(E129&lt;F129,D129-E129,C129))</f>
        <v>1118534.9237048</v>
      </c>
      <c r="J129" s="10">
        <f>BF129</f>
        <v>1446091.9576574476</v>
      </c>
      <c r="P129" s="10">
        <f>H129*BJ129/100</f>
        <v>55926.74618524</v>
      </c>
      <c r="R129" s="23">
        <f>B129*0.005</f>
        <v>9989.565</v>
      </c>
      <c r="S129" s="23">
        <f>C129*0.023</f>
        <v>46181.75899499999</v>
      </c>
      <c r="T129" s="23">
        <f>D129-E129</f>
        <v>447895.15068408055</v>
      </c>
      <c r="U129" s="23">
        <f>H129*0.023</f>
        <v>25726.303245210398</v>
      </c>
      <c r="V129" s="23">
        <f>H129*1.023</f>
        <v>1144261.2269500103</v>
      </c>
      <c r="W129" s="23">
        <f>C129*1.023</f>
        <v>2054084.3239949995</v>
      </c>
      <c r="X129" s="23">
        <f>D129*0.023</f>
        <v>25726.303245210398</v>
      </c>
      <c r="Y129" s="23">
        <f>D129*1.023</f>
        <v>1144261.2269500103</v>
      </c>
      <c r="Z129" s="23">
        <f>W129-Y129</f>
        <v>909823.0970449892</v>
      </c>
      <c r="AA129" s="23" t="str">
        <f>IF(F129="ingen","ingen",IF(H129&lt;=T129,V129-Y129,"tal til venstre"))</f>
        <v>ingen</v>
      </c>
      <c r="AC129" s="40" t="s">
        <v>224</v>
      </c>
      <c r="AD129" s="3">
        <v>240</v>
      </c>
      <c r="AE129" s="3">
        <v>222578</v>
      </c>
      <c r="AF129" s="10">
        <v>222578</v>
      </c>
      <c r="AG129" s="3">
        <v>1</v>
      </c>
      <c r="AL129" s="6">
        <v>1</v>
      </c>
      <c r="AM129" s="6">
        <v>42</v>
      </c>
      <c r="AN129" s="3">
        <v>0</v>
      </c>
      <c r="AO129" s="3">
        <v>0</v>
      </c>
      <c r="AP129" s="3">
        <v>47</v>
      </c>
      <c r="AQ129" s="3">
        <v>1753</v>
      </c>
      <c r="AT129" s="3">
        <v>1753</v>
      </c>
      <c r="AU129" s="6">
        <f aca="true" t="shared" si="164" ref="AU129:AU136">SUM(AG129:AH129)</f>
        <v>1</v>
      </c>
      <c r="AV129" s="6">
        <f aca="true" t="shared" si="165" ref="AV129:AV136">SUM(AI129:AJ129)</f>
        <v>0</v>
      </c>
      <c r="AW129" s="6">
        <f aca="true" t="shared" si="166" ref="AW129:AW136">AK129</f>
        <v>0</v>
      </c>
      <c r="AY129" s="6">
        <f>1.428*AD129^(0.195)*AE129^(0.864)</f>
        <v>173417.95125977948</v>
      </c>
      <c r="AZ129" s="6">
        <f>1.27*AF129^(1.028)</f>
        <v>399039.1063976683</v>
      </c>
      <c r="BA129" s="6">
        <f>53204*AU129+125224*AV129+411776*AW129</f>
        <v>53204</v>
      </c>
      <c r="BB129" s="6">
        <f>6.04*(AL129+AM129)*1000+52.38*(AN129+AO129)*1000</f>
        <v>259720.00000000003</v>
      </c>
      <c r="BC129" s="6">
        <f>170*(AP129+AQ129)+530*AR129+1398*AS129</f>
        <v>306000</v>
      </c>
      <c r="BD129" s="6">
        <f>145.3*AT129</f>
        <v>254710.90000000002</v>
      </c>
      <c r="BF129" s="6">
        <f t="shared" si="161"/>
        <v>1446091.9576574476</v>
      </c>
      <c r="BG129" s="6">
        <f>H129/BF129</f>
        <v>0.7734881020407142</v>
      </c>
      <c r="BI129" s="30">
        <f t="shared" si="162"/>
        <v>59.95698111950168</v>
      </c>
      <c r="BJ129" s="37">
        <f t="shared" si="163"/>
        <v>5</v>
      </c>
      <c r="BK129" s="47"/>
      <c r="BR129" s="10"/>
      <c r="BS129" s="48"/>
      <c r="CA129" s="10"/>
    </row>
    <row r="130" spans="1:79" ht="15" customHeight="1">
      <c r="A130" s="40" t="s">
        <v>216</v>
      </c>
      <c r="B130" s="10">
        <v>1319959</v>
      </c>
      <c r="C130" s="10">
        <f t="shared" si="143"/>
        <v>1326558.795</v>
      </c>
      <c r="D130" s="11">
        <v>739479.1867273999</v>
      </c>
      <c r="E130" s="10">
        <f aca="true" t="shared" si="167" ref="E130:E136">D130*BI130/100</f>
        <v>227702.02620573397</v>
      </c>
      <c r="F130" s="23" t="str">
        <f t="shared" si="144"/>
        <v>ingen</v>
      </c>
      <c r="H130" s="10">
        <f t="shared" si="145"/>
        <v>739479.1867273999</v>
      </c>
      <c r="J130" s="10">
        <f aca="true" t="shared" si="168" ref="J130:J136">BF130</f>
        <v>1652343.935434017</v>
      </c>
      <c r="P130" s="10">
        <f aca="true" t="shared" si="169" ref="P130:P136">H130*BJ130/100</f>
        <v>36973.95933637</v>
      </c>
      <c r="R130" s="23">
        <f t="shared" si="146"/>
        <v>6599.795</v>
      </c>
      <c r="S130" s="23">
        <f t="shared" si="147"/>
        <v>30510.852284999997</v>
      </c>
      <c r="T130" s="23">
        <f t="shared" si="148"/>
        <v>511777.16052166594</v>
      </c>
      <c r="U130" s="23">
        <f t="shared" si="149"/>
        <v>17008.0212947302</v>
      </c>
      <c r="V130" s="23">
        <f t="shared" si="150"/>
        <v>756487.2080221301</v>
      </c>
      <c r="W130" s="23">
        <f t="shared" si="151"/>
        <v>1357069.6472849997</v>
      </c>
      <c r="X130" s="23">
        <f t="shared" si="152"/>
        <v>17008.0212947302</v>
      </c>
      <c r="Y130" s="23">
        <f t="shared" si="153"/>
        <v>756487.2080221301</v>
      </c>
      <c r="Z130" s="23">
        <f t="shared" si="154"/>
        <v>600582.4392628697</v>
      </c>
      <c r="AA130" s="23" t="str">
        <f t="shared" si="155"/>
        <v>ingen</v>
      </c>
      <c r="AC130" s="40" t="s">
        <v>216</v>
      </c>
      <c r="AD130" s="3">
        <v>43.7</v>
      </c>
      <c r="AE130" s="3">
        <v>233742</v>
      </c>
      <c r="AF130" s="3">
        <v>227260</v>
      </c>
      <c r="AG130" s="3">
        <v>1</v>
      </c>
      <c r="AL130" s="10">
        <v>10</v>
      </c>
      <c r="AM130" s="41">
        <v>54</v>
      </c>
      <c r="AN130" s="41">
        <v>0</v>
      </c>
      <c r="AO130" s="10">
        <v>0</v>
      </c>
      <c r="AP130" s="3">
        <v>325</v>
      </c>
      <c r="AQ130" s="3">
        <v>1813</v>
      </c>
      <c r="AR130" s="3">
        <v>0</v>
      </c>
      <c r="AS130" s="3">
        <v>0</v>
      </c>
      <c r="AT130" s="3">
        <v>2145</v>
      </c>
      <c r="AU130" s="6">
        <f t="shared" si="164"/>
        <v>1</v>
      </c>
      <c r="AV130" s="6">
        <f t="shared" si="165"/>
        <v>0</v>
      </c>
      <c r="AW130" s="6">
        <f t="shared" si="166"/>
        <v>0</v>
      </c>
      <c r="AY130" s="6">
        <f t="shared" si="156"/>
        <v>129780.85907259108</v>
      </c>
      <c r="AZ130" s="6">
        <f t="shared" si="157"/>
        <v>407670.57636142604</v>
      </c>
      <c r="BA130" s="6">
        <f aca="true" t="shared" si="170" ref="BA130:BA136">53204*AU130+125224*AV130+411776*AW130</f>
        <v>53204</v>
      </c>
      <c r="BB130" s="6">
        <f t="shared" si="158"/>
        <v>386560</v>
      </c>
      <c r="BC130" s="6">
        <f t="shared" si="159"/>
        <v>363460</v>
      </c>
      <c r="BD130" s="6">
        <f t="shared" si="160"/>
        <v>311668.5</v>
      </c>
      <c r="BF130" s="6">
        <f t="shared" si="161"/>
        <v>1652343.935434017</v>
      </c>
      <c r="BG130" s="6">
        <f aca="true" t="shared" si="171" ref="BG130:BG136">H130/BF130</f>
        <v>0.44753345285414975</v>
      </c>
      <c r="BI130" s="30">
        <f t="shared" si="162"/>
        <v>30.79221569621723</v>
      </c>
      <c r="BJ130" s="37">
        <f t="shared" si="163"/>
        <v>5</v>
      </c>
      <c r="BK130" s="47" t="s">
        <v>188</v>
      </c>
      <c r="BL130" s="10">
        <v>52.75965395558734</v>
      </c>
      <c r="BM130" s="10">
        <v>126.12862747789939</v>
      </c>
      <c r="BN130" s="10">
        <v>23.148002641376326</v>
      </c>
      <c r="BO130" s="10">
        <v>71.04189090113762</v>
      </c>
      <c r="BP130" s="10">
        <v>34.95162462830041</v>
      </c>
      <c r="BQ130" s="10">
        <v>24.988232865783694</v>
      </c>
      <c r="BR130" s="10"/>
      <c r="BS130" s="48">
        <v>97.67202050224438</v>
      </c>
      <c r="CA130" s="10"/>
    </row>
    <row r="131" spans="1:79" ht="15" customHeight="1">
      <c r="A131" s="40" t="s">
        <v>217</v>
      </c>
      <c r="B131" s="10">
        <v>702490</v>
      </c>
      <c r="C131" s="10">
        <f t="shared" si="143"/>
        <v>706002.45</v>
      </c>
      <c r="D131" s="11">
        <v>575095.742193</v>
      </c>
      <c r="E131" s="10">
        <f t="shared" si="167"/>
        <v>138138.81589993817</v>
      </c>
      <c r="F131" s="23" t="str">
        <f t="shared" si="144"/>
        <v>ingen</v>
      </c>
      <c r="H131" s="10">
        <f t="shared" si="145"/>
        <v>575095.742193</v>
      </c>
      <c r="J131" s="10">
        <f t="shared" si="168"/>
        <v>1410776.3747609907</v>
      </c>
      <c r="P131" s="10">
        <f t="shared" si="169"/>
        <v>28754.787109650002</v>
      </c>
      <c r="R131" s="23">
        <f t="shared" si="146"/>
        <v>3512.4500000000003</v>
      </c>
      <c r="S131" s="23">
        <f t="shared" si="147"/>
        <v>16238.056349999999</v>
      </c>
      <c r="T131" s="23">
        <f t="shared" si="148"/>
        <v>436956.9262930619</v>
      </c>
      <c r="U131" s="23">
        <f t="shared" si="149"/>
        <v>13227.202070439002</v>
      </c>
      <c r="V131" s="23">
        <f t="shared" si="150"/>
        <v>588322.944263439</v>
      </c>
      <c r="W131" s="23">
        <f t="shared" si="151"/>
        <v>722240.5063499999</v>
      </c>
      <c r="X131" s="23">
        <f t="shared" si="152"/>
        <v>13227.202070439002</v>
      </c>
      <c r="Y131" s="23">
        <f t="shared" si="153"/>
        <v>588322.944263439</v>
      </c>
      <c r="Z131" s="23">
        <f t="shared" si="154"/>
        <v>133917.56208656088</v>
      </c>
      <c r="AA131" s="23" t="str">
        <f t="shared" si="155"/>
        <v>ingen</v>
      </c>
      <c r="AC131" s="40" t="s">
        <v>217</v>
      </c>
      <c r="AD131" s="3">
        <v>185</v>
      </c>
      <c r="AE131" s="3">
        <v>258054</v>
      </c>
      <c r="AF131" s="3">
        <v>249204</v>
      </c>
      <c r="AG131" s="3">
        <v>1</v>
      </c>
      <c r="AL131" s="10">
        <v>84</v>
      </c>
      <c r="AM131" s="41">
        <v>0</v>
      </c>
      <c r="AN131" s="41">
        <v>0</v>
      </c>
      <c r="AO131" s="10">
        <v>0</v>
      </c>
      <c r="AP131" s="3">
        <v>681</v>
      </c>
      <c r="AQ131" s="3">
        <v>0</v>
      </c>
      <c r="AR131" s="3">
        <v>0</v>
      </c>
      <c r="AS131" s="3">
        <v>0</v>
      </c>
      <c r="AT131" s="3">
        <v>681</v>
      </c>
      <c r="AU131" s="6">
        <f t="shared" si="164"/>
        <v>1</v>
      </c>
      <c r="AV131" s="6">
        <f t="shared" si="165"/>
        <v>0</v>
      </c>
      <c r="AW131" s="6">
        <f t="shared" si="166"/>
        <v>0</v>
      </c>
      <c r="AY131" s="6">
        <f t="shared" si="156"/>
        <v>187302.96349817552</v>
      </c>
      <c r="AZ131" s="6">
        <f t="shared" si="157"/>
        <v>448190.1112628153</v>
      </c>
      <c r="BA131" s="6">
        <f t="shared" si="170"/>
        <v>53204</v>
      </c>
      <c r="BB131" s="6">
        <f t="shared" si="158"/>
        <v>507360</v>
      </c>
      <c r="BC131" s="6">
        <f t="shared" si="159"/>
        <v>115770</v>
      </c>
      <c r="BD131" s="6">
        <f t="shared" si="160"/>
        <v>98949.3</v>
      </c>
      <c r="BF131" s="6">
        <f t="shared" si="161"/>
        <v>1410776.3747609907</v>
      </c>
      <c r="BG131" s="6">
        <f t="shared" si="171"/>
        <v>0.4076448631275321</v>
      </c>
      <c r="BI131" s="30">
        <f t="shared" si="162"/>
        <v>24.02014234589469</v>
      </c>
      <c r="BJ131" s="37">
        <f t="shared" si="163"/>
        <v>5</v>
      </c>
      <c r="BK131" s="47" t="s">
        <v>189</v>
      </c>
      <c r="BL131" s="10">
        <v>7.263584098472829</v>
      </c>
      <c r="BM131" s="10">
        <v>11.23070022206538</v>
      </c>
      <c r="BN131" s="10">
        <v>4.81123712171582</v>
      </c>
      <c r="BO131" s="10">
        <v>8.428635174281636</v>
      </c>
      <c r="BP131" s="10">
        <v>5.911989904279303</v>
      </c>
      <c r="BQ131" s="10">
        <v>4.998823148080326</v>
      </c>
      <c r="BR131" s="10"/>
      <c r="BS131" s="48">
        <v>9.882915587125309</v>
      </c>
      <c r="CA131" s="10"/>
    </row>
    <row r="132" spans="1:79" ht="15" customHeight="1">
      <c r="A132" s="40" t="s">
        <v>218</v>
      </c>
      <c r="B132" s="10">
        <v>2350290</v>
      </c>
      <c r="C132" s="10">
        <f t="shared" si="143"/>
        <v>2362041.4499999997</v>
      </c>
      <c r="D132" s="11">
        <v>1240181.1941652</v>
      </c>
      <c r="E132" s="10">
        <f t="shared" si="167"/>
        <v>648131.0804830298</v>
      </c>
      <c r="F132" s="23" t="str">
        <f t="shared" si="144"/>
        <v>ingen</v>
      </c>
      <c r="H132" s="10">
        <f t="shared" si="145"/>
        <v>1240181.1941652</v>
      </c>
      <c r="J132" s="10">
        <f t="shared" si="168"/>
        <v>1911516.3596174966</v>
      </c>
      <c r="P132" s="10">
        <f t="shared" si="169"/>
        <v>62009.05970826</v>
      </c>
      <c r="R132" s="23">
        <f t="shared" si="146"/>
        <v>11751.45</v>
      </c>
      <c r="S132" s="23">
        <f t="shared" si="147"/>
        <v>54326.953349999996</v>
      </c>
      <c r="T132" s="23">
        <f t="shared" si="148"/>
        <v>592050.1136821702</v>
      </c>
      <c r="U132" s="23">
        <f t="shared" si="149"/>
        <v>28524.1674657996</v>
      </c>
      <c r="V132" s="23">
        <f t="shared" si="150"/>
        <v>1268705.3616309995</v>
      </c>
      <c r="W132" s="23">
        <f t="shared" si="151"/>
        <v>2416368.4033499993</v>
      </c>
      <c r="X132" s="23">
        <f t="shared" si="152"/>
        <v>28524.1674657996</v>
      </c>
      <c r="Y132" s="23">
        <f t="shared" si="153"/>
        <v>1268705.3616309995</v>
      </c>
      <c r="Z132" s="23">
        <f t="shared" si="154"/>
        <v>1147663.0417189999</v>
      </c>
      <c r="AA132" s="23" t="str">
        <f t="shared" si="155"/>
        <v>ingen</v>
      </c>
      <c r="AC132" s="40" t="s">
        <v>218</v>
      </c>
      <c r="AD132" s="3">
        <v>52.8</v>
      </c>
      <c r="AE132" s="41">
        <v>232244</v>
      </c>
      <c r="AF132" s="3">
        <v>231843</v>
      </c>
      <c r="AG132" s="3">
        <v>6</v>
      </c>
      <c r="AL132" s="10">
        <v>51</v>
      </c>
      <c r="AM132" s="41">
        <v>40</v>
      </c>
      <c r="AN132" s="41">
        <v>0</v>
      </c>
      <c r="AO132" s="10">
        <v>0</v>
      </c>
      <c r="AP132" s="3">
        <v>205</v>
      </c>
      <c r="AQ132" s="3">
        <v>1150</v>
      </c>
      <c r="AR132" s="3">
        <v>0</v>
      </c>
      <c r="AS132" s="3">
        <v>0</v>
      </c>
      <c r="AT132" s="3">
        <v>1805</v>
      </c>
      <c r="AU132" s="6">
        <f t="shared" si="164"/>
        <v>6</v>
      </c>
      <c r="AV132" s="6">
        <f t="shared" si="165"/>
        <v>0</v>
      </c>
      <c r="AW132" s="6">
        <f t="shared" si="166"/>
        <v>0</v>
      </c>
      <c r="AY132" s="6">
        <f t="shared" si="156"/>
        <v>133911.49938814543</v>
      </c>
      <c r="AZ132" s="6">
        <f t="shared" si="157"/>
        <v>416124.36022935115</v>
      </c>
      <c r="BA132" s="6">
        <f t="shared" si="170"/>
        <v>319224</v>
      </c>
      <c r="BB132" s="6">
        <f t="shared" si="158"/>
        <v>549640</v>
      </c>
      <c r="BC132" s="6">
        <f t="shared" si="159"/>
        <v>230350</v>
      </c>
      <c r="BD132" s="6">
        <f t="shared" si="160"/>
        <v>262266.5</v>
      </c>
      <c r="BF132" s="6">
        <f t="shared" si="161"/>
        <v>1911516.3596174966</v>
      </c>
      <c r="BG132" s="6">
        <f t="shared" si="171"/>
        <v>0.6487944442250895</v>
      </c>
      <c r="BI132" s="30">
        <f t="shared" si="162"/>
        <v>52.26099891954132</v>
      </c>
      <c r="BJ132" s="37">
        <f t="shared" si="163"/>
        <v>5</v>
      </c>
      <c r="BK132" s="49" t="s">
        <v>191</v>
      </c>
      <c r="BL132" s="50">
        <v>-7.263584098472829</v>
      </c>
      <c r="BM132" s="50">
        <v>-11.23070022206538</v>
      </c>
      <c r="BN132" s="50">
        <v>-4.81123712171582</v>
      </c>
      <c r="BO132" s="50">
        <v>-8.428635174281636</v>
      </c>
      <c r="BP132" s="50">
        <v>-5.911989904279303</v>
      </c>
      <c r="BQ132" s="50">
        <v>-4.998823148080326</v>
      </c>
      <c r="BR132" s="50"/>
      <c r="BS132" s="51">
        <v>-9.882915587125309</v>
      </c>
      <c r="CA132" s="10"/>
    </row>
    <row r="133" spans="1:62" ht="15" customHeight="1">
      <c r="A133" s="40" t="s">
        <v>219</v>
      </c>
      <c r="B133" s="11">
        <v>2680711</v>
      </c>
      <c r="C133" s="10">
        <f t="shared" si="143"/>
        <v>2694114.5549999997</v>
      </c>
      <c r="D133" s="11">
        <v>2390627.1637724</v>
      </c>
      <c r="E133" s="10">
        <f t="shared" si="167"/>
        <v>1644008.4607434573</v>
      </c>
      <c r="F133" s="23" t="str">
        <f t="shared" si="144"/>
        <v>ingen</v>
      </c>
      <c r="H133" s="10">
        <f t="shared" si="145"/>
        <v>2390627.1637724</v>
      </c>
      <c r="J133" s="10">
        <f t="shared" si="168"/>
        <v>2410562.606533624</v>
      </c>
      <c r="P133" s="10">
        <f t="shared" si="169"/>
        <v>119531.35818862001</v>
      </c>
      <c r="R133" s="23">
        <f t="shared" si="146"/>
        <v>13403.555</v>
      </c>
      <c r="S133" s="23">
        <f t="shared" si="147"/>
        <v>61964.634764999995</v>
      </c>
      <c r="T133" s="23">
        <f t="shared" si="148"/>
        <v>746618.7030289427</v>
      </c>
      <c r="U133" s="23">
        <f t="shared" si="149"/>
        <v>54984.4247667652</v>
      </c>
      <c r="V133" s="23">
        <f t="shared" si="150"/>
        <v>2445611.588539165</v>
      </c>
      <c r="W133" s="23">
        <f t="shared" si="151"/>
        <v>2756079.1897649993</v>
      </c>
      <c r="X133" s="23">
        <f t="shared" si="152"/>
        <v>54984.4247667652</v>
      </c>
      <c r="Y133" s="23">
        <f t="shared" si="153"/>
        <v>2445611.588539165</v>
      </c>
      <c r="Z133" s="23">
        <f t="shared" si="154"/>
        <v>310467.60122583434</v>
      </c>
      <c r="AA133" s="23" t="str">
        <f t="shared" si="155"/>
        <v>ingen</v>
      </c>
      <c r="AC133" s="40" t="s">
        <v>219</v>
      </c>
      <c r="AD133" s="3">
        <v>240</v>
      </c>
      <c r="AE133" s="3">
        <v>231874</v>
      </c>
      <c r="AF133" s="3">
        <v>206673</v>
      </c>
      <c r="AL133" s="10">
        <v>153</v>
      </c>
      <c r="AM133" s="41">
        <v>27</v>
      </c>
      <c r="AN133" s="41">
        <v>0</v>
      </c>
      <c r="AO133" s="10">
        <v>0</v>
      </c>
      <c r="AP133" s="10">
        <v>1223</v>
      </c>
      <c r="AQ133" s="10">
        <v>1198</v>
      </c>
      <c r="AR133" s="10">
        <v>0</v>
      </c>
      <c r="AS133" s="10">
        <v>0</v>
      </c>
      <c r="AT133" s="10">
        <v>2494</v>
      </c>
      <c r="AU133" s="6">
        <f t="shared" si="164"/>
        <v>0</v>
      </c>
      <c r="AV133" s="6">
        <f t="shared" si="165"/>
        <v>0</v>
      </c>
      <c r="AW133" s="6">
        <f t="shared" si="166"/>
        <v>0</v>
      </c>
      <c r="AY133" s="6">
        <f t="shared" si="156"/>
        <v>179658.25380264345</v>
      </c>
      <c r="AZ133" s="6">
        <f t="shared" si="157"/>
        <v>369756.1527309808</v>
      </c>
      <c r="BA133" s="6">
        <f t="shared" si="170"/>
        <v>0</v>
      </c>
      <c r="BB133" s="6">
        <f t="shared" si="158"/>
        <v>1087200</v>
      </c>
      <c r="BC133" s="6">
        <f t="shared" si="159"/>
        <v>411570</v>
      </c>
      <c r="BD133" s="6">
        <f t="shared" si="160"/>
        <v>362378.2</v>
      </c>
      <c r="BF133" s="6">
        <f t="shared" si="161"/>
        <v>2410562.606533624</v>
      </c>
      <c r="BG133" s="6">
        <f t="shared" si="171"/>
        <v>0.9917299626621641</v>
      </c>
      <c r="BI133" s="30">
        <f t="shared" si="162"/>
        <v>68.768919121174</v>
      </c>
      <c r="BJ133" s="37">
        <f t="shared" si="163"/>
        <v>5</v>
      </c>
    </row>
    <row r="134" spans="1:70" ht="15" customHeight="1">
      <c r="A134" s="40" t="s">
        <v>220</v>
      </c>
      <c r="B134" s="11">
        <v>1206558</v>
      </c>
      <c r="C134" s="10">
        <f t="shared" si="143"/>
        <v>1212590.7899999998</v>
      </c>
      <c r="D134" s="11">
        <v>736343.648635</v>
      </c>
      <c r="E134" s="10">
        <f t="shared" si="167"/>
        <v>395238.38820238115</v>
      </c>
      <c r="F134" s="23" t="str">
        <f t="shared" si="144"/>
        <v>ingen</v>
      </c>
      <c r="H134" s="10">
        <f t="shared" si="145"/>
        <v>736343.648635</v>
      </c>
      <c r="J134" s="10">
        <f t="shared" si="168"/>
        <v>1101305.9040109662</v>
      </c>
      <c r="P134" s="10">
        <f t="shared" si="169"/>
        <v>36817.18243175</v>
      </c>
      <c r="R134" s="23">
        <f t="shared" si="146"/>
        <v>6032.79</v>
      </c>
      <c r="S134" s="23">
        <f t="shared" si="147"/>
        <v>27889.588169999995</v>
      </c>
      <c r="T134" s="23">
        <f t="shared" si="148"/>
        <v>341105.26043261884</v>
      </c>
      <c r="U134" s="23">
        <f t="shared" si="149"/>
        <v>16935.903918605</v>
      </c>
      <c r="V134" s="23">
        <f t="shared" si="150"/>
        <v>753279.5525536049</v>
      </c>
      <c r="W134" s="23">
        <f t="shared" si="151"/>
        <v>1240480.3781699997</v>
      </c>
      <c r="X134" s="23">
        <f t="shared" si="152"/>
        <v>16935.903918605</v>
      </c>
      <c r="Y134" s="23">
        <f t="shared" si="153"/>
        <v>753279.5525536049</v>
      </c>
      <c r="Z134" s="23">
        <f t="shared" si="154"/>
        <v>487200.82561639475</v>
      </c>
      <c r="AA134" s="23" t="str">
        <f t="shared" si="155"/>
        <v>ingen</v>
      </c>
      <c r="AC134" s="40" t="s">
        <v>220</v>
      </c>
      <c r="AD134" s="3">
        <v>65</v>
      </c>
      <c r="AE134" s="3">
        <v>260000</v>
      </c>
      <c r="AF134" s="3">
        <v>260000</v>
      </c>
      <c r="AL134" s="10">
        <v>0</v>
      </c>
      <c r="AM134" s="41">
        <v>35</v>
      </c>
      <c r="AN134" s="41">
        <v>0</v>
      </c>
      <c r="AO134" s="10">
        <v>0</v>
      </c>
      <c r="AP134" s="10">
        <v>0</v>
      </c>
      <c r="AQ134" s="10">
        <v>850</v>
      </c>
      <c r="AR134" s="10">
        <v>0</v>
      </c>
      <c r="AS134" s="10">
        <v>0</v>
      </c>
      <c r="AT134" s="10">
        <v>850</v>
      </c>
      <c r="AU134" s="6">
        <f t="shared" si="164"/>
        <v>0</v>
      </c>
      <c r="AV134" s="6">
        <f t="shared" si="165"/>
        <v>0</v>
      </c>
      <c r="AW134" s="6">
        <f t="shared" si="166"/>
        <v>0</v>
      </c>
      <c r="AY134" s="6">
        <f t="shared" si="156"/>
        <v>153738.72840356248</v>
      </c>
      <c r="AZ134" s="6">
        <f t="shared" si="157"/>
        <v>468162.17560740374</v>
      </c>
      <c r="BA134" s="6">
        <f t="shared" si="170"/>
        <v>0</v>
      </c>
      <c r="BB134" s="6">
        <f t="shared" si="158"/>
        <v>211400</v>
      </c>
      <c r="BC134" s="6">
        <f t="shared" si="159"/>
        <v>144500</v>
      </c>
      <c r="BD134" s="6">
        <f t="shared" si="160"/>
        <v>123505.00000000001</v>
      </c>
      <c r="BF134" s="6">
        <f t="shared" si="161"/>
        <v>1101305.9040109662</v>
      </c>
      <c r="BG134" s="6">
        <f t="shared" si="171"/>
        <v>0.6686095533976797</v>
      </c>
      <c r="BI134" s="30">
        <f t="shared" si="162"/>
        <v>53.67580598203786</v>
      </c>
      <c r="BJ134" s="37">
        <f t="shared" si="163"/>
        <v>5</v>
      </c>
      <c r="BR134" s="42"/>
    </row>
    <row r="135" spans="1:70" ht="15" customHeight="1">
      <c r="A135" s="40" t="s">
        <v>221</v>
      </c>
      <c r="B135" s="11">
        <v>1426466</v>
      </c>
      <c r="C135" s="10">
        <f t="shared" si="143"/>
        <v>1433598.3299999998</v>
      </c>
      <c r="D135" s="11">
        <v>1164300.2384384</v>
      </c>
      <c r="E135" s="10">
        <f t="shared" si="167"/>
        <v>617013.2614706319</v>
      </c>
      <c r="F135" s="23" t="str">
        <f t="shared" si="144"/>
        <v>ingen</v>
      </c>
      <c r="H135" s="10">
        <f t="shared" si="145"/>
        <v>1164300.2384384</v>
      </c>
      <c r="J135" s="10">
        <f t="shared" si="168"/>
        <v>1766992.330046398</v>
      </c>
      <c r="P135" s="10">
        <f t="shared" si="169"/>
        <v>58215.01192191999</v>
      </c>
      <c r="R135" s="23">
        <f t="shared" si="146"/>
        <v>7132.33</v>
      </c>
      <c r="S135" s="23">
        <f t="shared" si="147"/>
        <v>32972.761589999995</v>
      </c>
      <c r="T135" s="23">
        <f t="shared" si="148"/>
        <v>547286.976967768</v>
      </c>
      <c r="U135" s="23">
        <f t="shared" si="149"/>
        <v>26778.9054840832</v>
      </c>
      <c r="V135" s="23">
        <f t="shared" si="150"/>
        <v>1191079.143922483</v>
      </c>
      <c r="W135" s="23">
        <f t="shared" si="151"/>
        <v>1466571.0915899996</v>
      </c>
      <c r="X135" s="23">
        <f t="shared" si="152"/>
        <v>26778.9054840832</v>
      </c>
      <c r="Y135" s="23">
        <f t="shared" si="153"/>
        <v>1191079.143922483</v>
      </c>
      <c r="Z135" s="23">
        <f t="shared" si="154"/>
        <v>275491.94766751654</v>
      </c>
      <c r="AA135" s="23" t="str">
        <f t="shared" si="155"/>
        <v>ingen</v>
      </c>
      <c r="AC135" s="40" t="s">
        <v>221</v>
      </c>
      <c r="AD135" s="3">
        <v>37</v>
      </c>
      <c r="AE135" s="3">
        <v>327000</v>
      </c>
      <c r="AF135" s="3">
        <v>296000</v>
      </c>
      <c r="AG135" s="10">
        <v>3</v>
      </c>
      <c r="AL135" s="10">
        <v>70</v>
      </c>
      <c r="AM135" s="41">
        <v>15</v>
      </c>
      <c r="AN135" s="41">
        <v>0</v>
      </c>
      <c r="AO135" s="10">
        <v>0</v>
      </c>
      <c r="AP135" s="10">
        <v>325</v>
      </c>
      <c r="AQ135" s="10">
        <v>910</v>
      </c>
      <c r="AR135" s="10">
        <v>0</v>
      </c>
      <c r="AS135" s="10">
        <v>0</v>
      </c>
      <c r="AT135" s="10">
        <v>1247</v>
      </c>
      <c r="AU135" s="6">
        <f t="shared" si="164"/>
        <v>3</v>
      </c>
      <c r="AV135" s="6">
        <f t="shared" si="165"/>
        <v>0</v>
      </c>
      <c r="AW135" s="6">
        <f t="shared" si="166"/>
        <v>0</v>
      </c>
      <c r="AY135" s="6">
        <f t="shared" si="156"/>
        <v>167917.82563215282</v>
      </c>
      <c r="AZ135" s="6">
        <f t="shared" si="157"/>
        <v>534923.4044142453</v>
      </c>
      <c r="BA135" s="6">
        <f t="shared" si="170"/>
        <v>159612</v>
      </c>
      <c r="BB135" s="6">
        <f t="shared" si="158"/>
        <v>513400</v>
      </c>
      <c r="BC135" s="6">
        <f t="shared" si="159"/>
        <v>209950</v>
      </c>
      <c r="BD135" s="6">
        <f t="shared" si="160"/>
        <v>181189.1</v>
      </c>
      <c r="BF135" s="6">
        <f t="shared" si="161"/>
        <v>1766992.330046398</v>
      </c>
      <c r="BG135" s="6">
        <f t="shared" si="171"/>
        <v>0.6589164076381857</v>
      </c>
      <c r="BI135" s="30">
        <f t="shared" si="162"/>
        <v>52.99434296244684</v>
      </c>
      <c r="BJ135" s="37">
        <f t="shared" si="163"/>
        <v>5</v>
      </c>
      <c r="BR135" s="42"/>
    </row>
    <row r="136" spans="1:70" ht="15" customHeight="1">
      <c r="A136" s="40" t="s">
        <v>222</v>
      </c>
      <c r="B136" s="11">
        <v>3750993</v>
      </c>
      <c r="C136" s="10">
        <f t="shared" si="143"/>
        <v>3769747.9649999994</v>
      </c>
      <c r="D136" s="11">
        <v>1687177.4810226</v>
      </c>
      <c r="E136" s="10">
        <f t="shared" si="167"/>
        <v>698729.9331515039</v>
      </c>
      <c r="F136" s="23" t="str">
        <f t="shared" si="144"/>
        <v>ingen</v>
      </c>
      <c r="H136" s="10">
        <f t="shared" si="145"/>
        <v>1687177.4810226</v>
      </c>
      <c r="J136" s="10">
        <f t="shared" si="168"/>
        <v>3191340.75767394</v>
      </c>
      <c r="P136" s="10">
        <f t="shared" si="169"/>
        <v>84358.87405113</v>
      </c>
      <c r="R136" s="23">
        <f t="shared" si="146"/>
        <v>18754.965</v>
      </c>
      <c r="S136" s="23">
        <f t="shared" si="147"/>
        <v>86704.20319499998</v>
      </c>
      <c r="T136" s="23">
        <f t="shared" si="148"/>
        <v>988447.5478710962</v>
      </c>
      <c r="U136" s="23">
        <f t="shared" si="149"/>
        <v>38805.0820635198</v>
      </c>
      <c r="V136" s="23">
        <f t="shared" si="150"/>
        <v>1725982.5630861197</v>
      </c>
      <c r="W136" s="23">
        <f t="shared" si="151"/>
        <v>3856452.168194999</v>
      </c>
      <c r="X136" s="23">
        <f t="shared" si="152"/>
        <v>38805.0820635198</v>
      </c>
      <c r="Y136" s="23">
        <f t="shared" si="153"/>
        <v>1725982.5630861197</v>
      </c>
      <c r="Z136" s="23">
        <f t="shared" si="154"/>
        <v>2130469.6051088795</v>
      </c>
      <c r="AA136" s="23" t="str">
        <f t="shared" si="155"/>
        <v>ingen</v>
      </c>
      <c r="AC136" s="40" t="s">
        <v>222</v>
      </c>
      <c r="AD136" s="3">
        <v>118</v>
      </c>
      <c r="AE136" s="3">
        <v>744079</v>
      </c>
      <c r="AF136" s="3">
        <v>729138</v>
      </c>
      <c r="AL136" s="10">
        <v>94</v>
      </c>
      <c r="AM136" s="41">
        <v>34</v>
      </c>
      <c r="AN136" s="41">
        <v>0</v>
      </c>
      <c r="AO136" s="10">
        <v>0</v>
      </c>
      <c r="AP136" s="3">
        <v>317</v>
      </c>
      <c r="AQ136" s="3">
        <v>1708</v>
      </c>
      <c r="AR136" s="41">
        <v>0</v>
      </c>
      <c r="AS136" s="41">
        <v>0</v>
      </c>
      <c r="AT136" s="3">
        <v>2025</v>
      </c>
      <c r="AU136" s="6">
        <f t="shared" si="164"/>
        <v>0</v>
      </c>
      <c r="AV136" s="6">
        <f t="shared" si="165"/>
        <v>0</v>
      </c>
      <c r="AW136" s="6">
        <f t="shared" si="166"/>
        <v>0</v>
      </c>
      <c r="AY136" s="6">
        <f t="shared" si="156"/>
        <v>428374.9394760855</v>
      </c>
      <c r="AZ136" s="6">
        <f t="shared" si="157"/>
        <v>1351363.3181978548</v>
      </c>
      <c r="BA136" s="6">
        <f t="shared" si="170"/>
        <v>0</v>
      </c>
      <c r="BB136" s="6">
        <f t="shared" si="158"/>
        <v>773120</v>
      </c>
      <c r="BC136" s="6">
        <f t="shared" si="159"/>
        <v>344250</v>
      </c>
      <c r="BD136" s="6">
        <f t="shared" si="160"/>
        <v>294232.5</v>
      </c>
      <c r="BF136" s="6">
        <f t="shared" si="161"/>
        <v>3191340.75767394</v>
      </c>
      <c r="BG136" s="6">
        <f t="shared" si="171"/>
        <v>0.528673560466895</v>
      </c>
      <c r="BI136" s="30">
        <f t="shared" si="162"/>
        <v>41.41413342762274</v>
      </c>
      <c r="BJ136" s="37">
        <f t="shared" si="163"/>
        <v>5</v>
      </c>
      <c r="BR136" s="42"/>
    </row>
    <row r="137" spans="1:63" ht="15" customHeight="1">
      <c r="A137" s="43" t="s">
        <v>230</v>
      </c>
      <c r="F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C137" s="43" t="s">
        <v>230</v>
      </c>
      <c r="BG137" s="6"/>
      <c r="BI137" s="30"/>
      <c r="BJ137" s="37">
        <f t="shared" si="163"/>
        <v>0</v>
      </c>
      <c r="BK137" s="30">
        <v>0.3097279867385713</v>
      </c>
    </row>
    <row r="138" spans="1:61" ht="15" customHeight="1">
      <c r="A138" s="30" t="s">
        <v>231</v>
      </c>
      <c r="F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C138" s="43"/>
      <c r="BF138" s="3" t="s">
        <v>236</v>
      </c>
      <c r="BG138" s="6"/>
      <c r="BI138" s="30"/>
    </row>
    <row r="139" spans="1:62" ht="15" customHeight="1">
      <c r="A139" s="40" t="s">
        <v>223</v>
      </c>
      <c r="B139" s="10">
        <v>2588520</v>
      </c>
      <c r="C139" s="10">
        <f>B139*1.005</f>
        <v>2601462.5999999996</v>
      </c>
      <c r="D139" s="11">
        <v>1738988.5708048</v>
      </c>
      <c r="E139" s="10">
        <f>D139*BI139/100</f>
        <v>1257733.9639718279</v>
      </c>
      <c r="F139" s="23" t="str">
        <f>IF(D139&gt;C139,D139-C139,"ingen")</f>
        <v>ingen</v>
      </c>
      <c r="H139" s="10">
        <f>IF(F139="ingen",D139,IF(E139&lt;F139,D139-E139,C139))</f>
        <v>1738988.5708048</v>
      </c>
      <c r="J139" s="10">
        <f>BF139</f>
        <v>523728.4</v>
      </c>
      <c r="P139" s="10">
        <f>H139*BJ139/100</f>
        <v>86949.42854024</v>
      </c>
      <c r="R139" s="23">
        <f>B139*0.005</f>
        <v>12942.6</v>
      </c>
      <c r="S139" s="23">
        <f>C139*0.023</f>
        <v>59833.63979999999</v>
      </c>
      <c r="T139" s="23">
        <f>D139-E139</f>
        <v>481254.60683297203</v>
      </c>
      <c r="U139" s="23">
        <f>H139*0.023</f>
        <v>39996.737128510395</v>
      </c>
      <c r="V139" s="23">
        <f>H139*1.023</f>
        <v>1778985.30793331</v>
      </c>
      <c r="W139" s="23">
        <f>C139*1.023</f>
        <v>2661296.239799999</v>
      </c>
      <c r="X139" s="23">
        <f>D139*0.023</f>
        <v>39996.737128510395</v>
      </c>
      <c r="Y139" s="23">
        <f>D139*1.023</f>
        <v>1778985.30793331</v>
      </c>
      <c r="Z139" s="23">
        <f>W139-Y139</f>
        <v>882310.9318666891</v>
      </c>
      <c r="AA139" s="23" t="str">
        <f>IF(F139="ingen","ingen",IF(H139&lt;=T139,V139-Y139,"tal til venstre"))</f>
        <v>ingen</v>
      </c>
      <c r="AC139" s="40" t="s">
        <v>223</v>
      </c>
      <c r="BF139" s="11">
        <v>523728.4</v>
      </c>
      <c r="BG139" s="6">
        <f>H139/BF139</f>
        <v>3.320401511174112</v>
      </c>
      <c r="BI139" s="30">
        <f>(1-($BJ$144*(BF139/H139)))*100</f>
        <v>72.32560265705206</v>
      </c>
      <c r="BJ139" s="37">
        <f>IF(BI139/4&gt;=5,5,BI139/4)</f>
        <v>5</v>
      </c>
    </row>
    <row r="140" spans="1:62" ht="15" customHeight="1">
      <c r="A140" s="40" t="s">
        <v>225</v>
      </c>
      <c r="B140" s="10">
        <v>1151041</v>
      </c>
      <c r="C140" s="10">
        <f>B140*1.005</f>
        <v>1156796.2049999998</v>
      </c>
      <c r="D140" s="26">
        <v>980752.1889662</v>
      </c>
      <c r="E140" s="10">
        <f>D140*BI140/100</f>
        <v>511275.02736099384</v>
      </c>
      <c r="F140" s="23" t="str">
        <f>IF(D140&gt;C140,D140-C140,"ingen")</f>
        <v>ingen</v>
      </c>
      <c r="H140" s="10">
        <f>IF(F140="ingen",D140,IF(E140&lt;F140,D140-E140,C140))</f>
        <v>980752.1889662</v>
      </c>
      <c r="J140" s="10">
        <f>BF140</f>
        <v>510911.52</v>
      </c>
      <c r="P140" s="10">
        <f>H140*BJ140/100</f>
        <v>49037.609448309995</v>
      </c>
      <c r="R140" s="23">
        <f>B140*0.005</f>
        <v>5755.205</v>
      </c>
      <c r="S140" s="23">
        <f>C140*0.023</f>
        <v>26606.312714999996</v>
      </c>
      <c r="T140" s="23">
        <f>D140-E140</f>
        <v>469477.16160520614</v>
      </c>
      <c r="U140" s="23">
        <f>H140*0.023</f>
        <v>22557.3003462226</v>
      </c>
      <c r="V140" s="23">
        <f>H140*1.023</f>
        <v>1003309.4893124225</v>
      </c>
      <c r="W140" s="23">
        <f>C140*1.023</f>
        <v>1183402.5177149998</v>
      </c>
      <c r="X140" s="23">
        <f>D140*0.023</f>
        <v>22557.3003462226</v>
      </c>
      <c r="Y140" s="23">
        <f>D140*1.023</f>
        <v>1003309.4893124225</v>
      </c>
      <c r="Z140" s="23">
        <f>W140-Y140</f>
        <v>180093.0284025774</v>
      </c>
      <c r="AA140" s="23" t="str">
        <f>IF(F140="ingen","ingen",IF(H140&lt;=T140,V140-Y140,"tal til venstre"))</f>
        <v>ingen</v>
      </c>
      <c r="AC140" s="40" t="s">
        <v>225</v>
      </c>
      <c r="BF140" s="10">
        <v>510911.52</v>
      </c>
      <c r="BG140" s="6">
        <f>H140/BF140</f>
        <v>1.9196125954768057</v>
      </c>
      <c r="BI140" s="30">
        <f>(1-($BJ$144*(BF140/H140)))*100</f>
        <v>52.13090861412435</v>
      </c>
      <c r="BJ140" s="37">
        <f>IF(BI140/4&gt;=5,5,BI140/4)</f>
        <v>5</v>
      </c>
    </row>
    <row r="141" spans="1:70" ht="15" customHeight="1">
      <c r="A141" s="40" t="s">
        <v>226</v>
      </c>
      <c r="B141" s="11">
        <v>1217330</v>
      </c>
      <c r="C141" s="10">
        <f>B141*1.005</f>
        <v>1223416.65</v>
      </c>
      <c r="D141" s="11">
        <v>936744.9235130001</v>
      </c>
      <c r="E141" s="10">
        <f>D141*BI141/100</f>
        <v>546907.0463438026</v>
      </c>
      <c r="F141" s="23" t="str">
        <f>IF(D141&gt;C141,D141-C141,"ingen")</f>
        <v>ingen</v>
      </c>
      <c r="H141" s="10">
        <f>IF(F141="ingen",D141,IF(E141&lt;F141,D141-E141,C141))</f>
        <v>936744.9235130001</v>
      </c>
      <c r="J141" s="10">
        <f>BF141</f>
        <v>424243.56</v>
      </c>
      <c r="P141" s="10">
        <f>H141*BJ141/100</f>
        <v>46837.246175650005</v>
      </c>
      <c r="R141" s="23">
        <f>B141*0.005</f>
        <v>6086.650000000001</v>
      </c>
      <c r="S141" s="23">
        <f>C141*0.023</f>
        <v>28138.582949999996</v>
      </c>
      <c r="T141" s="23">
        <f>D141-E141</f>
        <v>389837.87716919754</v>
      </c>
      <c r="U141" s="23">
        <f>H141*0.023</f>
        <v>21545.133240799</v>
      </c>
      <c r="V141" s="23">
        <f>H141*1.023</f>
        <v>958290.0567537991</v>
      </c>
      <c r="W141" s="23">
        <f>C141*1.023</f>
        <v>1251555.2329499999</v>
      </c>
      <c r="X141" s="23">
        <f>D141*0.023</f>
        <v>21545.133240799</v>
      </c>
      <c r="Y141" s="23">
        <f>D141*1.023</f>
        <v>958290.0567537991</v>
      </c>
      <c r="Z141" s="23">
        <f>W141-Y141</f>
        <v>293265.1761962008</v>
      </c>
      <c r="AA141" s="23" t="str">
        <f>IF(F141="ingen","ingen",IF(H141&lt;=T141,V141-Y141,"tal til venstre"))</f>
        <v>ingen</v>
      </c>
      <c r="AC141" s="40" t="s">
        <v>226</v>
      </c>
      <c r="BF141" s="10">
        <v>424243.56</v>
      </c>
      <c r="BG141" s="6">
        <f>H141/BF141</f>
        <v>2.2080356941965134</v>
      </c>
      <c r="BI141" s="30">
        <f>(1-($BJ$144*(BF141/H141)))*100</f>
        <v>58.38377477326277</v>
      </c>
      <c r="BJ141" s="37">
        <f>IF(BI141/4&gt;=5,5,BI141/4)</f>
        <v>5</v>
      </c>
      <c r="BR141" s="42"/>
    </row>
    <row r="142" spans="1:62" ht="15" customHeight="1">
      <c r="A142" s="40" t="s">
        <v>227</v>
      </c>
      <c r="B142" s="11">
        <v>1161902</v>
      </c>
      <c r="C142" s="10">
        <f>B142*1.005</f>
        <v>1167711.5099999998</v>
      </c>
      <c r="D142" s="11">
        <v>773308.210696</v>
      </c>
      <c r="E142" s="10">
        <f>D142*BI142/100</f>
        <v>499363.280652616</v>
      </c>
      <c r="F142" s="23" t="str">
        <f>IF(D142&gt;C142,D142-C142,"ingen")</f>
        <v>ingen</v>
      </c>
      <c r="H142" s="10">
        <f>IF(F142="ingen",D142,IF(E142&lt;F142,D142-E142,C142))</f>
        <v>773308.210696</v>
      </c>
      <c r="J142" s="10">
        <f>BF142</f>
        <v>298122.32</v>
      </c>
      <c r="P142" s="10">
        <f>H142*BJ142/100</f>
        <v>38665.4105348</v>
      </c>
      <c r="R142" s="23">
        <f>B142*0.005</f>
        <v>5809.51</v>
      </c>
      <c r="S142" s="23">
        <f>C142*0.023</f>
        <v>26857.364729999994</v>
      </c>
      <c r="T142" s="23">
        <f>D142-E142</f>
        <v>273944.930043384</v>
      </c>
      <c r="U142" s="23">
        <f>H142*0.023</f>
        <v>17786.088846008</v>
      </c>
      <c r="V142" s="23">
        <f>H142*1.023</f>
        <v>791094.299542008</v>
      </c>
      <c r="W142" s="23">
        <f>C142*1.023</f>
        <v>1194568.8747299996</v>
      </c>
      <c r="X142" s="23">
        <f>D142*0.023</f>
        <v>17786.088846008</v>
      </c>
      <c r="Y142" s="23">
        <f>D142*1.023</f>
        <v>791094.299542008</v>
      </c>
      <c r="Z142" s="23">
        <f>W142-Y142</f>
        <v>403474.5751879916</v>
      </c>
      <c r="AA142" s="23" t="str">
        <f>IF(F142="ingen","ingen",IF(H142&lt;=T142,V142-Y142,"tal til venstre"))</f>
        <v>ingen</v>
      </c>
      <c r="AC142" s="40" t="s">
        <v>227</v>
      </c>
      <c r="BF142" s="10">
        <v>298122.32</v>
      </c>
      <c r="BG142" s="6">
        <f>H142/BF142</f>
        <v>2.5939292660006132</v>
      </c>
      <c r="BI142" s="30">
        <f>(1-($BJ$144*(BF142/H142)))*100</f>
        <v>64.57493580770007</v>
      </c>
      <c r="BJ142" s="37">
        <f>IF(BI142/4&gt;=5,5,BI142/4)</f>
        <v>5</v>
      </c>
    </row>
    <row r="143" spans="1:62" ht="15" customHeight="1">
      <c r="A143" s="40" t="s">
        <v>228</v>
      </c>
      <c r="B143" s="11">
        <v>1183933</v>
      </c>
      <c r="C143" s="10">
        <f>B143*1.005</f>
        <v>1189852.6649999998</v>
      </c>
      <c r="D143" s="11">
        <v>654324.696151</v>
      </c>
      <c r="E143" s="10">
        <f>D143*BI143/100</f>
        <v>292881.4513028438</v>
      </c>
      <c r="F143" s="23" t="str">
        <f>IF(D143&gt;C143,D143-C143,"ingen")</f>
        <v>ingen</v>
      </c>
      <c r="H143" s="10">
        <f>IF(F143="ingen",D143,IF(E143&lt;F143,D143-E143,C143))</f>
        <v>654324.696151</v>
      </c>
      <c r="J143" s="10">
        <f>BF143</f>
        <v>393342.92</v>
      </c>
      <c r="P143" s="10">
        <f>H143*BJ143/100</f>
        <v>32716.234807549998</v>
      </c>
      <c r="R143" s="23">
        <f>B143*0.005</f>
        <v>5919.665</v>
      </c>
      <c r="S143" s="23">
        <f>C143*0.023</f>
        <v>27366.611294999995</v>
      </c>
      <c r="T143" s="23">
        <f>D143-E143</f>
        <v>361443.2448481562</v>
      </c>
      <c r="U143" s="23">
        <f>H143*0.023</f>
        <v>15049.468011473</v>
      </c>
      <c r="V143" s="23">
        <f>H143*1.023</f>
        <v>669374.1641624729</v>
      </c>
      <c r="W143" s="23">
        <f>C143*1.023</f>
        <v>1217219.2762949998</v>
      </c>
      <c r="X143" s="23">
        <f>D143*0.023</f>
        <v>15049.468011473</v>
      </c>
      <c r="Y143" s="23">
        <f>D143*1.023</f>
        <v>669374.1641624729</v>
      </c>
      <c r="Z143" s="23">
        <f>W143-Y143</f>
        <v>547845.1121325268</v>
      </c>
      <c r="AA143" s="23" t="str">
        <f>IF(F143="ingen","ingen",IF(H143&lt;=T143,V143-Y143,"tal til venstre"))</f>
        <v>ingen</v>
      </c>
      <c r="AC143" s="40" t="s">
        <v>228</v>
      </c>
      <c r="BF143" s="10">
        <v>393342.92</v>
      </c>
      <c r="BG143" s="6">
        <f>H143/BF143</f>
        <v>1.66349681888516</v>
      </c>
      <c r="BI143" s="30">
        <f>(1-($BJ$144*(BF143/H143)))*100</f>
        <v>44.760873771949896</v>
      </c>
      <c r="BJ143" s="37">
        <f>IF(BI143/4&gt;=5,5,BI143/4)</f>
        <v>5</v>
      </c>
    </row>
    <row r="144" spans="5:62" ht="15" customHeight="1">
      <c r="E144" s="11"/>
      <c r="BJ144" s="37">
        <v>0.9189011075835716</v>
      </c>
    </row>
    <row r="145" ht="15" customHeight="1">
      <c r="E145" s="11"/>
    </row>
    <row r="146" spans="3:5" ht="15" customHeight="1">
      <c r="C146" s="11"/>
      <c r="E146" s="11"/>
    </row>
    <row r="147" ht="15" customHeight="1">
      <c r="E147" s="11"/>
    </row>
    <row r="148" spans="4:5" ht="15" customHeight="1">
      <c r="D148" s="11"/>
      <c r="E148" s="11"/>
    </row>
    <row r="149" spans="4:5" ht="15" customHeight="1">
      <c r="D149" s="11"/>
      <c r="E149" s="11"/>
    </row>
    <row r="150" spans="4:5" ht="15" customHeight="1">
      <c r="D150" s="11"/>
      <c r="E150" s="11"/>
    </row>
    <row r="151" spans="4:5" ht="15" customHeight="1">
      <c r="D151" s="11"/>
      <c r="E151" s="11"/>
    </row>
    <row r="152" spans="4:5" ht="15" customHeight="1">
      <c r="D152" s="11"/>
      <c r="E152" s="11"/>
    </row>
    <row r="153" ht="15" customHeight="1">
      <c r="E153" s="11"/>
    </row>
    <row r="154" ht="15" customHeight="1">
      <c r="E154" s="11"/>
    </row>
    <row r="155" spans="4:5" ht="15" customHeight="1">
      <c r="D155" s="11"/>
      <c r="E155" s="11"/>
    </row>
    <row r="156" spans="4:5" ht="15" customHeight="1">
      <c r="D156" s="11"/>
      <c r="E156" s="11"/>
    </row>
    <row r="157" spans="4:5" ht="15" customHeight="1">
      <c r="D157" s="11"/>
      <c r="E157" s="11"/>
    </row>
    <row r="158" spans="3:5" ht="15" customHeight="1">
      <c r="C158" s="26"/>
      <c r="E158" s="11"/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mergeCells count="9">
    <mergeCell ref="BL3:BQ3"/>
    <mergeCell ref="BU3:BZ3"/>
    <mergeCell ref="BF3:BG3"/>
    <mergeCell ref="AD3:AE3"/>
    <mergeCell ref="AG3:AK3"/>
    <mergeCell ref="AL3:AO3"/>
    <mergeCell ref="AP3:AS3"/>
    <mergeCell ref="AU3:AW3"/>
    <mergeCell ref="AX3:BD3"/>
  </mergeCells>
  <conditionalFormatting sqref="BL5:BQ125 CC5:CC125">
    <cfRule type="cellIs" priority="37" dxfId="13" operator="equal">
      <formula>0</formula>
    </cfRule>
  </conditionalFormatting>
  <conditionalFormatting sqref="Z139:Z143 Z5:Z125">
    <cfRule type="cellIs" priority="29" dxfId="13" operator="greaterThan">
      <formula>0</formula>
    </cfRule>
  </conditionalFormatting>
  <conditionalFormatting sqref="AA139:AA143 AA5:AA125">
    <cfRule type="containsText" priority="20" dxfId="13" operator="containsText" text="e">
      <formula>NOT(ISERROR(SEARCH("e",AA5)))</formula>
    </cfRule>
  </conditionalFormatting>
  <conditionalFormatting sqref="Z126:Z138">
    <cfRule type="cellIs" priority="6" dxfId="13" operator="greaterThan">
      <formula>0</formula>
    </cfRule>
  </conditionalFormatting>
  <conditionalFormatting sqref="AA126:AA138">
    <cfRule type="containsText" priority="5" dxfId="13" operator="containsText" text="e">
      <formula>NOT(ISERROR(SEARCH("e",AA126)))</formula>
    </cfRule>
  </conditionalFormatting>
  <conditionalFormatting sqref="BU5:BU125">
    <cfRule type="cellIs" priority="1682" dxfId="13" operator="between">
      <formula>$BL$131</formula>
      <formula>$BL$132</formula>
    </cfRule>
  </conditionalFormatting>
  <conditionalFormatting sqref="BV5:BV125">
    <cfRule type="cellIs" priority="1684" dxfId="13" operator="between">
      <formula>$BM$131</formula>
      <formula>$BM$132</formula>
    </cfRule>
  </conditionalFormatting>
  <conditionalFormatting sqref="BW5:BW125">
    <cfRule type="cellIs" priority="1686" dxfId="13" operator="between">
      <formula>$BN$131</formula>
      <formula>$BN$132</formula>
    </cfRule>
  </conditionalFormatting>
  <conditionalFormatting sqref="BX5:BX125">
    <cfRule type="cellIs" priority="1688" dxfId="13" operator="between">
      <formula>$BO$131</formula>
      <formula>$BO$132</formula>
    </cfRule>
  </conditionalFormatting>
  <conditionalFormatting sqref="BY5:BY125">
    <cfRule type="cellIs" priority="1690" dxfId="13" operator="between">
      <formula>$BP$131</formula>
      <formula>$BP$132</formula>
    </cfRule>
  </conditionalFormatting>
  <conditionalFormatting sqref="BZ5:BZ125">
    <cfRule type="cellIs" priority="1692" dxfId="13" operator="between">
      <formula>$BQ$131</formula>
      <formula>$BQ$132</formula>
    </cfRule>
  </conditionalFormatting>
  <conditionalFormatting sqref="CB5:CB125">
    <cfRule type="cellIs" priority="1694" dxfId="13" operator="greaterThan">
      <formula>$BS$132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="85" zoomScaleNormal="85" zoomScalePageLayoutView="0" workbookViewId="0" topLeftCell="A1">
      <pane xSplit="1" ySplit="1" topLeftCell="B6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1" sqref="E81"/>
    </sheetView>
  </sheetViews>
  <sheetFormatPr defaultColWidth="9.140625" defaultRowHeight="15"/>
  <cols>
    <col min="1" max="1" width="43.28125" style="7" bestFit="1" customWidth="1"/>
    <col min="2" max="6" width="15.7109375" style="8" customWidth="1"/>
    <col min="7" max="7" width="9.140625" style="7" customWidth="1"/>
    <col min="8" max="9" width="15.7109375" style="7" customWidth="1"/>
    <col min="10" max="11" width="15.7109375" style="8" customWidth="1"/>
    <col min="12" max="12" width="15.7109375" style="7" customWidth="1"/>
    <col min="13" max="13" width="9.140625" style="7" customWidth="1"/>
    <col min="14" max="19" width="15.7109375" style="7" customWidth="1"/>
    <col min="20" max="21" width="15.7109375" style="8" customWidth="1"/>
    <col min="22" max="16384" width="9.140625" style="7" customWidth="1"/>
  </cols>
  <sheetData>
    <row r="1" spans="1:21" s="16" customFormat="1" ht="45">
      <c r="A1" s="14" t="s">
        <v>0</v>
      </c>
      <c r="B1" s="21" t="s">
        <v>128</v>
      </c>
      <c r="C1" s="21" t="s">
        <v>123</v>
      </c>
      <c r="D1" s="21" t="s">
        <v>124</v>
      </c>
      <c r="E1" s="21" t="s">
        <v>129</v>
      </c>
      <c r="F1" s="21" t="s">
        <v>130</v>
      </c>
      <c r="G1" s="14"/>
      <c r="H1" s="14" t="s">
        <v>207</v>
      </c>
      <c r="I1" s="14" t="s">
        <v>208</v>
      </c>
      <c r="J1" s="21" t="s">
        <v>209</v>
      </c>
      <c r="K1" s="21" t="s">
        <v>210</v>
      </c>
      <c r="L1" s="14" t="s">
        <v>135</v>
      </c>
      <c r="M1" s="14"/>
      <c r="N1" s="14" t="s">
        <v>211</v>
      </c>
      <c r="O1" s="15" t="s">
        <v>213</v>
      </c>
      <c r="P1" s="14" t="s">
        <v>206</v>
      </c>
      <c r="Q1" s="15" t="s">
        <v>214</v>
      </c>
      <c r="R1" s="14" t="s">
        <v>136</v>
      </c>
      <c r="S1" s="14" t="s">
        <v>137</v>
      </c>
      <c r="T1" s="21" t="s">
        <v>212</v>
      </c>
      <c r="U1" s="21" t="s">
        <v>138</v>
      </c>
    </row>
    <row r="2" spans="1:21" ht="15">
      <c r="A2" s="7" t="s">
        <v>132</v>
      </c>
      <c r="B2" s="8">
        <f>Vand!H2</f>
        <v>935221</v>
      </c>
      <c r="E2" s="8">
        <f>Vand!M2</f>
        <v>1564116.829971708</v>
      </c>
      <c r="F2" s="8">
        <f>Vand!N2</f>
        <v>1634500.2156043889</v>
      </c>
      <c r="G2" s="8"/>
      <c r="H2" s="8"/>
      <c r="I2" s="8"/>
      <c r="L2" s="17">
        <v>1</v>
      </c>
      <c r="N2" s="17">
        <f>1-L2</f>
        <v>0</v>
      </c>
      <c r="O2" s="17"/>
      <c r="P2" s="17"/>
      <c r="Q2" s="17"/>
      <c r="R2" s="17">
        <f>IF(P2&lt;0,(N2+P2)/4,N2/4)</f>
        <v>0</v>
      </c>
      <c r="S2" s="17">
        <f>IF(R2&gt;=0.05,0.05,IF(R2&gt;=0.01,R2,0))</f>
        <v>0</v>
      </c>
      <c r="T2" s="8">
        <f>IF(P2&lt;0,(N2+P2)*B2,N2*B2)</f>
        <v>0</v>
      </c>
      <c r="U2" s="8">
        <f>B2*S2</f>
        <v>0</v>
      </c>
    </row>
    <row r="3" spans="1:21" ht="15">
      <c r="A3" s="7" t="s">
        <v>133</v>
      </c>
      <c r="B3" s="8">
        <f>Vand!H3</f>
        <v>13716358</v>
      </c>
      <c r="E3" s="8">
        <f>Vand!M3</f>
        <v>20169499.025422256</v>
      </c>
      <c r="F3" s="8">
        <f>Vand!N3</f>
        <v>27106180.957952816</v>
      </c>
      <c r="G3" s="8"/>
      <c r="H3" s="8"/>
      <c r="I3" s="8"/>
      <c r="L3" s="17">
        <v>1</v>
      </c>
      <c r="N3" s="17">
        <f>1-L3</f>
        <v>0</v>
      </c>
      <c r="O3" s="17"/>
      <c r="P3" s="17"/>
      <c r="Q3" s="17"/>
      <c r="R3" s="17">
        <f>IF(P3&lt;0,(N3+P3)/4,N3/4)</f>
        <v>0</v>
      </c>
      <c r="S3" s="17">
        <f>IF(R3&gt;=0.05,0.05,IF(R3&gt;=0.01,R3,0))</f>
        <v>0</v>
      </c>
      <c r="T3" s="8">
        <f>IF(P3&lt;0,(N3+P3)*B3,N3*B3)</f>
        <v>0</v>
      </c>
      <c r="U3" s="8">
        <f>B3*S3</f>
        <v>0</v>
      </c>
    </row>
    <row r="4" spans="1:21" ht="15">
      <c r="A4" s="7" t="s">
        <v>134</v>
      </c>
      <c r="B4" s="8">
        <f>Vand!H4</f>
        <v>14982685</v>
      </c>
      <c r="E4" s="8">
        <f>Vand!M4</f>
        <v>25283998.102670703</v>
      </c>
      <c r="F4" s="8">
        <f>Vand!N4</f>
        <v>25038015.741665874</v>
      </c>
      <c r="G4" s="8"/>
      <c r="H4" s="8"/>
      <c r="I4" s="8"/>
      <c r="L4" s="17">
        <v>1</v>
      </c>
      <c r="N4" s="17">
        <f>1-L4</f>
        <v>0</v>
      </c>
      <c r="O4" s="17"/>
      <c r="P4" s="17"/>
      <c r="Q4" s="17"/>
      <c r="R4" s="17">
        <f>IF(P4&lt;0,(N4+P4)/4,N4/4)</f>
        <v>0</v>
      </c>
      <c r="S4" s="17">
        <f>IF(R4&gt;=0.05,0.05,IF(R4&gt;=0.01,R4,0))</f>
        <v>0</v>
      </c>
      <c r="T4" s="8">
        <f>IF(P4&lt;0,(N4+P4)*B4,N4*B4)</f>
        <v>0</v>
      </c>
      <c r="U4" s="8">
        <f>B4*S4</f>
        <v>0</v>
      </c>
    </row>
    <row r="5" spans="1:21" ht="15">
      <c r="A5" s="7" t="s">
        <v>14</v>
      </c>
      <c r="B5" s="8">
        <f>Vand!H5</f>
        <v>10423215.0288168</v>
      </c>
      <c r="C5" s="8">
        <f>Vand!J5</f>
        <v>3704011.8161766</v>
      </c>
      <c r="D5" s="8">
        <f>Vand!K5</f>
        <v>4205899.024810856</v>
      </c>
      <c r="E5" s="8">
        <f>Vand!M5</f>
        <v>6830976.32482164</v>
      </c>
      <c r="F5" s="8">
        <f>Vand!N5</f>
        <v>7332863.533455896</v>
      </c>
      <c r="G5" s="8"/>
      <c r="H5" s="18">
        <v>0.7786848038769696</v>
      </c>
      <c r="I5" s="19"/>
      <c r="J5" s="8">
        <f>H5*B5</f>
        <v>8116399.1504816925</v>
      </c>
      <c r="K5" s="8">
        <f aca="true" t="shared" si="0" ref="K5:K46">I5*B5</f>
        <v>0</v>
      </c>
      <c r="L5" s="17">
        <v>0.3969828379245648</v>
      </c>
      <c r="N5" s="18">
        <f aca="true" t="shared" si="1" ref="N5:N46">1-L5</f>
        <v>0.6030171620754352</v>
      </c>
      <c r="O5" s="18">
        <f>IF(Vand!CB5&lt;Vand!$BS$132,(Vand!CB5-Vand!$BS$132)/100,0)</f>
        <v>-0.06192829556870168</v>
      </c>
      <c r="P5" s="18">
        <f>Vand!CC5/100</f>
        <v>-0.02861087255274017</v>
      </c>
      <c r="Q5" s="18">
        <f>IF(P5&lt;0,N5+P5,0)</f>
        <v>0.574406289522695</v>
      </c>
      <c r="R5" s="18">
        <f>IF(P5&lt;0,(N5+P5)/4,N5/4)</f>
        <v>0.14360157238067375</v>
      </c>
      <c r="S5" s="18">
        <f>IF(R5&gt;=0.05,0.05,IF(R5&gt;=0.01,R5,0))</f>
        <v>0.05</v>
      </c>
      <c r="T5" s="8">
        <f>IF(P5&lt;0,(N5+P5)*B5,N5*B5)</f>
        <v>5987160.269599849</v>
      </c>
      <c r="U5" s="8">
        <f aca="true" t="shared" si="2" ref="U5:U45">B5*S5</f>
        <v>521160.7514408401</v>
      </c>
    </row>
    <row r="6" spans="1:21" ht="15">
      <c r="A6" s="7" t="s">
        <v>15</v>
      </c>
      <c r="B6" s="8">
        <f>Vand!H6</f>
        <v>1474331</v>
      </c>
      <c r="C6" s="8">
        <f>Vand!J6</f>
        <v>1588478.0351862132</v>
      </c>
      <c r="D6" s="8">
        <f>Vand!K6</f>
        <v>1572559.3824464243</v>
      </c>
      <c r="E6" s="8">
        <f>Vand!M6</f>
        <v>2030777.3351862133</v>
      </c>
      <c r="F6" s="8">
        <f>Vand!N6</f>
        <v>2014858.6824464244</v>
      </c>
      <c r="G6" s="8"/>
      <c r="H6" s="18">
        <v>0.36154527026626826</v>
      </c>
      <c r="I6" s="19"/>
      <c r="J6" s="8">
        <f aca="true" t="shared" si="3" ref="J6:J46">H6*B6</f>
        <v>533037.3998569376</v>
      </c>
      <c r="K6" s="8">
        <f t="shared" si="0"/>
        <v>0</v>
      </c>
      <c r="L6" s="17">
        <v>0.8164817426628261</v>
      </c>
      <c r="N6" s="18">
        <f t="shared" si="1"/>
        <v>0.18351825733717386</v>
      </c>
      <c r="O6" s="18">
        <f>IF(Vand!CB6&lt;Vand!$BS$132,(Vand!CB6-Vand!$BS$132)/100,0)</f>
        <v>-0.06463217261737535</v>
      </c>
      <c r="P6" s="18">
        <f>Vand!CC6/100</f>
        <v>-0.02986006374922741</v>
      </c>
      <c r="Q6" s="18">
        <f aca="true" t="shared" si="4" ref="Q6:Q46">IF(P6&lt;0,N6+P6,0)</f>
        <v>0.15365819358794647</v>
      </c>
      <c r="R6" s="18">
        <f aca="true" t="shared" si="5" ref="R6:R46">IF(P6&lt;0,(N6+P6)/4,N6/4)</f>
        <v>0.03841454839698662</v>
      </c>
      <c r="S6" s="18">
        <f aca="true" t="shared" si="6" ref="S6:S46">IF(R6&gt;=0.05,0.05,IF(R6&gt;=0.01,R6,0))</f>
        <v>0.03841454839698662</v>
      </c>
      <c r="T6" s="8">
        <f aca="true" t="shared" si="7" ref="T6:T46">IF(P6&lt;0,(N6+P6)*B6,N6*B6)</f>
        <v>226543.0382107107</v>
      </c>
      <c r="U6" s="8">
        <f t="shared" si="2"/>
        <v>56635.75955267768</v>
      </c>
    </row>
    <row r="7" spans="1:21" ht="15">
      <c r="A7" s="7" t="s">
        <v>16</v>
      </c>
      <c r="B7" s="8">
        <f>Vand!H7</f>
        <v>927933.6645698</v>
      </c>
      <c r="C7" s="8">
        <f>Vand!J7</f>
        <v>1632281.8856207924</v>
      </c>
      <c r="D7" s="8">
        <f>Vand!K7</f>
        <v>1723584.9352607445</v>
      </c>
      <c r="E7" s="8">
        <f>Vand!M7</f>
        <v>1910661.9849917325</v>
      </c>
      <c r="F7" s="8">
        <f>Vand!N7</f>
        <v>2001965.0346316844</v>
      </c>
      <c r="G7" s="8"/>
      <c r="H7" s="18">
        <v>0</v>
      </c>
      <c r="I7" s="19"/>
      <c r="J7" s="8">
        <f t="shared" si="3"/>
        <v>0</v>
      </c>
      <c r="K7" s="8">
        <f t="shared" si="0"/>
        <v>0</v>
      </c>
      <c r="L7" s="17">
        <v>1</v>
      </c>
      <c r="N7" s="18">
        <f t="shared" si="1"/>
        <v>0</v>
      </c>
      <c r="O7" s="18">
        <f>IF(Vand!CB7&lt;Vand!$BS$132,(Vand!CB7-Vand!$BS$132)/100,0)</f>
        <v>0</v>
      </c>
      <c r="P7" s="18">
        <f>Vand!CC7/100</f>
        <v>0</v>
      </c>
      <c r="Q7" s="18">
        <f t="shared" si="4"/>
        <v>0</v>
      </c>
      <c r="R7" s="18">
        <f t="shared" si="5"/>
        <v>0</v>
      </c>
      <c r="S7" s="18">
        <f t="shared" si="6"/>
        <v>0</v>
      </c>
      <c r="T7" s="8">
        <f t="shared" si="7"/>
        <v>0</v>
      </c>
      <c r="U7" s="8">
        <f t="shared" si="2"/>
        <v>0</v>
      </c>
    </row>
    <row r="8" spans="1:21" ht="15">
      <c r="A8" s="7" t="s">
        <v>17</v>
      </c>
      <c r="B8" s="8">
        <f>Vand!H8</f>
        <v>907965.9136128</v>
      </c>
      <c r="C8" s="8">
        <f>Vand!J8</f>
        <v>1675449.9950044088</v>
      </c>
      <c r="D8" s="8">
        <f>Vand!K8</f>
        <v>1499448.6041070176</v>
      </c>
      <c r="E8" s="8">
        <f>Vand!M8</f>
        <v>1947839.7690882487</v>
      </c>
      <c r="F8" s="8">
        <f>Vand!N8</f>
        <v>1771838.3781908576</v>
      </c>
      <c r="G8" s="8"/>
      <c r="H8" s="18">
        <v>0</v>
      </c>
      <c r="I8" s="19"/>
      <c r="J8" s="8">
        <f t="shared" si="3"/>
        <v>0</v>
      </c>
      <c r="K8" s="8">
        <f t="shared" si="0"/>
        <v>0</v>
      </c>
      <c r="L8" s="17">
        <v>1</v>
      </c>
      <c r="N8" s="18">
        <f t="shared" si="1"/>
        <v>0</v>
      </c>
      <c r="O8" s="18">
        <f>IF(Vand!CB8&lt;Vand!$BS$132,(Vand!CB8-Vand!$BS$132)/100,0)</f>
        <v>0</v>
      </c>
      <c r="P8" s="18">
        <f>Vand!CC8/100</f>
        <v>0</v>
      </c>
      <c r="Q8" s="18">
        <f t="shared" si="4"/>
        <v>0</v>
      </c>
      <c r="R8" s="18">
        <f t="shared" si="5"/>
        <v>0</v>
      </c>
      <c r="S8" s="18">
        <f t="shared" si="6"/>
        <v>0</v>
      </c>
      <c r="T8" s="8">
        <f t="shared" si="7"/>
        <v>0</v>
      </c>
      <c r="U8" s="8">
        <f t="shared" si="2"/>
        <v>0</v>
      </c>
    </row>
    <row r="9" spans="1:21" ht="15">
      <c r="A9" s="7" t="s">
        <v>18</v>
      </c>
      <c r="B9" s="8">
        <f>Vand!H9</f>
        <v>2564658.8668078</v>
      </c>
      <c r="C9" s="8">
        <f>Vand!J9</f>
        <v>4272765.199220238</v>
      </c>
      <c r="D9" s="8">
        <f>Vand!K9</f>
        <v>4502416.554156822</v>
      </c>
      <c r="E9" s="8">
        <f>Vand!M9</f>
        <v>5042162.859262578</v>
      </c>
      <c r="F9" s="8">
        <f>Vand!N9</f>
        <v>5271814.214199162</v>
      </c>
      <c r="G9" s="8"/>
      <c r="H9" s="18">
        <v>0</v>
      </c>
      <c r="I9" s="19"/>
      <c r="J9" s="8">
        <f t="shared" si="3"/>
        <v>0</v>
      </c>
      <c r="K9" s="8">
        <f t="shared" si="0"/>
        <v>0</v>
      </c>
      <c r="L9" s="17">
        <v>1</v>
      </c>
      <c r="N9" s="18">
        <f t="shared" si="1"/>
        <v>0</v>
      </c>
      <c r="O9" s="18">
        <f>IF(Vand!CB9&lt;Vand!$BS$132,(Vand!CB9-Vand!$BS$132)/100,0)</f>
        <v>0</v>
      </c>
      <c r="P9" s="18">
        <f>Vand!CC9/100</f>
        <v>0</v>
      </c>
      <c r="Q9" s="18">
        <f t="shared" si="4"/>
        <v>0</v>
      </c>
      <c r="R9" s="18">
        <f t="shared" si="5"/>
        <v>0</v>
      </c>
      <c r="S9" s="18">
        <f t="shared" si="6"/>
        <v>0</v>
      </c>
      <c r="T9" s="8">
        <f t="shared" si="7"/>
        <v>0</v>
      </c>
      <c r="U9" s="8">
        <f t="shared" si="2"/>
        <v>0</v>
      </c>
    </row>
    <row r="10" spans="1:21" ht="15">
      <c r="A10" s="7" t="s">
        <v>19</v>
      </c>
      <c r="B10" s="8">
        <f>Vand!H10</f>
        <v>1316103.007611</v>
      </c>
      <c r="C10" s="8">
        <f>Vand!J10</f>
        <v>1673532.9405259832</v>
      </c>
      <c r="D10" s="8">
        <f>Vand!K10</f>
        <v>1402688.3694312582</v>
      </c>
      <c r="E10" s="8">
        <f>Vand!M10</f>
        <v>2068363.8428092832</v>
      </c>
      <c r="F10" s="8">
        <f>Vand!N10</f>
        <v>1797519.2717145581</v>
      </c>
      <c r="G10" s="8"/>
      <c r="H10" s="18">
        <v>0.2464912444835875</v>
      </c>
      <c r="I10" s="19"/>
      <c r="J10" s="8">
        <f t="shared" si="3"/>
        <v>324407.86821462784</v>
      </c>
      <c r="K10" s="8">
        <f t="shared" si="0"/>
        <v>0</v>
      </c>
      <c r="L10" s="17">
        <v>0.9312815364829669</v>
      </c>
      <c r="N10" s="18">
        <f t="shared" si="1"/>
        <v>0.06871846351703315</v>
      </c>
      <c r="O10" s="18">
        <f>IF(Vand!CB10&lt;Vand!$BS$132,(Vand!CB10-Vand!$BS$132)/100,0)</f>
        <v>0</v>
      </c>
      <c r="P10" s="18">
        <f>Vand!CC10/100</f>
        <v>0</v>
      </c>
      <c r="Q10" s="18">
        <f t="shared" si="4"/>
        <v>0</v>
      </c>
      <c r="R10" s="18">
        <f t="shared" si="5"/>
        <v>0.017179615879258286</v>
      </c>
      <c r="S10" s="18">
        <f t="shared" si="6"/>
        <v>0.017179615879258286</v>
      </c>
      <c r="T10" s="8">
        <f t="shared" si="7"/>
        <v>90440.57651317409</v>
      </c>
      <c r="U10" s="8">
        <f t="shared" si="2"/>
        <v>22610.144128293523</v>
      </c>
    </row>
    <row r="11" spans="1:21" ht="15">
      <c r="A11" s="7" t="s">
        <v>20</v>
      </c>
      <c r="B11" s="8">
        <f>Vand!H11</f>
        <v>2145584.745115</v>
      </c>
      <c r="C11" s="8">
        <f>Vand!J11</f>
        <v>3880041.7717897776</v>
      </c>
      <c r="D11" s="8">
        <f>Vand!K11</f>
        <v>4351848.295125516</v>
      </c>
      <c r="E11" s="8">
        <f>Vand!M11</f>
        <v>4523717.1953242775</v>
      </c>
      <c r="F11" s="8">
        <f>Vand!N11</f>
        <v>4995523.718660016</v>
      </c>
      <c r="G11" s="8"/>
      <c r="H11" s="18">
        <v>0</v>
      </c>
      <c r="I11" s="19"/>
      <c r="J11" s="8">
        <f t="shared" si="3"/>
        <v>0</v>
      </c>
      <c r="K11" s="8">
        <f t="shared" si="0"/>
        <v>0</v>
      </c>
      <c r="L11" s="17">
        <v>1</v>
      </c>
      <c r="N11" s="18">
        <f t="shared" si="1"/>
        <v>0</v>
      </c>
      <c r="O11" s="18">
        <f>IF(Vand!CB11&lt;Vand!$BS$132,(Vand!CB11-Vand!$BS$132)/100,0)</f>
        <v>0</v>
      </c>
      <c r="P11" s="18">
        <f>Vand!CC11/100</f>
        <v>0</v>
      </c>
      <c r="Q11" s="18">
        <f t="shared" si="4"/>
        <v>0</v>
      </c>
      <c r="R11" s="18">
        <f t="shared" si="5"/>
        <v>0</v>
      </c>
      <c r="S11" s="18">
        <f t="shared" si="6"/>
        <v>0</v>
      </c>
      <c r="T11" s="8">
        <f t="shared" si="7"/>
        <v>0</v>
      </c>
      <c r="U11" s="8">
        <f t="shared" si="2"/>
        <v>0</v>
      </c>
    </row>
    <row r="12" spans="1:21" ht="15">
      <c r="A12" s="7" t="s">
        <v>21</v>
      </c>
      <c r="B12" s="8">
        <f>Vand!H12</f>
        <v>805463.235549</v>
      </c>
      <c r="C12" s="8">
        <f>Vand!J12</f>
        <v>1600079.6656536595</v>
      </c>
      <c r="D12" s="8">
        <f>Vand!K12</f>
        <v>1666670.1590180683</v>
      </c>
      <c r="E12" s="8">
        <f>Vand!M12</f>
        <v>1841718.6363183595</v>
      </c>
      <c r="F12" s="8">
        <f>Vand!N12</f>
        <v>1908309.1296827684</v>
      </c>
      <c r="G12" s="8"/>
      <c r="H12" s="18">
        <v>0</v>
      </c>
      <c r="I12" s="19"/>
      <c r="J12" s="8">
        <f t="shared" si="3"/>
        <v>0</v>
      </c>
      <c r="K12" s="8">
        <f t="shared" si="0"/>
        <v>0</v>
      </c>
      <c r="L12" s="17">
        <v>1</v>
      </c>
      <c r="N12" s="18">
        <f t="shared" si="1"/>
        <v>0</v>
      </c>
      <c r="O12" s="18">
        <f>IF(Vand!CB12&lt;Vand!$BS$132,(Vand!CB12-Vand!$BS$132)/100,0)</f>
        <v>0</v>
      </c>
      <c r="P12" s="18">
        <f>Vand!CC12/100</f>
        <v>0</v>
      </c>
      <c r="Q12" s="18">
        <f t="shared" si="4"/>
        <v>0</v>
      </c>
      <c r="R12" s="18">
        <f t="shared" si="5"/>
        <v>0</v>
      </c>
      <c r="S12" s="18">
        <f t="shared" si="6"/>
        <v>0</v>
      </c>
      <c r="T12" s="8">
        <f t="shared" si="7"/>
        <v>0</v>
      </c>
      <c r="U12" s="8">
        <f t="shared" si="2"/>
        <v>0</v>
      </c>
    </row>
    <row r="13" spans="1:21" ht="15">
      <c r="A13" s="7" t="s">
        <v>22</v>
      </c>
      <c r="B13" s="8">
        <f>Vand!H13</f>
        <v>6291186.3540918</v>
      </c>
      <c r="C13" s="8">
        <f>Vand!J13</f>
        <v>6769454.549148824</v>
      </c>
      <c r="D13" s="8">
        <f>Vand!K13</f>
        <v>7090277.4289898835</v>
      </c>
      <c r="E13" s="8">
        <f>Vand!M13</f>
        <v>8656810.455376364</v>
      </c>
      <c r="F13" s="8">
        <f>Vand!N13</f>
        <v>8977633.335217424</v>
      </c>
      <c r="G13" s="8"/>
      <c r="H13" s="18">
        <v>0.35591422342256296</v>
      </c>
      <c r="I13" s="19"/>
      <c r="J13" s="8">
        <f t="shared" si="3"/>
        <v>2239122.705623208</v>
      </c>
      <c r="K13" s="8">
        <f t="shared" si="0"/>
        <v>0</v>
      </c>
      <c r="L13" s="17">
        <v>0.8216874884196462</v>
      </c>
      <c r="N13" s="18">
        <f t="shared" si="1"/>
        <v>0.17831251158035377</v>
      </c>
      <c r="O13" s="18">
        <f>IF(Vand!CB13&lt;Vand!$BS$132,(Vand!CB13-Vand!$BS$132)/100,0)</f>
        <v>0</v>
      </c>
      <c r="P13" s="18">
        <f>Vand!CC13/100</f>
        <v>0</v>
      </c>
      <c r="Q13" s="18">
        <f t="shared" si="4"/>
        <v>0</v>
      </c>
      <c r="R13" s="18">
        <f t="shared" si="5"/>
        <v>0.04457812789508844</v>
      </c>
      <c r="S13" s="18">
        <f t="shared" si="6"/>
        <v>0.04457812789508844</v>
      </c>
      <c r="T13" s="8">
        <f t="shared" si="7"/>
        <v>1121797.2396181577</v>
      </c>
      <c r="U13" s="8">
        <f t="shared" si="2"/>
        <v>280449.30990453943</v>
      </c>
    </row>
    <row r="14" spans="1:21" ht="15">
      <c r="A14" s="7" t="s">
        <v>23</v>
      </c>
      <c r="B14" s="8">
        <f>Vand!H14</f>
        <v>3437257.1714908</v>
      </c>
      <c r="C14" s="8">
        <f>Vand!J14</f>
        <v>4378111.1884022895</v>
      </c>
      <c r="D14" s="8">
        <f>Vand!K14</f>
        <v>4573032.062580541</v>
      </c>
      <c r="E14" s="8">
        <f>Vand!M14</f>
        <v>5409288.33984953</v>
      </c>
      <c r="F14" s="8">
        <f>Vand!N14</f>
        <v>5604209.214027781</v>
      </c>
      <c r="G14" s="8"/>
      <c r="H14" s="18">
        <v>0.23847189249458278</v>
      </c>
      <c r="I14" s="19"/>
      <c r="J14" s="8">
        <f t="shared" si="3"/>
        <v>819689.2226759878</v>
      </c>
      <c r="K14" s="8">
        <f t="shared" si="0"/>
        <v>0</v>
      </c>
      <c r="L14" s="17">
        <v>0.9395859770883311</v>
      </c>
      <c r="N14" s="18">
        <f t="shared" si="1"/>
        <v>0.06041402291166886</v>
      </c>
      <c r="O14" s="18">
        <f>IF(Vand!CB14&lt;Vand!$BS$132,(Vand!CB14-Vand!$BS$132)/100,0)</f>
        <v>0</v>
      </c>
      <c r="P14" s="18">
        <f>Vand!CC14/100</f>
        <v>0</v>
      </c>
      <c r="Q14" s="18">
        <f t="shared" si="4"/>
        <v>0</v>
      </c>
      <c r="R14" s="18">
        <f t="shared" si="5"/>
        <v>0.015103505727917216</v>
      </c>
      <c r="S14" s="18">
        <f t="shared" si="6"/>
        <v>0.015103505727917216</v>
      </c>
      <c r="T14" s="8">
        <f t="shared" si="7"/>
        <v>207658.5335117433</v>
      </c>
      <c r="U14" s="8">
        <f t="shared" si="2"/>
        <v>51914.633377935825</v>
      </c>
    </row>
    <row r="15" spans="1:21" ht="15">
      <c r="A15" s="7" t="s">
        <v>24</v>
      </c>
      <c r="B15" s="8">
        <f>Vand!H15</f>
        <v>1993297.5201314</v>
      </c>
      <c r="C15" s="8">
        <f>Vand!J15</f>
        <v>4425812.766720963</v>
      </c>
      <c r="D15" s="8">
        <f>Vand!K15</f>
        <v>3946979.7954964647</v>
      </c>
      <c r="E15" s="8">
        <f>Vand!M15</f>
        <v>5023802.022760383</v>
      </c>
      <c r="F15" s="8">
        <f>Vand!N15</f>
        <v>4544969.051535885</v>
      </c>
      <c r="G15" s="8"/>
      <c r="H15" s="18">
        <v>0</v>
      </c>
      <c r="I15" s="19"/>
      <c r="J15" s="8">
        <f t="shared" si="3"/>
        <v>0</v>
      </c>
      <c r="K15" s="8">
        <f t="shared" si="0"/>
        <v>0</v>
      </c>
      <c r="L15" s="17">
        <v>1</v>
      </c>
      <c r="N15" s="18">
        <f t="shared" si="1"/>
        <v>0</v>
      </c>
      <c r="O15" s="18">
        <f>IF(Vand!CB15&lt;Vand!$BS$132,(Vand!CB15-Vand!$BS$132)/100,0)</f>
        <v>0</v>
      </c>
      <c r="P15" s="18">
        <f>Vand!CC15/100</f>
        <v>0</v>
      </c>
      <c r="Q15" s="18">
        <f t="shared" si="4"/>
        <v>0</v>
      </c>
      <c r="R15" s="18">
        <f t="shared" si="5"/>
        <v>0</v>
      </c>
      <c r="S15" s="18">
        <f t="shared" si="6"/>
        <v>0</v>
      </c>
      <c r="T15" s="8">
        <f t="shared" si="7"/>
        <v>0</v>
      </c>
      <c r="U15" s="8">
        <f t="shared" si="2"/>
        <v>0</v>
      </c>
    </row>
    <row r="16" spans="1:21" ht="15">
      <c r="A16" s="7" t="s">
        <v>25</v>
      </c>
      <c r="B16" s="8">
        <f>Vand!H16</f>
        <v>2179137</v>
      </c>
      <c r="C16" s="8">
        <f>Vand!J16</f>
        <v>3060176.5341072595</v>
      </c>
      <c r="D16" s="8">
        <f>Vand!K16</f>
        <v>3229535.7131541</v>
      </c>
      <c r="E16" s="8">
        <f>Vand!M16</f>
        <v>3713917.6341072596</v>
      </c>
      <c r="F16" s="8">
        <f>Vand!N16</f>
        <v>3883276.8131541</v>
      </c>
      <c r="G16" s="8"/>
      <c r="H16" s="18">
        <v>0.15634176875077632</v>
      </c>
      <c r="I16" s="19"/>
      <c r="J16" s="8">
        <f t="shared" si="3"/>
        <v>340690.13293026044</v>
      </c>
      <c r="K16" s="8">
        <f t="shared" si="0"/>
        <v>0</v>
      </c>
      <c r="L16" s="17">
        <v>1</v>
      </c>
      <c r="N16" s="18">
        <f t="shared" si="1"/>
        <v>0</v>
      </c>
      <c r="O16" s="18">
        <f>IF(Vand!CB16&lt;Vand!$BS$132,(Vand!CB16-Vand!$BS$132)/100,0)</f>
        <v>0</v>
      </c>
      <c r="P16" s="18">
        <f>Vand!CC16/100</f>
        <v>0</v>
      </c>
      <c r="Q16" s="18">
        <f t="shared" si="4"/>
        <v>0</v>
      </c>
      <c r="R16" s="18">
        <f t="shared" si="5"/>
        <v>0</v>
      </c>
      <c r="S16" s="18">
        <f t="shared" si="6"/>
        <v>0</v>
      </c>
      <c r="T16" s="8">
        <f t="shared" si="7"/>
        <v>0</v>
      </c>
      <c r="U16" s="8">
        <f t="shared" si="2"/>
        <v>0</v>
      </c>
    </row>
    <row r="17" spans="1:21" ht="15">
      <c r="A17" s="7" t="s">
        <v>26</v>
      </c>
      <c r="B17" s="8">
        <f>Vand!H17</f>
        <v>372213.82009000005</v>
      </c>
      <c r="C17" s="8">
        <f>Vand!J17</f>
        <v>1346355.0300687114</v>
      </c>
      <c r="D17" s="8">
        <f>Vand!K17</f>
        <v>871091.7044544563</v>
      </c>
      <c r="E17" s="8">
        <f>Vand!M17</f>
        <v>1458019.1760957113</v>
      </c>
      <c r="F17" s="8">
        <f>Vand!N17</f>
        <v>982755.8504814564</v>
      </c>
      <c r="G17" s="8"/>
      <c r="H17" s="18">
        <v>0</v>
      </c>
      <c r="I17" s="19"/>
      <c r="J17" s="8">
        <f t="shared" si="3"/>
        <v>0</v>
      </c>
      <c r="K17" s="8">
        <f t="shared" si="0"/>
        <v>0</v>
      </c>
      <c r="L17" s="17">
        <v>1</v>
      </c>
      <c r="N17" s="18">
        <f t="shared" si="1"/>
        <v>0</v>
      </c>
      <c r="O17" s="18">
        <f>IF(Vand!CB17&lt;Vand!$BS$132,(Vand!CB17-Vand!$BS$132)/100,0)</f>
        <v>0</v>
      </c>
      <c r="P17" s="18">
        <f>Vand!CC17/100</f>
        <v>0</v>
      </c>
      <c r="Q17" s="18">
        <f t="shared" si="4"/>
        <v>0</v>
      </c>
      <c r="R17" s="18">
        <f t="shared" si="5"/>
        <v>0</v>
      </c>
      <c r="S17" s="18">
        <f t="shared" si="6"/>
        <v>0</v>
      </c>
      <c r="T17" s="8">
        <f t="shared" si="7"/>
        <v>0</v>
      </c>
      <c r="U17" s="8">
        <f t="shared" si="2"/>
        <v>0</v>
      </c>
    </row>
    <row r="18" spans="1:21" ht="15">
      <c r="A18" s="7" t="s">
        <v>27</v>
      </c>
      <c r="B18" s="8">
        <f>Vand!H18</f>
        <v>2091310.5185588</v>
      </c>
      <c r="C18" s="8">
        <f>Vand!J18</f>
        <v>1546397.3252809888</v>
      </c>
      <c r="D18" s="8">
        <f>Vand!K18</f>
        <v>1703288.0551786683</v>
      </c>
      <c r="E18" s="8">
        <f>Vand!M18</f>
        <v>2173790.480848629</v>
      </c>
      <c r="F18" s="8">
        <f>Vand!N18</f>
        <v>2330681.2107463083</v>
      </c>
      <c r="G18" s="8"/>
      <c r="H18" s="18">
        <v>0.5464022672676605</v>
      </c>
      <c r="I18" s="19"/>
      <c r="J18" s="8">
        <f t="shared" si="3"/>
        <v>1142696.808901235</v>
      </c>
      <c r="K18" s="8">
        <f t="shared" si="0"/>
        <v>0</v>
      </c>
      <c r="L18" s="17">
        <v>0.6292652922637338</v>
      </c>
      <c r="N18" s="18">
        <f t="shared" si="1"/>
        <v>0.37073470773626616</v>
      </c>
      <c r="O18" s="18">
        <f>IF(Vand!CB18&lt;Vand!$BS$132,(Vand!CB18-Vand!$BS$132)/100,0)</f>
        <v>0</v>
      </c>
      <c r="P18" s="18">
        <f>Vand!CC18/100</f>
        <v>0</v>
      </c>
      <c r="Q18" s="18">
        <f t="shared" si="4"/>
        <v>0</v>
      </c>
      <c r="R18" s="18">
        <f t="shared" si="5"/>
        <v>0.09268367693406654</v>
      </c>
      <c r="S18" s="18">
        <f t="shared" si="6"/>
        <v>0.05</v>
      </c>
      <c r="T18" s="8">
        <f t="shared" si="7"/>
        <v>775321.3938836759</v>
      </c>
      <c r="U18" s="8">
        <f t="shared" si="2"/>
        <v>104565.52592794</v>
      </c>
    </row>
    <row r="19" spans="1:21" ht="15">
      <c r="A19" s="7" t="s">
        <v>28</v>
      </c>
      <c r="B19" s="8">
        <f>Vand!H19</f>
        <v>575814.8380474</v>
      </c>
      <c r="C19" s="8">
        <f>Vand!J19</f>
        <v>1246431.932415638</v>
      </c>
      <c r="D19" s="8">
        <f>Vand!K19</f>
        <v>1121285.015521147</v>
      </c>
      <c r="E19" s="8">
        <f>Vand!M19</f>
        <v>1419176.383829858</v>
      </c>
      <c r="F19" s="8">
        <f>Vand!N19</f>
        <v>1294029.466935367</v>
      </c>
      <c r="G19" s="8"/>
      <c r="H19" s="18">
        <v>0</v>
      </c>
      <c r="I19" s="19"/>
      <c r="J19" s="8">
        <f t="shared" si="3"/>
        <v>0</v>
      </c>
      <c r="K19" s="8">
        <f t="shared" si="0"/>
        <v>0</v>
      </c>
      <c r="L19" s="17">
        <v>1</v>
      </c>
      <c r="N19" s="18">
        <f t="shared" si="1"/>
        <v>0</v>
      </c>
      <c r="O19" s="18">
        <f>IF(Vand!CB19&lt;Vand!$BS$132,(Vand!CB19-Vand!$BS$132)/100,0)</f>
        <v>0</v>
      </c>
      <c r="P19" s="18">
        <f>Vand!CC19/100</f>
        <v>0</v>
      </c>
      <c r="Q19" s="18">
        <f t="shared" si="4"/>
        <v>0</v>
      </c>
      <c r="R19" s="18">
        <f t="shared" si="5"/>
        <v>0</v>
      </c>
      <c r="S19" s="18">
        <f t="shared" si="6"/>
        <v>0</v>
      </c>
      <c r="T19" s="8">
        <f t="shared" si="7"/>
        <v>0</v>
      </c>
      <c r="U19" s="8">
        <f t="shared" si="2"/>
        <v>0</v>
      </c>
    </row>
    <row r="20" spans="1:21" ht="15">
      <c r="A20" s="7" t="s">
        <v>29</v>
      </c>
      <c r="B20" s="8">
        <f>Vand!H20</f>
        <v>1154751</v>
      </c>
      <c r="C20" s="8">
        <f>Vand!J20</f>
        <v>2154511.844572341</v>
      </c>
      <c r="D20" s="8">
        <f>Vand!K20</f>
        <v>1929458.8879656452</v>
      </c>
      <c r="E20" s="8">
        <f>Vand!M20</f>
        <v>2500937.144572341</v>
      </c>
      <c r="F20" s="8">
        <f>Vand!N20</f>
        <v>2275884.187965645</v>
      </c>
      <c r="G20" s="8"/>
      <c r="H20" s="18">
        <v>0</v>
      </c>
      <c r="I20" s="19"/>
      <c r="J20" s="8">
        <f t="shared" si="3"/>
        <v>0</v>
      </c>
      <c r="K20" s="8">
        <f t="shared" si="0"/>
        <v>0</v>
      </c>
      <c r="L20" s="17">
        <v>1</v>
      </c>
      <c r="N20" s="18">
        <f t="shared" si="1"/>
        <v>0</v>
      </c>
      <c r="O20" s="18">
        <f>IF(Vand!CB20&lt;Vand!$BS$132,(Vand!CB20-Vand!$BS$132)/100,0)</f>
        <v>0</v>
      </c>
      <c r="P20" s="18">
        <f>Vand!CC20/100</f>
        <v>0</v>
      </c>
      <c r="Q20" s="18">
        <f t="shared" si="4"/>
        <v>0</v>
      </c>
      <c r="R20" s="18">
        <f t="shared" si="5"/>
        <v>0</v>
      </c>
      <c r="S20" s="18">
        <f t="shared" si="6"/>
        <v>0</v>
      </c>
      <c r="T20" s="8">
        <f t="shared" si="7"/>
        <v>0</v>
      </c>
      <c r="U20" s="8">
        <f t="shared" si="2"/>
        <v>0</v>
      </c>
    </row>
    <row r="21" spans="1:21" ht="15">
      <c r="A21" s="7" t="s">
        <v>30</v>
      </c>
      <c r="B21" s="8">
        <f>Vand!H21</f>
        <v>314762.030359</v>
      </c>
      <c r="C21" s="8">
        <f>Vand!J21</f>
        <v>1109994.0716117055</v>
      </c>
      <c r="D21" s="8">
        <f>Vand!K21</f>
        <v>1034427.2090949882</v>
      </c>
      <c r="E21" s="8">
        <f>Vand!M21</f>
        <v>1204422.6807194054</v>
      </c>
      <c r="F21" s="8">
        <f>Vand!N21</f>
        <v>1128855.8182026881</v>
      </c>
      <c r="G21" s="8"/>
      <c r="H21" s="18">
        <v>0</v>
      </c>
      <c r="I21" s="19"/>
      <c r="J21" s="8">
        <f t="shared" si="3"/>
        <v>0</v>
      </c>
      <c r="K21" s="8">
        <f t="shared" si="0"/>
        <v>0</v>
      </c>
      <c r="L21" s="17">
        <v>1</v>
      </c>
      <c r="N21" s="18">
        <f t="shared" si="1"/>
        <v>0</v>
      </c>
      <c r="O21" s="18">
        <f>IF(Vand!CB21&lt;Vand!$BS$132,(Vand!CB21-Vand!$BS$132)/100,0)</f>
        <v>0</v>
      </c>
      <c r="P21" s="18">
        <f>Vand!CC21/100</f>
        <v>0</v>
      </c>
      <c r="Q21" s="18">
        <f t="shared" si="4"/>
        <v>0</v>
      </c>
      <c r="R21" s="18">
        <f t="shared" si="5"/>
        <v>0</v>
      </c>
      <c r="S21" s="18">
        <f t="shared" si="6"/>
        <v>0</v>
      </c>
      <c r="T21" s="8">
        <f t="shared" si="7"/>
        <v>0</v>
      </c>
      <c r="U21" s="8">
        <f t="shared" si="2"/>
        <v>0</v>
      </c>
    </row>
    <row r="22" spans="1:21" ht="15">
      <c r="A22" s="7" t="s">
        <v>31</v>
      </c>
      <c r="B22" s="8">
        <f>Vand!H22</f>
        <v>517347.4421584</v>
      </c>
      <c r="C22" s="8">
        <f>Vand!J22</f>
        <v>1215252.1590571231</v>
      </c>
      <c r="D22" s="8">
        <f>Vand!K22</f>
        <v>1211999.577850455</v>
      </c>
      <c r="E22" s="8">
        <f>Vand!M22</f>
        <v>1370456.3917046431</v>
      </c>
      <c r="F22" s="8">
        <f>Vand!N22</f>
        <v>1367203.810497975</v>
      </c>
      <c r="G22" s="8"/>
      <c r="H22" s="18">
        <v>0</v>
      </c>
      <c r="I22" s="19"/>
      <c r="J22" s="8">
        <f t="shared" si="3"/>
        <v>0</v>
      </c>
      <c r="K22" s="8">
        <f t="shared" si="0"/>
        <v>0</v>
      </c>
      <c r="L22" s="17">
        <v>1</v>
      </c>
      <c r="N22" s="18">
        <f t="shared" si="1"/>
        <v>0</v>
      </c>
      <c r="O22" s="18">
        <f>IF(Vand!CB22&lt;Vand!$BS$132,(Vand!CB22-Vand!$BS$132)/100,0)</f>
        <v>0</v>
      </c>
      <c r="P22" s="18">
        <f>Vand!CC22/100</f>
        <v>0</v>
      </c>
      <c r="Q22" s="18">
        <f t="shared" si="4"/>
        <v>0</v>
      </c>
      <c r="R22" s="18">
        <f t="shared" si="5"/>
        <v>0</v>
      </c>
      <c r="S22" s="18">
        <f t="shared" si="6"/>
        <v>0</v>
      </c>
      <c r="T22" s="8">
        <f t="shared" si="7"/>
        <v>0</v>
      </c>
      <c r="U22" s="8">
        <f t="shared" si="2"/>
        <v>0</v>
      </c>
    </row>
    <row r="23" spans="1:21" ht="15">
      <c r="A23" s="7" t="s">
        <v>32</v>
      </c>
      <c r="B23" s="8">
        <f>Vand!H23</f>
        <v>1446822</v>
      </c>
      <c r="C23" s="8">
        <f>Vand!J23</f>
        <v>1698553.8341271498</v>
      </c>
      <c r="D23" s="8">
        <f>Vand!K23</f>
        <v>1722490.8071368043</v>
      </c>
      <c r="E23" s="8">
        <f>Vand!M23</f>
        <v>2132600.4341271496</v>
      </c>
      <c r="F23" s="8">
        <f>Vand!N23</f>
        <v>2156537.4071368044</v>
      </c>
      <c r="G23" s="8"/>
      <c r="H23" s="18">
        <v>0.3015898947040351</v>
      </c>
      <c r="I23" s="19"/>
      <c r="J23" s="8">
        <f t="shared" si="3"/>
        <v>436346.8946354814</v>
      </c>
      <c r="K23" s="8">
        <f t="shared" si="0"/>
        <v>0</v>
      </c>
      <c r="L23" s="17">
        <v>0.8764677460097701</v>
      </c>
      <c r="N23" s="18">
        <f t="shared" si="1"/>
        <v>0.12353225399022993</v>
      </c>
      <c r="O23" s="18">
        <f>IF(Vand!CB23&lt;Vand!$BS$132,(Vand!CB23-Vand!$BS$132)/100,0)</f>
        <v>0</v>
      </c>
      <c r="P23" s="18">
        <f>Vand!CC23/100</f>
        <v>0</v>
      </c>
      <c r="Q23" s="18">
        <f t="shared" si="4"/>
        <v>0</v>
      </c>
      <c r="R23" s="18">
        <f t="shared" si="5"/>
        <v>0.030883063497557484</v>
      </c>
      <c r="S23" s="18">
        <f t="shared" si="6"/>
        <v>0.030883063497557484</v>
      </c>
      <c r="T23" s="8">
        <f t="shared" si="7"/>
        <v>178729.18278265247</v>
      </c>
      <c r="U23" s="8">
        <f t="shared" si="2"/>
        <v>44682.29569566312</v>
      </c>
    </row>
    <row r="24" spans="1:21" ht="15">
      <c r="A24" s="7" t="s">
        <v>33</v>
      </c>
      <c r="B24" s="8">
        <f>Vand!H24</f>
        <v>5550133.5615012</v>
      </c>
      <c r="C24" s="8">
        <f>Vand!J24</f>
        <v>6123993.185706909</v>
      </c>
      <c r="D24" s="8">
        <f>Vand!K24</f>
        <v>5562857.051166699</v>
      </c>
      <c r="E24" s="8">
        <f>Vand!M24</f>
        <v>7789033.254157269</v>
      </c>
      <c r="F24" s="8">
        <f>Vand!N24</f>
        <v>7227897.11961706</v>
      </c>
      <c r="G24" s="8"/>
      <c r="H24" s="18">
        <v>0.3461545309856566</v>
      </c>
      <c r="I24" s="19"/>
      <c r="J24" s="8">
        <f t="shared" si="3"/>
        <v>1921203.8798892</v>
      </c>
      <c r="K24" s="8">
        <f t="shared" si="0"/>
        <v>0</v>
      </c>
      <c r="L24" s="17">
        <v>0.8316181836022997</v>
      </c>
      <c r="N24" s="18">
        <f t="shared" si="1"/>
        <v>0.16838181639770033</v>
      </c>
      <c r="O24" s="18">
        <f>IF(Vand!CB24&lt;Vand!$BS$132,(Vand!CB24-Vand!$BS$132)/100,0)</f>
        <v>0</v>
      </c>
      <c r="P24" s="18">
        <f>Vand!CC24/100</f>
        <v>0</v>
      </c>
      <c r="Q24" s="18">
        <f t="shared" si="4"/>
        <v>0</v>
      </c>
      <c r="R24" s="18">
        <f t="shared" si="5"/>
        <v>0.042095454099425084</v>
      </c>
      <c r="S24" s="18">
        <f t="shared" si="6"/>
        <v>0.042095454099425084</v>
      </c>
      <c r="T24" s="8">
        <f t="shared" si="7"/>
        <v>934541.5703354097</v>
      </c>
      <c r="U24" s="8">
        <f t="shared" si="2"/>
        <v>233635.39258385243</v>
      </c>
    </row>
    <row r="25" spans="1:21" ht="15">
      <c r="A25" s="7" t="s">
        <v>34</v>
      </c>
      <c r="B25" s="8">
        <f>Vand!H25</f>
        <v>1318232.2784526001</v>
      </c>
      <c r="C25" s="8">
        <f>Vand!J25</f>
        <v>2335195.8151918845</v>
      </c>
      <c r="D25" s="8">
        <f>Vand!K25</f>
        <v>2103394.76152618</v>
      </c>
      <c r="E25" s="8">
        <f>Vand!M25</f>
        <v>2730665.4987276644</v>
      </c>
      <c r="F25" s="8">
        <f>Vand!N25</f>
        <v>2498864.44506196</v>
      </c>
      <c r="G25" s="8"/>
      <c r="H25" s="18">
        <v>0</v>
      </c>
      <c r="I25" s="19"/>
      <c r="J25" s="8">
        <f t="shared" si="3"/>
        <v>0</v>
      </c>
      <c r="K25" s="8">
        <f t="shared" si="0"/>
        <v>0</v>
      </c>
      <c r="L25" s="17">
        <v>1</v>
      </c>
      <c r="N25" s="18">
        <f t="shared" si="1"/>
        <v>0</v>
      </c>
      <c r="O25" s="18">
        <f>IF(Vand!CB25&lt;Vand!$BS$132,(Vand!CB25-Vand!$BS$132)/100,0)</f>
        <v>0</v>
      </c>
      <c r="P25" s="18">
        <f>Vand!CC25/100</f>
        <v>0</v>
      </c>
      <c r="Q25" s="18">
        <f t="shared" si="4"/>
        <v>0</v>
      </c>
      <c r="R25" s="18">
        <f t="shared" si="5"/>
        <v>0</v>
      </c>
      <c r="S25" s="18">
        <f t="shared" si="6"/>
        <v>0</v>
      </c>
      <c r="T25" s="8">
        <f t="shared" si="7"/>
        <v>0</v>
      </c>
      <c r="U25" s="8">
        <f t="shared" si="2"/>
        <v>0</v>
      </c>
    </row>
    <row r="26" spans="1:21" ht="15">
      <c r="A26" s="7" t="s">
        <v>35</v>
      </c>
      <c r="B26" s="8">
        <f>Vand!H26</f>
        <v>949400.3101324</v>
      </c>
      <c r="C26" s="8">
        <f>Vand!J26</f>
        <v>1792158.7526807361</v>
      </c>
      <c r="D26" s="8">
        <f>Vand!K26</f>
        <v>1831367.686589282</v>
      </c>
      <c r="E26" s="8">
        <f>Vand!M26</f>
        <v>2076978.845720456</v>
      </c>
      <c r="F26" s="8">
        <f>Vand!N26</f>
        <v>2116187.779629002</v>
      </c>
      <c r="G26" s="8"/>
      <c r="H26" s="18">
        <v>0</v>
      </c>
      <c r="I26" s="19"/>
      <c r="J26" s="8">
        <f t="shared" si="3"/>
        <v>0</v>
      </c>
      <c r="K26" s="8">
        <f t="shared" si="0"/>
        <v>0</v>
      </c>
      <c r="L26" s="17">
        <v>1</v>
      </c>
      <c r="N26" s="18">
        <f t="shared" si="1"/>
        <v>0</v>
      </c>
      <c r="O26" s="18">
        <f>IF(Vand!CB26&lt;Vand!$BS$132,(Vand!CB26-Vand!$BS$132)/100,0)</f>
        <v>0</v>
      </c>
      <c r="P26" s="18">
        <f>Vand!CC26/100</f>
        <v>0</v>
      </c>
      <c r="Q26" s="18">
        <f t="shared" si="4"/>
        <v>0</v>
      </c>
      <c r="R26" s="18">
        <f t="shared" si="5"/>
        <v>0</v>
      </c>
      <c r="S26" s="18">
        <f t="shared" si="6"/>
        <v>0</v>
      </c>
      <c r="T26" s="8">
        <f t="shared" si="7"/>
        <v>0</v>
      </c>
      <c r="U26" s="8">
        <f t="shared" si="2"/>
        <v>0</v>
      </c>
    </row>
    <row r="27" spans="1:21" ht="15">
      <c r="A27" s="7" t="s">
        <v>36</v>
      </c>
      <c r="B27" s="8">
        <f>Vand!H27</f>
        <v>1225126.8757588002</v>
      </c>
      <c r="C27" s="8">
        <f>Vand!J27</f>
        <v>2478827.208290745</v>
      </c>
      <c r="D27" s="8">
        <f>Vand!K27</f>
        <v>2529956.1479399847</v>
      </c>
      <c r="E27" s="8">
        <f>Vand!M27</f>
        <v>2846365.271018385</v>
      </c>
      <c r="F27" s="8">
        <f>Vand!N27</f>
        <v>2897494.2106676246</v>
      </c>
      <c r="G27" s="8"/>
      <c r="H27" s="18">
        <v>0</v>
      </c>
      <c r="I27" s="19"/>
      <c r="J27" s="8">
        <f t="shared" si="3"/>
        <v>0</v>
      </c>
      <c r="K27" s="8">
        <f t="shared" si="0"/>
        <v>0</v>
      </c>
      <c r="L27" s="17">
        <v>1</v>
      </c>
      <c r="N27" s="18">
        <f t="shared" si="1"/>
        <v>0</v>
      </c>
      <c r="O27" s="18">
        <f>IF(Vand!CB27&lt;Vand!$BS$132,(Vand!CB27-Vand!$BS$132)/100,0)</f>
        <v>0</v>
      </c>
      <c r="P27" s="18">
        <f>Vand!CC27/100</f>
        <v>0</v>
      </c>
      <c r="Q27" s="18">
        <f t="shared" si="4"/>
        <v>0</v>
      </c>
      <c r="R27" s="18">
        <f t="shared" si="5"/>
        <v>0</v>
      </c>
      <c r="S27" s="18">
        <f t="shared" si="6"/>
        <v>0</v>
      </c>
      <c r="T27" s="8">
        <f t="shared" si="7"/>
        <v>0</v>
      </c>
      <c r="U27" s="8">
        <f t="shared" si="2"/>
        <v>0</v>
      </c>
    </row>
    <row r="28" spans="1:21" ht="15">
      <c r="A28" s="7" t="s">
        <v>37</v>
      </c>
      <c r="B28" s="8">
        <f>Vand!H28</f>
        <v>3084967.909912</v>
      </c>
      <c r="C28" s="8">
        <f>Vand!J28</f>
        <v>4431886.43600046</v>
      </c>
      <c r="D28" s="8">
        <f>Vand!K28</f>
        <v>4576900.033832774</v>
      </c>
      <c r="E28" s="8">
        <f>Vand!M28</f>
        <v>5357376.808974059</v>
      </c>
      <c r="F28" s="8">
        <f>Vand!N28</f>
        <v>5502390.406806374</v>
      </c>
      <c r="G28" s="8"/>
      <c r="H28" s="18">
        <v>0.14274353404602325</v>
      </c>
      <c r="I28" s="19"/>
      <c r="J28" s="8">
        <f t="shared" si="3"/>
        <v>440359.2218794127</v>
      </c>
      <c r="K28" s="8">
        <f t="shared" si="0"/>
        <v>0</v>
      </c>
      <c r="L28" s="17">
        <v>1</v>
      </c>
      <c r="N28" s="18">
        <f t="shared" si="1"/>
        <v>0</v>
      </c>
      <c r="O28" s="18">
        <f>IF(Vand!CB28&lt;Vand!$BS$132,(Vand!CB28-Vand!$BS$132)/100,0)</f>
        <v>-0.014089496230524877</v>
      </c>
      <c r="P28" s="18">
        <f>Vand!CC28/100</f>
        <v>-0.006509347258502492</v>
      </c>
      <c r="Q28" s="18">
        <f t="shared" si="4"/>
        <v>-0.006509347258502492</v>
      </c>
      <c r="R28" s="18">
        <f t="shared" si="5"/>
        <v>-0.001627336814625623</v>
      </c>
      <c r="S28" s="18">
        <f t="shared" si="6"/>
        <v>0</v>
      </c>
      <c r="T28" s="8">
        <f t="shared" si="7"/>
        <v>-20081.12740695384</v>
      </c>
      <c r="U28" s="8">
        <f t="shared" si="2"/>
        <v>0</v>
      </c>
    </row>
    <row r="29" spans="1:21" ht="15">
      <c r="A29" s="7" t="s">
        <v>38</v>
      </c>
      <c r="B29" s="8">
        <f>Vand!H29</f>
        <v>1315429</v>
      </c>
      <c r="C29" s="8">
        <f>Vand!J29</f>
        <v>1360714.6170273959</v>
      </c>
      <c r="D29" s="8">
        <f>Vand!K29</f>
        <v>1392108.2569309103</v>
      </c>
      <c r="E29" s="8">
        <f>Vand!M29</f>
        <v>1755343.3170273958</v>
      </c>
      <c r="F29" s="8">
        <f>Vand!N29</f>
        <v>1786736.9569309102</v>
      </c>
      <c r="G29" s="8"/>
      <c r="H29" s="18">
        <v>0.3837088655275077</v>
      </c>
      <c r="I29" s="19"/>
      <c r="J29" s="8">
        <f t="shared" si="3"/>
        <v>504741.76927198394</v>
      </c>
      <c r="K29" s="8">
        <f t="shared" si="0"/>
        <v>0</v>
      </c>
      <c r="L29" s="17">
        <v>0.7943487797529123</v>
      </c>
      <c r="N29" s="18">
        <f t="shared" si="1"/>
        <v>0.2056512202470877</v>
      </c>
      <c r="O29" s="18">
        <f>IF(Vand!CB29&lt;Vand!$BS$132,(Vand!CB29-Vand!$BS$132)/100,0)</f>
        <v>0</v>
      </c>
      <c r="P29" s="18">
        <f>Vand!CC29/100</f>
        <v>0</v>
      </c>
      <c r="Q29" s="18">
        <f t="shared" si="4"/>
        <v>0</v>
      </c>
      <c r="R29" s="18">
        <f t="shared" si="5"/>
        <v>0.05141280506177193</v>
      </c>
      <c r="S29" s="18">
        <f t="shared" si="6"/>
        <v>0.05</v>
      </c>
      <c r="T29" s="8">
        <f t="shared" si="7"/>
        <v>270519.57899840636</v>
      </c>
      <c r="U29" s="8">
        <f t="shared" si="2"/>
        <v>65771.45</v>
      </c>
    </row>
    <row r="30" spans="1:21" ht="15">
      <c r="A30" s="7" t="s">
        <v>39</v>
      </c>
      <c r="B30" s="8">
        <f>Vand!H30</f>
        <v>16782086.280204</v>
      </c>
      <c r="C30" s="8">
        <f>Vand!J30</f>
        <v>14208107.968214327</v>
      </c>
      <c r="D30" s="8">
        <f>Vand!K30</f>
        <v>14504142.101777775</v>
      </c>
      <c r="E30" s="8">
        <f>Vand!M30</f>
        <v>19242733.852275528</v>
      </c>
      <c r="F30" s="8">
        <f>Vand!N30</f>
        <v>19538767.985838976</v>
      </c>
      <c r="G30" s="8"/>
      <c r="H30" s="18">
        <v>0.4957832873405468</v>
      </c>
      <c r="I30" s="19"/>
      <c r="J30" s="8">
        <f t="shared" si="3"/>
        <v>8320277.904432229</v>
      </c>
      <c r="K30" s="8">
        <f t="shared" si="0"/>
        <v>0</v>
      </c>
      <c r="L30" s="17">
        <v>0.6822746065831387</v>
      </c>
      <c r="N30" s="18">
        <f t="shared" si="1"/>
        <v>0.31772539341686135</v>
      </c>
      <c r="O30" s="18">
        <f>IF(Vand!CB30&lt;Vand!$BS$132,(Vand!CB30-Vand!$BS$132)/100,0)</f>
        <v>0</v>
      </c>
      <c r="P30" s="18">
        <f>Vand!CC30/100</f>
        <v>0</v>
      </c>
      <c r="Q30" s="18">
        <f t="shared" si="4"/>
        <v>0</v>
      </c>
      <c r="R30" s="18">
        <f t="shared" si="5"/>
        <v>0.07943134835421534</v>
      </c>
      <c r="S30" s="18">
        <f t="shared" si="6"/>
        <v>0.05</v>
      </c>
      <c r="T30" s="8">
        <f t="shared" si="7"/>
        <v>5332094.965733527</v>
      </c>
      <c r="U30" s="8">
        <f t="shared" si="2"/>
        <v>839104.3140102001</v>
      </c>
    </row>
    <row r="31" spans="1:21" ht="15">
      <c r="A31" s="7" t="s">
        <v>1</v>
      </c>
      <c r="B31" s="8">
        <f>Vand!H31</f>
        <v>2255437.1431452</v>
      </c>
      <c r="C31" s="8">
        <f>Vand!J31</f>
        <v>1879526.184556422</v>
      </c>
      <c r="D31" s="8">
        <f>Vand!K31</f>
        <v>1408582.7486379244</v>
      </c>
      <c r="E31" s="8">
        <f>Vand!M31</f>
        <v>2556157.327499982</v>
      </c>
      <c r="F31" s="8">
        <f>Vand!N31</f>
        <v>2085213.8915814843</v>
      </c>
      <c r="G31" s="8"/>
      <c r="H31" s="18">
        <v>0.5061881144788833</v>
      </c>
      <c r="I31" s="19"/>
      <c r="J31" s="8">
        <f t="shared" si="3"/>
        <v>1141675.474814308</v>
      </c>
      <c r="K31" s="8">
        <f t="shared" si="0"/>
        <v>0</v>
      </c>
      <c r="L31" s="17">
        <v>0.671584595189426</v>
      </c>
      <c r="N31" s="18">
        <f t="shared" si="1"/>
        <v>0.32841540481057396</v>
      </c>
      <c r="O31" s="18">
        <f>IF(Vand!CB31&lt;Vand!$BS$132,(Vand!CB31-Vand!$BS$132)/100,0)</f>
        <v>0</v>
      </c>
      <c r="P31" s="18">
        <f>Vand!CC31/100</f>
        <v>0</v>
      </c>
      <c r="Q31" s="18">
        <f t="shared" si="4"/>
        <v>0</v>
      </c>
      <c r="R31" s="18">
        <f t="shared" si="5"/>
        <v>0.08210385120264349</v>
      </c>
      <c r="S31" s="18">
        <f t="shared" si="6"/>
        <v>0.05</v>
      </c>
      <c r="T31" s="8">
        <f t="shared" si="7"/>
        <v>740720.3023908352</v>
      </c>
      <c r="U31" s="8">
        <f t="shared" si="2"/>
        <v>112771.85715726</v>
      </c>
    </row>
    <row r="32" spans="1:21" ht="15">
      <c r="A32" s="7" t="s">
        <v>40</v>
      </c>
      <c r="B32" s="8">
        <f>Vand!H32</f>
        <v>742196.0304803335</v>
      </c>
      <c r="C32" s="8">
        <f>Vand!J32</f>
        <v>1375549.9297430755</v>
      </c>
      <c r="D32" s="8">
        <f>Vand!K32</f>
        <v>1463170.2702546662</v>
      </c>
      <c r="E32" s="8">
        <f>Vand!M32</f>
        <v>1598208.7388871755</v>
      </c>
      <c r="F32" s="8">
        <f>Vand!N32</f>
        <v>1685829.0793987662</v>
      </c>
      <c r="G32" s="8"/>
      <c r="H32" s="18">
        <v>0</v>
      </c>
      <c r="I32" s="19"/>
      <c r="J32" s="8">
        <f t="shared" si="3"/>
        <v>0</v>
      </c>
      <c r="K32" s="8">
        <f t="shared" si="0"/>
        <v>0</v>
      </c>
      <c r="L32" s="17">
        <v>1</v>
      </c>
      <c r="N32" s="18">
        <f t="shared" si="1"/>
        <v>0</v>
      </c>
      <c r="O32" s="18">
        <f>IF(Vand!CB32&lt;Vand!$BS$132,(Vand!CB32-Vand!$BS$132)/100,0)</f>
        <v>0</v>
      </c>
      <c r="P32" s="18">
        <f>Vand!CC32/100</f>
        <v>0</v>
      </c>
      <c r="Q32" s="18">
        <f t="shared" si="4"/>
        <v>0</v>
      </c>
      <c r="R32" s="18">
        <f t="shared" si="5"/>
        <v>0</v>
      </c>
      <c r="S32" s="18">
        <f t="shared" si="6"/>
        <v>0</v>
      </c>
      <c r="T32" s="8">
        <f t="shared" si="7"/>
        <v>0</v>
      </c>
      <c r="U32" s="8">
        <f t="shared" si="2"/>
        <v>0</v>
      </c>
    </row>
    <row r="33" spans="1:21" ht="15">
      <c r="A33" s="7" t="s">
        <v>41</v>
      </c>
      <c r="B33" s="8">
        <f>Vand!H33</f>
        <v>2371901.4874730003</v>
      </c>
      <c r="C33" s="8">
        <f>Vand!J33</f>
        <v>1691131.8129744916</v>
      </c>
      <c r="D33" s="8">
        <f>Vand!K33</f>
        <v>1939967.125473387</v>
      </c>
      <c r="E33" s="8">
        <f>Vand!M33</f>
        <v>2402702.2592163915</v>
      </c>
      <c r="F33" s="8">
        <f>Vand!N33</f>
        <v>2651537.571715287</v>
      </c>
      <c r="G33" s="8"/>
      <c r="H33" s="18">
        <v>0.5536797640417407</v>
      </c>
      <c r="I33" s="19"/>
      <c r="J33" s="8">
        <f t="shared" si="3"/>
        <v>1313273.8559143045</v>
      </c>
      <c r="K33" s="8">
        <f t="shared" si="0"/>
        <v>0</v>
      </c>
      <c r="L33" s="17">
        <v>0.6219879212665272</v>
      </c>
      <c r="N33" s="18">
        <f t="shared" si="1"/>
        <v>0.37801207873347276</v>
      </c>
      <c r="O33" s="18">
        <f>IF(Vand!CB33&lt;Vand!$BS$132,(Vand!CB33-Vand!$BS$132)/100,0)</f>
        <v>0</v>
      </c>
      <c r="P33" s="18">
        <f>Vand!CC33/100</f>
        <v>0</v>
      </c>
      <c r="Q33" s="18">
        <f t="shared" si="4"/>
        <v>0</v>
      </c>
      <c r="R33" s="18">
        <f t="shared" si="5"/>
        <v>0.09450301968336819</v>
      </c>
      <c r="S33" s="18">
        <f t="shared" si="6"/>
        <v>0.05</v>
      </c>
      <c r="T33" s="8">
        <f t="shared" si="7"/>
        <v>896607.411830685</v>
      </c>
      <c r="U33" s="8">
        <f t="shared" si="2"/>
        <v>118595.07437365002</v>
      </c>
    </row>
    <row r="34" spans="1:21" ht="15">
      <c r="A34" s="7" t="s">
        <v>42</v>
      </c>
      <c r="B34" s="8">
        <f>Vand!H34</f>
        <v>2408824.0244516</v>
      </c>
      <c r="C34" s="8">
        <f>Vand!J34</f>
        <v>2773773.3764682906</v>
      </c>
      <c r="D34" s="8">
        <f>Vand!K34</f>
        <v>2853562.9504465614</v>
      </c>
      <c r="E34" s="8">
        <f>Vand!M34</f>
        <v>3496420.5838037706</v>
      </c>
      <c r="F34" s="8">
        <f>Vand!N34</f>
        <v>3576210.1577820415</v>
      </c>
      <c r="G34" s="8"/>
      <c r="H34" s="18">
        <v>0.3133152509140028</v>
      </c>
      <c r="I34" s="19"/>
      <c r="J34" s="8">
        <f t="shared" si="3"/>
        <v>754721.303628731</v>
      </c>
      <c r="K34" s="8">
        <f t="shared" si="0"/>
        <v>0</v>
      </c>
      <c r="L34" s="17">
        <v>0.8647427924943751</v>
      </c>
      <c r="N34" s="18">
        <f t="shared" si="1"/>
        <v>0.13525720750562487</v>
      </c>
      <c r="O34" s="18">
        <f>IF(Vand!CB34&lt;Vand!$BS$132,(Vand!CB34-Vand!$BS$132)/100,0)</f>
        <v>0</v>
      </c>
      <c r="P34" s="18">
        <f>Vand!CC34/100</f>
        <v>0</v>
      </c>
      <c r="Q34" s="18">
        <f t="shared" si="4"/>
        <v>0</v>
      </c>
      <c r="R34" s="18">
        <f t="shared" si="5"/>
        <v>0.033814301876406216</v>
      </c>
      <c r="S34" s="18">
        <f t="shared" si="6"/>
        <v>0.033814301876406216</v>
      </c>
      <c r="T34" s="8">
        <f t="shared" si="7"/>
        <v>325810.8109197844</v>
      </c>
      <c r="U34" s="8">
        <f t="shared" si="2"/>
        <v>81452.7027299461</v>
      </c>
    </row>
    <row r="35" spans="1:21" ht="15">
      <c r="A35" s="7" t="s">
        <v>43</v>
      </c>
      <c r="B35" s="8">
        <f>Vand!H35</f>
        <v>31245596.233047</v>
      </c>
      <c r="C35" s="8">
        <f>Vand!J35</f>
        <v>22777998.00320467</v>
      </c>
      <c r="D35" s="8">
        <f>Vand!K35</f>
        <v>36300437.04388601</v>
      </c>
      <c r="E35" s="8">
        <f>Vand!M35</f>
        <v>32151676.87311877</v>
      </c>
      <c r="F35" s="8">
        <f>Vand!N35</f>
        <v>45674115.91380011</v>
      </c>
      <c r="G35" s="8"/>
      <c r="H35" s="18">
        <v>0.4570292472436328</v>
      </c>
      <c r="I35" s="19">
        <v>0.4121135</v>
      </c>
      <c r="J35" s="8">
        <f t="shared" si="3"/>
        <v>14280151.32606796</v>
      </c>
      <c r="K35" s="8">
        <f t="shared" si="0"/>
        <v>12876732.023187816</v>
      </c>
      <c r="L35" s="17">
        <v>0.7396935</v>
      </c>
      <c r="N35" s="18">
        <f t="shared" si="1"/>
        <v>0.2603065</v>
      </c>
      <c r="O35" s="18">
        <f>IF(Vand!CB35&lt;Vand!$BS$132,(Vand!CB35-Vand!$BS$132)/100,0)</f>
        <v>0</v>
      </c>
      <c r="P35" s="18">
        <f>Vand!CC35/100</f>
        <v>0</v>
      </c>
      <c r="Q35" s="18">
        <f t="shared" si="4"/>
        <v>0</v>
      </c>
      <c r="R35" s="18">
        <f>IF(P35&lt;0,(N35+P35)/4,N35/4)*3/4</f>
        <v>0.04880746875</v>
      </c>
      <c r="S35" s="18">
        <f t="shared" si="6"/>
        <v>0.04880746875</v>
      </c>
      <c r="T35" s="8">
        <f t="shared" si="7"/>
        <v>8133431.795837649</v>
      </c>
      <c r="U35" s="8">
        <f t="shared" si="2"/>
        <v>1525018.4617195593</v>
      </c>
    </row>
    <row r="36" spans="1:21" ht="15">
      <c r="A36" s="7" t="s">
        <v>44</v>
      </c>
      <c r="B36" s="8">
        <f>Vand!H36</f>
        <v>1161721.5326878</v>
      </c>
      <c r="C36" s="8">
        <f>Vand!J36</f>
        <v>1595796.209400907</v>
      </c>
      <c r="D36" s="8">
        <f>Vand!K36</f>
        <v>1814674.2188627056</v>
      </c>
      <c r="E36" s="8">
        <f>Vand!M36</f>
        <v>1944312.669207247</v>
      </c>
      <c r="F36" s="8">
        <f>Vand!N36</f>
        <v>2163190.6786690457</v>
      </c>
      <c r="G36" s="8"/>
      <c r="H36" s="18">
        <v>0.14388161548410594</v>
      </c>
      <c r="I36" s="19"/>
      <c r="J36" s="8">
        <f t="shared" si="3"/>
        <v>167150.37086579224</v>
      </c>
      <c r="K36" s="8">
        <f t="shared" si="0"/>
        <v>0</v>
      </c>
      <c r="L36" s="17">
        <v>1</v>
      </c>
      <c r="N36" s="18">
        <f t="shared" si="1"/>
        <v>0</v>
      </c>
      <c r="O36" s="18">
        <f>IF(Vand!CB36&lt;Vand!$BS$132,(Vand!CB36-Vand!$BS$132)/100,0)</f>
        <v>0</v>
      </c>
      <c r="P36" s="18">
        <f>Vand!CC36/100</f>
        <v>0</v>
      </c>
      <c r="Q36" s="18">
        <f t="shared" si="4"/>
        <v>0</v>
      </c>
      <c r="R36" s="18">
        <f t="shared" si="5"/>
        <v>0</v>
      </c>
      <c r="S36" s="18">
        <f t="shared" si="6"/>
        <v>0</v>
      </c>
      <c r="T36" s="8">
        <f t="shared" si="7"/>
        <v>0</v>
      </c>
      <c r="U36" s="8">
        <f t="shared" si="2"/>
        <v>0</v>
      </c>
    </row>
    <row r="37" spans="1:21" ht="15">
      <c r="A37" s="7" t="s">
        <v>45</v>
      </c>
      <c r="B37" s="8">
        <f>Vand!H37</f>
        <v>10545395.9517144</v>
      </c>
      <c r="C37" s="8">
        <f>Vand!J37</f>
        <v>10593855.671174485</v>
      </c>
      <c r="D37" s="8">
        <f>Vand!K37</f>
        <v>11780170.435840921</v>
      </c>
      <c r="E37" s="8">
        <f>Vand!M37</f>
        <v>13757474.456688805</v>
      </c>
      <c r="F37" s="8">
        <f>Vand!N37</f>
        <v>14943789.22135524</v>
      </c>
      <c r="G37" s="8"/>
      <c r="H37" s="18">
        <v>0.38084083053203077</v>
      </c>
      <c r="I37" s="19"/>
      <c r="J37" s="8">
        <f t="shared" si="3"/>
        <v>4016117.3525400274</v>
      </c>
      <c r="K37" s="8">
        <f t="shared" si="0"/>
        <v>0</v>
      </c>
      <c r="L37" s="17">
        <v>0.7948267946313017</v>
      </c>
      <c r="N37" s="18">
        <f t="shared" si="1"/>
        <v>0.20517320536869832</v>
      </c>
      <c r="O37" s="18">
        <f>IF(Vand!CB37&lt;Vand!$BS$132,(Vand!CB37-Vand!$BS$132)/100,0)</f>
        <v>0</v>
      </c>
      <c r="P37" s="18">
        <f>Vand!CC37/100</f>
        <v>0</v>
      </c>
      <c r="Q37" s="18">
        <f t="shared" si="4"/>
        <v>0</v>
      </c>
      <c r="R37" s="18">
        <f t="shared" si="5"/>
        <v>0.05129330134217458</v>
      </c>
      <c r="S37" s="18">
        <f t="shared" si="6"/>
        <v>0.05</v>
      </c>
      <c r="T37" s="8">
        <f t="shared" si="7"/>
        <v>2163632.6892953385</v>
      </c>
      <c r="U37" s="8">
        <f t="shared" si="2"/>
        <v>527269.7975857201</v>
      </c>
    </row>
    <row r="38" spans="1:21" ht="15">
      <c r="A38" s="7" t="s">
        <v>46</v>
      </c>
      <c r="B38" s="8">
        <f>Vand!H38</f>
        <v>1559098</v>
      </c>
      <c r="C38" s="8">
        <f>Vand!J38</f>
        <v>2758959.1545669883</v>
      </c>
      <c r="D38" s="8">
        <f>Vand!K38</f>
        <v>2508173.8465379593</v>
      </c>
      <c r="E38" s="8">
        <f>Vand!M38</f>
        <v>3226688.5545669883</v>
      </c>
      <c r="F38" s="8">
        <f>Vand!N38</f>
        <v>2975903.246537959</v>
      </c>
      <c r="G38" s="8"/>
      <c r="H38" s="18">
        <v>0</v>
      </c>
      <c r="I38" s="19"/>
      <c r="J38" s="8">
        <f t="shared" si="3"/>
        <v>0</v>
      </c>
      <c r="K38" s="8">
        <f t="shared" si="0"/>
        <v>0</v>
      </c>
      <c r="L38" s="17">
        <v>1</v>
      </c>
      <c r="N38" s="18">
        <f t="shared" si="1"/>
        <v>0</v>
      </c>
      <c r="O38" s="18">
        <f>IF(Vand!CB38&lt;Vand!$BS$132,(Vand!CB38-Vand!$BS$132)/100,0)</f>
        <v>-0.1348214346107048</v>
      </c>
      <c r="P38" s="18">
        <f>Vand!CC38/100</f>
        <v>-0.06228750279014562</v>
      </c>
      <c r="Q38" s="18">
        <f t="shared" si="4"/>
        <v>-0.06228750279014562</v>
      </c>
      <c r="R38" s="18">
        <f t="shared" si="5"/>
        <v>-0.015571875697536404</v>
      </c>
      <c r="S38" s="18">
        <f t="shared" si="6"/>
        <v>0</v>
      </c>
      <c r="T38" s="8">
        <f t="shared" si="7"/>
        <v>-97112.32102511045</v>
      </c>
      <c r="U38" s="8">
        <f t="shared" si="2"/>
        <v>0</v>
      </c>
    </row>
    <row r="39" spans="1:21" ht="15">
      <c r="A39" s="7" t="s">
        <v>47</v>
      </c>
      <c r="B39" s="8">
        <f>Vand!H39</f>
        <v>4306816.8292436</v>
      </c>
      <c r="C39" s="8">
        <f>Vand!J39</f>
        <v>4219875.623129803</v>
      </c>
      <c r="D39" s="8">
        <f>Vand!K39</f>
        <v>4067669.537869596</v>
      </c>
      <c r="E39" s="8">
        <f>Vand!M39</f>
        <v>5511920.671902883</v>
      </c>
      <c r="F39" s="8">
        <f>Vand!N39</f>
        <v>5359714.586642676</v>
      </c>
      <c r="G39" s="8"/>
      <c r="H39" s="18">
        <v>0.41938644258318014</v>
      </c>
      <c r="I39" s="19"/>
      <c r="J39" s="8">
        <f t="shared" si="3"/>
        <v>1806220.588873845</v>
      </c>
      <c r="K39" s="8">
        <f t="shared" si="0"/>
        <v>0</v>
      </c>
      <c r="L39" s="17">
        <v>0.7583862795993237</v>
      </c>
      <c r="N39" s="18">
        <f t="shared" si="1"/>
        <v>0.2416137204006763</v>
      </c>
      <c r="O39" s="18">
        <f>IF(Vand!CB39&lt;Vand!$BS$132,(Vand!CB39-Vand!$BS$132)/100,0)</f>
        <v>0</v>
      </c>
      <c r="P39" s="18">
        <f>Vand!CC39/100</f>
        <v>0</v>
      </c>
      <c r="Q39" s="18">
        <f t="shared" si="4"/>
        <v>0</v>
      </c>
      <c r="R39" s="18">
        <f t="shared" si="5"/>
        <v>0.060403430100169075</v>
      </c>
      <c r="S39" s="18">
        <f t="shared" si="6"/>
        <v>0.05</v>
      </c>
      <c r="T39" s="8">
        <f t="shared" si="7"/>
        <v>1040586.0371977905</v>
      </c>
      <c r="U39" s="8">
        <f t="shared" si="2"/>
        <v>215340.84146218002</v>
      </c>
    </row>
    <row r="40" spans="1:21" ht="15">
      <c r="A40" s="7" t="s">
        <v>48</v>
      </c>
      <c r="B40" s="8">
        <f>Vand!H40</f>
        <v>2274870.241665</v>
      </c>
      <c r="C40" s="8">
        <f>Vand!J40</f>
        <v>1894518.6065794202</v>
      </c>
      <c r="D40" s="8">
        <f>Vand!K40</f>
        <v>1758335.7065915724</v>
      </c>
      <c r="E40" s="8">
        <f>Vand!M40</f>
        <v>2576979.6790789203</v>
      </c>
      <c r="F40" s="8">
        <f>Vand!N40</f>
        <v>2440796.7790910723</v>
      </c>
      <c r="G40" s="8"/>
      <c r="H40" s="18">
        <v>0.5065009928432562</v>
      </c>
      <c r="I40" s="19"/>
      <c r="J40" s="8">
        <f t="shared" si="3"/>
        <v>1152224.0359929008</v>
      </c>
      <c r="K40" s="8">
        <f t="shared" si="0"/>
        <v>0</v>
      </c>
      <c r="L40" s="17">
        <v>0.671271743098267</v>
      </c>
      <c r="N40" s="18">
        <f t="shared" si="1"/>
        <v>0.328728256901733</v>
      </c>
      <c r="O40" s="18">
        <f>IF(Vand!CB40&lt;Vand!$BS$132,(Vand!CB40-Vand!$BS$132)/100,0)</f>
        <v>0</v>
      </c>
      <c r="P40" s="18">
        <f>Vand!CC40/100</f>
        <v>0</v>
      </c>
      <c r="Q40" s="18">
        <f t="shared" si="4"/>
        <v>0</v>
      </c>
      <c r="R40" s="18">
        <f t="shared" si="5"/>
        <v>0.08218206422543325</v>
      </c>
      <c r="S40" s="18">
        <f t="shared" si="6"/>
        <v>0.05</v>
      </c>
      <c r="T40" s="8">
        <f t="shared" si="7"/>
        <v>747814.1292201596</v>
      </c>
      <c r="U40" s="8">
        <f t="shared" si="2"/>
        <v>113743.51208325001</v>
      </c>
    </row>
    <row r="41" spans="1:21" ht="15">
      <c r="A41" s="7" t="s">
        <v>49</v>
      </c>
      <c r="B41" s="8">
        <f>Vand!H41</f>
        <v>1229936</v>
      </c>
      <c r="C41" s="8">
        <f>Vand!J41</f>
        <v>1679360.0156150223</v>
      </c>
      <c r="D41" s="8">
        <f>Vand!K41</f>
        <v>1735612.9714639739</v>
      </c>
      <c r="E41" s="8">
        <f>Vand!M41</f>
        <v>2048340.8156150223</v>
      </c>
      <c r="F41" s="8">
        <f>Vand!N41</f>
        <v>2104593.771463974</v>
      </c>
      <c r="G41" s="8"/>
      <c r="H41" s="18">
        <v>0.18512813280058293</v>
      </c>
      <c r="I41" s="19"/>
      <c r="J41" s="8">
        <f t="shared" si="3"/>
        <v>227695.75514421778</v>
      </c>
      <c r="K41" s="8">
        <f t="shared" si="0"/>
        <v>0</v>
      </c>
      <c r="L41" s="17">
        <v>0.9929298505631323</v>
      </c>
      <c r="N41" s="18">
        <f t="shared" si="1"/>
        <v>0.007070149436867679</v>
      </c>
      <c r="O41" s="18">
        <f>IF(Vand!CB41&lt;Vand!$BS$132,(Vand!CB41-Vand!$BS$132)/100,0)</f>
        <v>-0.0029986241454871454</v>
      </c>
      <c r="P41" s="18">
        <f>Vand!CC41/100</f>
        <v>-0.0013853643552150614</v>
      </c>
      <c r="Q41" s="18">
        <f t="shared" si="4"/>
        <v>0.005684785081652617</v>
      </c>
      <c r="R41" s="18">
        <f t="shared" si="5"/>
        <v>0.0014211962704131543</v>
      </c>
      <c r="S41" s="18">
        <f t="shared" si="6"/>
        <v>0</v>
      </c>
      <c r="T41" s="8">
        <f t="shared" si="7"/>
        <v>6991.921824187493</v>
      </c>
      <c r="U41" s="8">
        <f t="shared" si="2"/>
        <v>0</v>
      </c>
    </row>
    <row r="42" spans="1:21" ht="15">
      <c r="A42" s="7" t="s">
        <v>50</v>
      </c>
      <c r="B42" s="8">
        <f>Vand!H42</f>
        <v>18068163.5338036</v>
      </c>
      <c r="C42" s="8">
        <f>Vand!J42</f>
        <v>12091827.541235069</v>
      </c>
      <c r="D42" s="8">
        <f>Vand!K42</f>
        <v>15791852.877629586</v>
      </c>
      <c r="E42" s="8">
        <f>Vand!M42</f>
        <v>17512276.60137615</v>
      </c>
      <c r="F42" s="8">
        <f>Vand!N42</f>
        <v>21212301.937770665</v>
      </c>
      <c r="G42" s="8"/>
      <c r="H42" s="18">
        <v>0.5518582162475678</v>
      </c>
      <c r="I42" s="19"/>
      <c r="J42" s="8">
        <f t="shared" si="3"/>
        <v>9971064.498634206</v>
      </c>
      <c r="K42" s="8">
        <f t="shared" si="0"/>
        <v>0</v>
      </c>
      <c r="L42" s="17">
        <v>0.6238094208009773</v>
      </c>
      <c r="N42" s="18">
        <f t="shared" si="1"/>
        <v>0.37619057919902266</v>
      </c>
      <c r="O42" s="18">
        <f>IF(Vand!CB42&lt;Vand!$BS$132,(Vand!CB42-Vand!$BS$132)/100,0)</f>
        <v>0</v>
      </c>
      <c r="P42" s="18">
        <f>Vand!CC42/100</f>
        <v>0</v>
      </c>
      <c r="Q42" s="18">
        <f t="shared" si="4"/>
        <v>0</v>
      </c>
      <c r="R42" s="18">
        <f t="shared" si="5"/>
        <v>0.09404764479975566</v>
      </c>
      <c r="S42" s="18">
        <f t="shared" si="6"/>
        <v>0.05</v>
      </c>
      <c r="T42" s="8">
        <f t="shared" si="7"/>
        <v>6797072.904844237</v>
      </c>
      <c r="U42" s="8">
        <f t="shared" si="2"/>
        <v>903408.1766901801</v>
      </c>
    </row>
    <row r="43" spans="1:21" ht="15">
      <c r="A43" s="7" t="s">
        <v>51</v>
      </c>
      <c r="B43" s="8">
        <f>Vand!H43</f>
        <v>569215</v>
      </c>
      <c r="C43" s="8">
        <f>Vand!J43</f>
        <v>1100008.7687163823</v>
      </c>
      <c r="D43" s="8">
        <f>Vand!K43</f>
        <v>990732.4470567844</v>
      </c>
      <c r="E43" s="8">
        <f>Vand!M43</f>
        <v>1270773.2687163823</v>
      </c>
      <c r="F43" s="8">
        <f>Vand!N43</f>
        <v>1161496.9470567843</v>
      </c>
      <c r="G43" s="8"/>
      <c r="H43" s="18">
        <v>0</v>
      </c>
      <c r="I43" s="19"/>
      <c r="J43" s="8">
        <f t="shared" si="3"/>
        <v>0</v>
      </c>
      <c r="K43" s="8">
        <f t="shared" si="0"/>
        <v>0</v>
      </c>
      <c r="L43" s="17">
        <v>1</v>
      </c>
      <c r="N43" s="18">
        <f t="shared" si="1"/>
        <v>0</v>
      </c>
      <c r="O43" s="18">
        <f>IF(Vand!CB43&lt;Vand!$BS$132,(Vand!CB43-Vand!$BS$132)/100,0)</f>
        <v>0</v>
      </c>
      <c r="P43" s="18">
        <f>Vand!CC43/100</f>
        <v>0</v>
      </c>
      <c r="Q43" s="18">
        <f t="shared" si="4"/>
        <v>0</v>
      </c>
      <c r="R43" s="18">
        <f t="shared" si="5"/>
        <v>0</v>
      </c>
      <c r="S43" s="18">
        <f t="shared" si="6"/>
        <v>0</v>
      </c>
      <c r="T43" s="8">
        <f t="shared" si="7"/>
        <v>0</v>
      </c>
      <c r="U43" s="8">
        <f t="shared" si="2"/>
        <v>0</v>
      </c>
    </row>
    <row r="44" spans="1:21" ht="15">
      <c r="A44" s="7" t="s">
        <v>52</v>
      </c>
      <c r="B44" s="8">
        <f>Vand!H44</f>
        <v>9374376.3695456</v>
      </c>
      <c r="C44" s="8">
        <f>Vand!J44</f>
        <v>6909325.188830679</v>
      </c>
      <c r="D44" s="8">
        <f>Vand!K44</f>
        <v>7247628.261762786</v>
      </c>
      <c r="E44" s="8">
        <f>Vand!M44</f>
        <v>9721638.09969436</v>
      </c>
      <c r="F44" s="8">
        <f>Vand!N44</f>
        <v>10059941.172626466</v>
      </c>
      <c r="G44" s="8"/>
      <c r="H44" s="18">
        <v>0.5585019600689638</v>
      </c>
      <c r="I44" s="19"/>
      <c r="J44" s="8">
        <f t="shared" si="3"/>
        <v>5235607.576815394</v>
      </c>
      <c r="K44" s="8">
        <f t="shared" si="0"/>
        <v>0</v>
      </c>
      <c r="L44" s="17">
        <v>0.6190385404498863</v>
      </c>
      <c r="N44" s="18">
        <f t="shared" si="1"/>
        <v>0.38096145955011373</v>
      </c>
      <c r="O44" s="18">
        <f>IF(Vand!CB44&lt;Vand!$BS$132,(Vand!CB44-Vand!$BS$132)/100,0)</f>
        <v>0</v>
      </c>
      <c r="P44" s="18">
        <f>Vand!CC44/100</f>
        <v>0</v>
      </c>
      <c r="Q44" s="18">
        <f t="shared" si="4"/>
        <v>0</v>
      </c>
      <c r="R44" s="18">
        <f t="shared" si="5"/>
        <v>0.09524036488752843</v>
      </c>
      <c r="S44" s="18">
        <f t="shared" si="6"/>
        <v>0.05</v>
      </c>
      <c r="T44" s="8">
        <f t="shared" si="7"/>
        <v>3571276.104114188</v>
      </c>
      <c r="U44" s="8">
        <f t="shared" si="2"/>
        <v>468718.81847728</v>
      </c>
    </row>
    <row r="45" spans="1:21" ht="15">
      <c r="A45" s="7" t="s">
        <v>53</v>
      </c>
      <c r="B45" s="8">
        <f>Vand!H45</f>
        <v>5789057.8285792</v>
      </c>
      <c r="C45" s="8">
        <f>Vand!J45</f>
        <v>7521752.830888696</v>
      </c>
      <c r="D45" s="8">
        <f>Vand!K45</f>
        <v>8084659.214725186</v>
      </c>
      <c r="E45" s="8">
        <f>Vand!M45</f>
        <v>9258470.179462455</v>
      </c>
      <c r="F45" s="8">
        <f>Vand!N45</f>
        <v>9821376.563298946</v>
      </c>
      <c r="G45" s="8"/>
      <c r="H45" s="18">
        <v>0.21246368563619078</v>
      </c>
      <c r="I45" s="19"/>
      <c r="J45" s="8">
        <f t="shared" si="3"/>
        <v>1229964.5626209804</v>
      </c>
      <c r="K45" s="8">
        <f t="shared" si="0"/>
        <v>0</v>
      </c>
      <c r="L45" s="17">
        <v>0.9632039648964594</v>
      </c>
      <c r="N45" s="18">
        <f t="shared" si="1"/>
        <v>0.03679603510354057</v>
      </c>
      <c r="O45" s="18">
        <f>IF(Vand!CB45&lt;Vand!$BS$132,(Vand!CB45-Vand!$BS$132)/100,0)</f>
        <v>0</v>
      </c>
      <c r="P45" s="18">
        <f>Vand!CC45/100</f>
        <v>0</v>
      </c>
      <c r="Q45" s="18">
        <f t="shared" si="4"/>
        <v>0</v>
      </c>
      <c r="R45" s="18">
        <f t="shared" si="5"/>
        <v>0.009199008775885142</v>
      </c>
      <c r="S45" s="18">
        <f t="shared" si="6"/>
        <v>0</v>
      </c>
      <c r="T45" s="8">
        <f t="shared" si="7"/>
        <v>213014.3750768266</v>
      </c>
      <c r="U45" s="8">
        <f t="shared" si="2"/>
        <v>0</v>
      </c>
    </row>
    <row r="46" spans="1:21" ht="15">
      <c r="A46" s="7" t="s">
        <v>54</v>
      </c>
      <c r="B46" s="8">
        <f>Vand!H46</f>
        <v>12235071.590413</v>
      </c>
      <c r="C46" s="8">
        <f>Vand!J46</f>
        <v>13304474.425358584</v>
      </c>
      <c r="D46" s="8">
        <f>Vand!K46</f>
        <v>14757741.60680635</v>
      </c>
      <c r="E46" s="8">
        <f>Vand!M46</f>
        <v>16974995.902482484</v>
      </c>
      <c r="F46" s="8">
        <f>Vand!N46</f>
        <v>18428263.08393025</v>
      </c>
      <c r="G46" s="8"/>
      <c r="H46" s="18">
        <v>0.3344292765501392</v>
      </c>
      <c r="I46" s="18">
        <v>0.3306248</v>
      </c>
      <c r="J46" s="8">
        <f t="shared" si="3"/>
        <v>4091766.140520981</v>
      </c>
      <c r="K46" s="8">
        <f t="shared" si="0"/>
        <v>4045218.09756598</v>
      </c>
      <c r="L46" s="17">
        <v>0.8450428</v>
      </c>
      <c r="N46" s="18">
        <f t="shared" si="1"/>
        <v>0.15495720000000002</v>
      </c>
      <c r="O46" s="18">
        <f>IF(Vand!CB46&lt;Vand!$BS$132,(Vand!CB46-Vand!$BS$132)/100,0)</f>
        <v>0</v>
      </c>
      <c r="P46" s="18">
        <f>Vand!CC46/100</f>
        <v>0</v>
      </c>
      <c r="Q46" s="18">
        <f t="shared" si="4"/>
        <v>0</v>
      </c>
      <c r="R46" s="18">
        <f t="shared" si="5"/>
        <v>0.038739300000000004</v>
      </c>
      <c r="S46" s="18">
        <f t="shared" si="6"/>
        <v>0.038739300000000004</v>
      </c>
      <c r="T46" s="8">
        <f t="shared" si="7"/>
        <v>1895912.4354499455</v>
      </c>
      <c r="U46" s="8">
        <f>B46*S46*2/3</f>
        <v>315985.40590832423</v>
      </c>
    </row>
    <row r="47" spans="1:21" ht="15">
      <c r="A47" s="7" t="s">
        <v>55</v>
      </c>
      <c r="B47" s="8">
        <f>Vand!H47</f>
        <v>2689448.8469044003</v>
      </c>
      <c r="C47" s="8">
        <f>Vand!J47</f>
        <v>2334086.091140682</v>
      </c>
      <c r="D47" s="8">
        <f>Vand!K47</f>
        <v>2084350.573580081</v>
      </c>
      <c r="E47" s="8">
        <f>Vand!M47</f>
        <v>3140920.7452120017</v>
      </c>
      <c r="F47" s="8">
        <f>Vand!N47</f>
        <v>2891185.2276514014</v>
      </c>
      <c r="G47" s="8"/>
      <c r="H47" s="18">
        <v>0.48572259702909903</v>
      </c>
      <c r="I47" s="19"/>
      <c r="J47" s="8">
        <f aca="true" t="shared" si="8" ref="J47:J84">H47*B47</f>
        <v>1306326.078495321</v>
      </c>
      <c r="K47" s="8">
        <f aca="true" t="shared" si="9" ref="K47:K84">I47*B47</f>
        <v>0</v>
      </c>
      <c r="L47" s="17">
        <v>0.6920502050124826</v>
      </c>
      <c r="N47" s="18">
        <f aca="true" t="shared" si="10" ref="N47:N84">1-L47</f>
        <v>0.3079497949875174</v>
      </c>
      <c r="O47" s="18">
        <f>IF(Vand!CB47&lt;Vand!$BS$132,(Vand!CB47-Vand!$BS$132)/100,0)</f>
        <v>0</v>
      </c>
      <c r="P47" s="18">
        <f>Vand!CC47/100</f>
        <v>0</v>
      </c>
      <c r="Q47" s="18">
        <f aca="true" t="shared" si="11" ref="Q47:Q84">IF(P47&lt;0,N47+P47,0)</f>
        <v>0</v>
      </c>
      <c r="R47" s="18">
        <f aca="true" t="shared" si="12" ref="R47:R83">IF(P47&lt;0,(N47+P47)/4,N47/4)</f>
        <v>0.07698744874687935</v>
      </c>
      <c r="S47" s="18">
        <f aca="true" t="shared" si="13" ref="S47:S84">IF(R47&gt;=0.05,0.05,IF(R47&gt;=0.01,R47,0))</f>
        <v>0.05</v>
      </c>
      <c r="T47" s="8">
        <f aca="true" t="shared" si="14" ref="T47:T84">IF(P47&lt;0,(N47+P47)*B47,N47*B47)</f>
        <v>828215.2210336252</v>
      </c>
      <c r="U47" s="8">
        <f aca="true" t="shared" si="15" ref="U47:U84">B47*S47</f>
        <v>134472.44234522</v>
      </c>
    </row>
    <row r="48" spans="1:21" ht="15">
      <c r="A48" s="7" t="s">
        <v>2</v>
      </c>
      <c r="B48" s="8">
        <f>Vand!H48</f>
        <v>4808613.823550601</v>
      </c>
      <c r="C48" s="8">
        <f>Vand!J48</f>
        <v>5580127.915663309</v>
      </c>
      <c r="D48" s="8">
        <f>Vand!K48</f>
        <v>6373652.986645924</v>
      </c>
      <c r="E48" s="8">
        <f>Vand!M48</f>
        <v>7022712.06272849</v>
      </c>
      <c r="F48" s="8">
        <f>Vand!N48</f>
        <v>7816237.133711104</v>
      </c>
      <c r="G48" s="8"/>
      <c r="H48" s="18">
        <v>0.2751502002376758</v>
      </c>
      <c r="I48" s="19"/>
      <c r="J48" s="8">
        <f t="shared" si="8"/>
        <v>1323091.0564156035</v>
      </c>
      <c r="K48" s="8">
        <f t="shared" si="9"/>
        <v>0</v>
      </c>
      <c r="L48" s="17">
        <v>0.9005174189379554</v>
      </c>
      <c r="N48" s="18">
        <f t="shared" si="10"/>
        <v>0.09948258106204455</v>
      </c>
      <c r="O48" s="18">
        <f>IF(Vand!CB48&lt;Vand!$BS$132,(Vand!CB48-Vand!$BS$132)/100,0)</f>
        <v>0</v>
      </c>
      <c r="P48" s="18">
        <f>Vand!CC48/100</f>
        <v>0</v>
      </c>
      <c r="Q48" s="18">
        <f t="shared" si="11"/>
        <v>0</v>
      </c>
      <c r="R48" s="18">
        <f t="shared" si="12"/>
        <v>0.024870645265511138</v>
      </c>
      <c r="S48" s="18">
        <f t="shared" si="13"/>
        <v>0.024870645265511138</v>
      </c>
      <c r="T48" s="8">
        <f t="shared" si="14"/>
        <v>478373.3144974406</v>
      </c>
      <c r="U48" s="8">
        <f t="shared" si="15"/>
        <v>119593.32862436015</v>
      </c>
    </row>
    <row r="49" spans="1:21" ht="15">
      <c r="A49" s="7" t="s">
        <v>56</v>
      </c>
      <c r="B49" s="8">
        <f>Vand!H49</f>
        <v>6280477</v>
      </c>
      <c r="C49" s="8">
        <f>Vand!J49</f>
        <v>4077129.4875387414</v>
      </c>
      <c r="D49" s="8">
        <f>Vand!K49</f>
        <v>4266373.857307379</v>
      </c>
      <c r="E49" s="8">
        <f>Vand!M49</f>
        <v>5961272.5875387415</v>
      </c>
      <c r="F49" s="8">
        <f>Vand!N49</f>
        <v>6150516.957307379</v>
      </c>
      <c r="G49" s="8"/>
      <c r="H49" s="18">
        <v>0.6115906530115043</v>
      </c>
      <c r="I49" s="19"/>
      <c r="J49" s="8">
        <f t="shared" si="8"/>
        <v>3841081.0296537336</v>
      </c>
      <c r="K49" s="8">
        <f t="shared" si="9"/>
        <v>0</v>
      </c>
      <c r="L49" s="17">
        <v>0.5663043493545601</v>
      </c>
      <c r="N49" s="18">
        <f>1-L49</f>
        <v>0.4336956506454399</v>
      </c>
      <c r="O49" s="18">
        <f>IF(Vand!CB49&lt;Vand!$BS$132,(Vand!CB49-Vand!$BS$132)/100,0)</f>
        <v>-0.02588312053456912</v>
      </c>
      <c r="P49" s="18">
        <f>Vand!CC49/100</f>
        <v>-0.011958001686970931</v>
      </c>
      <c r="Q49" s="18">
        <f t="shared" si="11"/>
        <v>0.421737648958469</v>
      </c>
      <c r="R49" s="18">
        <f t="shared" si="12"/>
        <v>0.10543441223961725</v>
      </c>
      <c r="S49" s="18">
        <f t="shared" si="13"/>
        <v>0.05</v>
      </c>
      <c r="T49" s="8">
        <f t="shared" si="14"/>
        <v>2648713.6043177387</v>
      </c>
      <c r="U49" s="8">
        <f t="shared" si="15"/>
        <v>314023.85000000003</v>
      </c>
    </row>
    <row r="50" spans="1:21" ht="15">
      <c r="A50" s="7" t="s">
        <v>57</v>
      </c>
      <c r="B50" s="8">
        <f>Vand!H50</f>
        <v>1523432.584268</v>
      </c>
      <c r="C50" s="8">
        <f>Vand!J50</f>
        <v>1856405.2785179876</v>
      </c>
      <c r="D50" s="8">
        <f>Vand!K50</f>
        <v>1789632.8394213587</v>
      </c>
      <c r="E50" s="8">
        <f>Vand!M50</f>
        <v>2313435.0537983878</v>
      </c>
      <c r="F50" s="8">
        <f>Vand!N50</f>
        <v>2246662.6147017586</v>
      </c>
      <c r="G50" s="8"/>
      <c r="H50" s="18">
        <v>0.27790677182056744</v>
      </c>
      <c r="I50" s="19"/>
      <c r="J50" s="8">
        <f t="shared" si="8"/>
        <v>423372.2315801845</v>
      </c>
      <c r="K50" s="8">
        <f t="shared" si="9"/>
        <v>0</v>
      </c>
      <c r="L50" s="17">
        <v>0.8998660030183531</v>
      </c>
      <c r="N50" s="18">
        <f t="shared" si="10"/>
        <v>0.10013399698164693</v>
      </c>
      <c r="O50" s="18">
        <f>IF(Vand!CB50&lt;Vand!$BS$132,(Vand!CB50-Vand!$BS$132)/100,0)</f>
        <v>0</v>
      </c>
      <c r="P50" s="18">
        <f>Vand!CC50/100</f>
        <v>0</v>
      </c>
      <c r="Q50" s="18">
        <f t="shared" si="11"/>
        <v>0</v>
      </c>
      <c r="R50" s="18">
        <f t="shared" si="12"/>
        <v>0.025033499245411733</v>
      </c>
      <c r="S50" s="18">
        <f t="shared" si="13"/>
        <v>0.025033499245411733</v>
      </c>
      <c r="T50" s="8">
        <f t="shared" si="14"/>
        <v>152547.3937948345</v>
      </c>
      <c r="U50" s="8">
        <f>B50*S50*0.5</f>
        <v>19068.424224354312</v>
      </c>
    </row>
    <row r="51" spans="1:21" ht="15">
      <c r="A51" s="7" t="s">
        <v>58</v>
      </c>
      <c r="B51" s="8">
        <f>Vand!H51</f>
        <v>1029723.0835962</v>
      </c>
      <c r="C51" s="8">
        <f>Vand!J51</f>
        <v>2688267.784513859</v>
      </c>
      <c r="D51" s="8">
        <f>Vand!K51</f>
        <v>2769873.3075799607</v>
      </c>
      <c r="E51" s="8">
        <f>Vand!M51</f>
        <v>2997184.709592719</v>
      </c>
      <c r="F51" s="8">
        <f>Vand!N51</f>
        <v>3078790.2326588207</v>
      </c>
      <c r="G51" s="8"/>
      <c r="H51" s="18">
        <v>0</v>
      </c>
      <c r="I51" s="19"/>
      <c r="J51" s="8">
        <f t="shared" si="8"/>
        <v>0</v>
      </c>
      <c r="K51" s="8">
        <f t="shared" si="9"/>
        <v>0</v>
      </c>
      <c r="L51" s="17">
        <v>1</v>
      </c>
      <c r="N51" s="18">
        <f t="shared" si="10"/>
        <v>0</v>
      </c>
      <c r="O51" s="18">
        <f>IF(Vand!CB51&lt;Vand!$BS$132,(Vand!CB51-Vand!$BS$132)/100,0)</f>
        <v>0</v>
      </c>
      <c r="P51" s="18">
        <f>Vand!CC51/100</f>
        <v>0</v>
      </c>
      <c r="Q51" s="18">
        <f t="shared" si="11"/>
        <v>0</v>
      </c>
      <c r="R51" s="18">
        <f t="shared" si="12"/>
        <v>0</v>
      </c>
      <c r="S51" s="18">
        <f t="shared" si="13"/>
        <v>0</v>
      </c>
      <c r="T51" s="8">
        <f t="shared" si="14"/>
        <v>0</v>
      </c>
      <c r="U51" s="8">
        <f t="shared" si="15"/>
        <v>0</v>
      </c>
    </row>
    <row r="52" spans="1:21" ht="15">
      <c r="A52" s="7" t="s">
        <v>59</v>
      </c>
      <c r="B52" s="8">
        <f>Vand!H52</f>
        <v>8653481.997267332</v>
      </c>
      <c r="C52" s="8">
        <f>Vand!J52</f>
        <v>4651839.8</v>
      </c>
      <c r="D52" s="8">
        <f>Vand!K52</f>
        <v>5578554.878328372</v>
      </c>
      <c r="E52" s="8">
        <f>Vand!M52</f>
        <v>7247884.3991802</v>
      </c>
      <c r="F52" s="8">
        <f>Vand!N52</f>
        <v>8174599.477508571</v>
      </c>
      <c r="G52" s="8"/>
      <c r="H52" s="18">
        <v>0.6557973884986199</v>
      </c>
      <c r="I52" s="19"/>
      <c r="J52" s="8">
        <f t="shared" si="8"/>
        <v>5674930.895227738</v>
      </c>
      <c r="K52" s="8">
        <f t="shared" si="9"/>
        <v>0</v>
      </c>
      <c r="L52" s="17">
        <v>0.519870214431136</v>
      </c>
      <c r="N52" s="18">
        <f t="shared" si="10"/>
        <v>0.480129785568864</v>
      </c>
      <c r="O52" s="18">
        <f>IF(Vand!CB52&lt;Vand!$BS$132,(Vand!CB52-Vand!$BS$132)/100,0)</f>
        <v>-0.006115297738667796</v>
      </c>
      <c r="P52" s="18">
        <f>Vand!CC52/100</f>
        <v>-0.0028252675552645212</v>
      </c>
      <c r="Q52" s="18">
        <f t="shared" si="11"/>
        <v>0.47730451801359947</v>
      </c>
      <c r="R52" s="18">
        <f t="shared" si="12"/>
        <v>0.11932612950339987</v>
      </c>
      <c r="S52" s="18">
        <f t="shared" si="13"/>
        <v>0.05</v>
      </c>
      <c r="T52" s="8">
        <f t="shared" si="14"/>
        <v>4130346.0538450438</v>
      </c>
      <c r="U52" s="8">
        <f t="shared" si="15"/>
        <v>432674.09986336663</v>
      </c>
    </row>
    <row r="53" spans="1:21" ht="15">
      <c r="A53" s="7" t="s">
        <v>60</v>
      </c>
      <c r="B53" s="8">
        <f>Vand!H53</f>
        <v>10183919.5401776</v>
      </c>
      <c r="C53" s="8">
        <f>Vand!J53</f>
        <v>7360097.546113996</v>
      </c>
      <c r="D53" s="8">
        <f>Vand!K53</f>
        <v>8023919.012043066</v>
      </c>
      <c r="E53" s="8">
        <f>Vand!M53</f>
        <v>10415273.408167277</v>
      </c>
      <c r="F53" s="8">
        <f>Vand!N53</f>
        <v>11079094.874096347</v>
      </c>
      <c r="G53" s="8"/>
      <c r="H53" s="18">
        <v>0.5588965345285967</v>
      </c>
      <c r="I53" s="19"/>
      <c r="J53" s="8">
        <f t="shared" si="8"/>
        <v>5691757.33892332</v>
      </c>
      <c r="K53" s="8">
        <f t="shared" si="9"/>
        <v>0</v>
      </c>
      <c r="L53" s="17">
        <v>0.6167710784831328</v>
      </c>
      <c r="N53" s="18">
        <f t="shared" si="10"/>
        <v>0.38322892151686716</v>
      </c>
      <c r="O53" s="18">
        <f>IF(Vand!CB53&lt;Vand!$BS$132,(Vand!CB53-Vand!$BS$132)/100,0)</f>
        <v>0</v>
      </c>
      <c r="P53" s="18">
        <f>Vand!CC53/100</f>
        <v>0</v>
      </c>
      <c r="Q53" s="18">
        <f t="shared" si="11"/>
        <v>0</v>
      </c>
      <c r="R53" s="18">
        <f t="shared" si="12"/>
        <v>0.09580723037921679</v>
      </c>
      <c r="S53" s="18">
        <f t="shared" si="13"/>
        <v>0.05</v>
      </c>
      <c r="T53" s="8">
        <f t="shared" si="14"/>
        <v>3902772.5021968116</v>
      </c>
      <c r="U53" s="8">
        <f t="shared" si="15"/>
        <v>509195.97700888006</v>
      </c>
    </row>
    <row r="54" spans="1:21" ht="15">
      <c r="A54" s="7" t="s">
        <v>61</v>
      </c>
      <c r="B54" s="8">
        <f>Vand!H54</f>
        <v>1668992</v>
      </c>
      <c r="C54" s="8">
        <f>Vand!J54</f>
        <v>2670661.2539315643</v>
      </c>
      <c r="D54" s="8">
        <f>Vand!K54</f>
        <v>2562464.095057945</v>
      </c>
      <c r="E54" s="8">
        <f>Vand!M54</f>
        <v>3171358.8539315644</v>
      </c>
      <c r="F54" s="8">
        <f>Vand!N54</f>
        <v>3063161.695057945</v>
      </c>
      <c r="G54" s="8"/>
      <c r="H54" s="18">
        <v>0.051781528926194254</v>
      </c>
      <c r="I54" s="19"/>
      <c r="J54" s="8">
        <f t="shared" si="8"/>
        <v>86422.9575255868</v>
      </c>
      <c r="K54" s="8">
        <f t="shared" si="9"/>
        <v>0</v>
      </c>
      <c r="L54" s="17">
        <v>1</v>
      </c>
      <c r="N54" s="18">
        <f t="shared" si="10"/>
        <v>0</v>
      </c>
      <c r="O54" s="18">
        <f>IF(Vand!CB54&lt;Vand!$BS$132,(Vand!CB54-Vand!$BS$132)/100,0)</f>
        <v>0</v>
      </c>
      <c r="P54" s="18">
        <f>Vand!CC54/100</f>
        <v>0</v>
      </c>
      <c r="Q54" s="18">
        <f t="shared" si="11"/>
        <v>0</v>
      </c>
      <c r="R54" s="18">
        <f t="shared" si="12"/>
        <v>0</v>
      </c>
      <c r="S54" s="18">
        <f t="shared" si="13"/>
        <v>0</v>
      </c>
      <c r="T54" s="8">
        <f t="shared" si="14"/>
        <v>0</v>
      </c>
      <c r="U54" s="8">
        <f t="shared" si="15"/>
        <v>0</v>
      </c>
    </row>
    <row r="55" spans="1:21" ht="15">
      <c r="A55" s="7" t="s">
        <v>62</v>
      </c>
      <c r="B55" s="8">
        <f>Vand!H55</f>
        <v>880228.1918654001</v>
      </c>
      <c r="C55" s="8">
        <f>Vand!J55</f>
        <v>1720346.4659812222</v>
      </c>
      <c r="D55" s="8">
        <f>Vand!K55</f>
        <v>1564457.59734441</v>
      </c>
      <c r="E55" s="8">
        <f>Vand!M55</f>
        <v>1984414.9235408423</v>
      </c>
      <c r="F55" s="8">
        <f>Vand!N55</f>
        <v>1828526.05490403</v>
      </c>
      <c r="G55" s="8"/>
      <c r="H55" s="18">
        <v>0</v>
      </c>
      <c r="I55" s="19"/>
      <c r="J55" s="8">
        <f t="shared" si="8"/>
        <v>0</v>
      </c>
      <c r="K55" s="8">
        <f t="shared" si="9"/>
        <v>0</v>
      </c>
      <c r="L55" s="17">
        <v>1</v>
      </c>
      <c r="N55" s="18">
        <f t="shared" si="10"/>
        <v>0</v>
      </c>
      <c r="O55" s="18">
        <f>IF(Vand!CB55&lt;Vand!$BS$132,(Vand!CB55-Vand!$BS$132)/100,0)</f>
        <v>0</v>
      </c>
      <c r="P55" s="18">
        <f>Vand!CC55/100</f>
        <v>0</v>
      </c>
      <c r="Q55" s="18">
        <f t="shared" si="11"/>
        <v>0</v>
      </c>
      <c r="R55" s="18">
        <f t="shared" si="12"/>
        <v>0</v>
      </c>
      <c r="S55" s="18">
        <f t="shared" si="13"/>
        <v>0</v>
      </c>
      <c r="T55" s="8">
        <f t="shared" si="14"/>
        <v>0</v>
      </c>
      <c r="U55" s="8">
        <f t="shared" si="15"/>
        <v>0</v>
      </c>
    </row>
    <row r="56" spans="1:21" ht="15">
      <c r="A56" s="7" t="s">
        <v>63</v>
      </c>
      <c r="B56" s="8">
        <f>Vand!H56</f>
        <v>1673100.245782</v>
      </c>
      <c r="C56" s="8">
        <f>Vand!J56</f>
        <v>2210654.749702759</v>
      </c>
      <c r="D56" s="8">
        <f>Vand!K56</f>
        <v>1700521.031462261</v>
      </c>
      <c r="E56" s="8">
        <f>Vand!M56</f>
        <v>2712584.823437359</v>
      </c>
      <c r="F56" s="8">
        <f>Vand!N56</f>
        <v>2202451.105196861</v>
      </c>
      <c r="G56" s="8"/>
      <c r="H56" s="18">
        <v>0.21703387410035702</v>
      </c>
      <c r="I56" s="19"/>
      <c r="J56" s="8">
        <f t="shared" si="8"/>
        <v>363119.428100327</v>
      </c>
      <c r="K56" s="8">
        <f t="shared" si="9"/>
        <v>0</v>
      </c>
      <c r="L56" s="17">
        <v>0.9607388618411662</v>
      </c>
      <c r="N56" s="18">
        <f t="shared" si="10"/>
        <v>0.03926113815883381</v>
      </c>
      <c r="O56" s="18">
        <f>IF(Vand!CB56&lt;Vand!$BS$132,(Vand!CB56-Vand!$BS$132)/100,0)</f>
        <v>-0.005566879174413746</v>
      </c>
      <c r="P56" s="18">
        <f>Vand!CC56/100</f>
        <v>-0.0025718981785791506</v>
      </c>
      <c r="Q56" s="18">
        <f t="shared" si="11"/>
        <v>0.03668923998025466</v>
      </c>
      <c r="R56" s="18">
        <f t="shared" si="12"/>
        <v>0.009172309995063665</v>
      </c>
      <c r="S56" s="18">
        <f t="shared" si="13"/>
        <v>0</v>
      </c>
      <c r="T56" s="8">
        <f t="shared" si="14"/>
        <v>61384.77642851885</v>
      </c>
      <c r="U56" s="8">
        <f t="shared" si="15"/>
        <v>0</v>
      </c>
    </row>
    <row r="57" spans="1:21" ht="15">
      <c r="A57" s="7" t="s">
        <v>3</v>
      </c>
      <c r="B57" s="8">
        <f>Vand!H57</f>
        <v>16071428.1284592</v>
      </c>
      <c r="C57" s="8">
        <f>Vand!J57</f>
        <v>23289650.790339254</v>
      </c>
      <c r="D57" s="8">
        <f>Vand!K57</f>
        <v>23726531.8342955</v>
      </c>
      <c r="E57" s="8">
        <f>Vand!M57</f>
        <v>28111079.228877015</v>
      </c>
      <c r="F57" s="8">
        <f>Vand!N57</f>
        <v>28547960.272833258</v>
      </c>
      <c r="G57" s="8"/>
      <c r="H57" s="18">
        <v>0.1372450818161891</v>
      </c>
      <c r="I57" s="19"/>
      <c r="J57" s="8">
        <f t="shared" si="8"/>
        <v>2205724.468393386</v>
      </c>
      <c r="K57" s="8">
        <f t="shared" si="9"/>
        <v>0</v>
      </c>
      <c r="L57" s="17">
        <v>1</v>
      </c>
      <c r="N57" s="18">
        <f t="shared" si="10"/>
        <v>0</v>
      </c>
      <c r="O57" s="18">
        <f>IF(Vand!CB57&lt;Vand!$BS$132,(Vand!CB57-Vand!$BS$132)/100,0)</f>
        <v>0</v>
      </c>
      <c r="P57" s="18">
        <f>Vand!CC57/100</f>
        <v>0</v>
      </c>
      <c r="Q57" s="18">
        <f t="shared" si="11"/>
        <v>0</v>
      </c>
      <c r="R57" s="18">
        <f t="shared" si="12"/>
        <v>0</v>
      </c>
      <c r="S57" s="18">
        <f t="shared" si="13"/>
        <v>0</v>
      </c>
      <c r="T57" s="8">
        <f t="shared" si="14"/>
        <v>0</v>
      </c>
      <c r="U57" s="8">
        <f t="shared" si="15"/>
        <v>0</v>
      </c>
    </row>
    <row r="58" spans="1:21" ht="15">
      <c r="A58" s="7" t="s">
        <v>64</v>
      </c>
      <c r="B58" s="8">
        <f>Vand!H58</f>
        <v>10234287.768797401</v>
      </c>
      <c r="C58" s="8">
        <f>Vand!J58</f>
        <v>10044880.097694853</v>
      </c>
      <c r="D58" s="8">
        <f>Vand!K58</f>
        <v>10149600.625566157</v>
      </c>
      <c r="E58" s="8">
        <f>Vand!M58</f>
        <v>13115166.428334074</v>
      </c>
      <c r="F58" s="8">
        <f>Vand!N58</f>
        <v>13219886.956205377</v>
      </c>
      <c r="G58" s="8"/>
      <c r="H58" s="18">
        <v>0.4194</v>
      </c>
      <c r="I58" s="19">
        <v>0.4164585</v>
      </c>
      <c r="J58" s="8">
        <f t="shared" si="8"/>
        <v>4292260.29023363</v>
      </c>
      <c r="K58" s="8">
        <f t="shared" si="9"/>
        <v>4262156.132761713</v>
      </c>
      <c r="L58" s="17">
        <v>0.7615993</v>
      </c>
      <c r="N58" s="18">
        <f>1-L58</f>
        <v>0.23840070000000002</v>
      </c>
      <c r="O58" s="18">
        <f>IF(Vand!CB58&lt;Vand!$BS$132,(Vand!CB58-Vand!$BS$132)/100,0)</f>
        <v>0</v>
      </c>
      <c r="P58" s="18">
        <f>Vand!CC58/100</f>
        <v>0</v>
      </c>
      <c r="Q58" s="18">
        <f t="shared" si="11"/>
        <v>0</v>
      </c>
      <c r="R58" s="18">
        <f>IF(P58&lt;0,(N58+P58)/4,N58/4)*0.66</f>
        <v>0.039336115500000005</v>
      </c>
      <c r="S58" s="18">
        <f t="shared" si="13"/>
        <v>0.039336115500000005</v>
      </c>
      <c r="T58" s="8">
        <f t="shared" si="14"/>
        <v>2439861.368082739</v>
      </c>
      <c r="U58" s="8">
        <f t="shared" si="15"/>
        <v>402577.1257336519</v>
      </c>
    </row>
    <row r="59" spans="1:21" ht="15">
      <c r="A59" s="7" t="s">
        <v>65</v>
      </c>
      <c r="B59" s="8">
        <f>Vand!H59</f>
        <v>2204439.7056528</v>
      </c>
      <c r="C59" s="8">
        <f>Vand!J59</f>
        <v>1520757.7172899772</v>
      </c>
      <c r="D59" s="8">
        <f>Vand!K59</f>
        <v>1430261.619175532</v>
      </c>
      <c r="E59" s="8">
        <f>Vand!M59</f>
        <v>2182089.628985817</v>
      </c>
      <c r="F59" s="8">
        <f>Vand!N59</f>
        <v>2091593.5308713717</v>
      </c>
      <c r="G59" s="8"/>
      <c r="H59" s="18">
        <v>0.5912048557079368</v>
      </c>
      <c r="I59" s="19"/>
      <c r="J59" s="8">
        <f t="shared" si="8"/>
        <v>1303275.4580973103</v>
      </c>
      <c r="K59" s="8">
        <f t="shared" si="9"/>
        <v>0</v>
      </c>
      <c r="L59" s="17">
        <v>0.5865678802335866</v>
      </c>
      <c r="N59" s="18">
        <f>1-L59</f>
        <v>0.41343211976641336</v>
      </c>
      <c r="O59" s="18">
        <f>IF(Vand!CB59&lt;Vand!$BS$132,(Vand!CB59-Vand!$BS$132)/100,0)</f>
        <v>-0.09819967526581559</v>
      </c>
      <c r="P59" s="18">
        <f>Vand!CC59/100</f>
        <v>-0.04536824997280681</v>
      </c>
      <c r="Q59" s="18">
        <f t="shared" si="11"/>
        <v>0.36806386979360656</v>
      </c>
      <c r="R59" s="18">
        <f>IF(P59&lt;0,(N59+P59)/4,N59/4)*(1/3)</f>
        <v>0.030671989149467213</v>
      </c>
      <c r="S59" s="18">
        <f t="shared" si="13"/>
        <v>0.030671989149467213</v>
      </c>
      <c r="T59" s="8">
        <f t="shared" si="14"/>
        <v>811374.6087892485</v>
      </c>
      <c r="U59" s="8">
        <f>B59*S59</f>
        <v>67614.55073243738</v>
      </c>
    </row>
    <row r="60" spans="1:21" ht="15">
      <c r="A60" s="7" t="s">
        <v>66</v>
      </c>
      <c r="B60" s="8">
        <f>Vand!H60</f>
        <v>963253</v>
      </c>
      <c r="C60" s="8">
        <f>Vand!J60</f>
        <v>1481303.803116313</v>
      </c>
      <c r="D60" s="8">
        <f>Vand!K60</f>
        <v>1656141.0201043596</v>
      </c>
      <c r="E60" s="8">
        <f>Vand!M60</f>
        <v>1770279.7031163129</v>
      </c>
      <c r="F60" s="8">
        <f>Vand!N60</f>
        <v>1945116.9201043595</v>
      </c>
      <c r="G60" s="8"/>
      <c r="H60" s="18">
        <v>0.049648420123843295</v>
      </c>
      <c r="I60" s="19"/>
      <c r="J60" s="8">
        <f t="shared" si="8"/>
        <v>47823.98962955242</v>
      </c>
      <c r="K60" s="8">
        <f t="shared" si="9"/>
        <v>0</v>
      </c>
      <c r="L60" s="17">
        <v>1</v>
      </c>
      <c r="N60" s="18">
        <f t="shared" si="10"/>
        <v>0</v>
      </c>
      <c r="O60" s="18">
        <f>IF(Vand!CB60&lt;Vand!$BS$132,(Vand!CB60-Vand!$BS$132)/100,0)</f>
        <v>-0.008034664582526236</v>
      </c>
      <c r="P60" s="18">
        <f>Vand!CC60/100</f>
        <v>-0.0037120150371271216</v>
      </c>
      <c r="Q60" s="18">
        <f t="shared" si="11"/>
        <v>-0.0037120150371271216</v>
      </c>
      <c r="R60" s="18">
        <f t="shared" si="12"/>
        <v>-0.0009280037592817804</v>
      </c>
      <c r="S60" s="18">
        <f t="shared" si="13"/>
        <v>0</v>
      </c>
      <c r="T60" s="8">
        <f t="shared" si="14"/>
        <v>-3575.6096205578115</v>
      </c>
      <c r="U60" s="8">
        <f t="shared" si="15"/>
        <v>0</v>
      </c>
    </row>
    <row r="61" spans="1:21" ht="15">
      <c r="A61" s="7" t="s">
        <v>67</v>
      </c>
      <c r="B61" s="8">
        <f>Vand!H61</f>
        <v>9447931.937379599</v>
      </c>
      <c r="C61" s="8">
        <f>Vand!J61</f>
        <v>11168649.460827371</v>
      </c>
      <c r="D61" s="8">
        <f>Vand!K61</f>
        <v>11891208.53914838</v>
      </c>
      <c r="E61" s="8">
        <f>Vand!M61</f>
        <v>14003029.04204125</v>
      </c>
      <c r="F61" s="8">
        <f>Vand!N61</f>
        <v>14725588.12036226</v>
      </c>
      <c r="G61" s="8"/>
      <c r="H61" s="18">
        <v>0.2867823146507881</v>
      </c>
      <c r="I61" s="19"/>
      <c r="J61" s="8">
        <f t="shared" si="8"/>
        <v>2709499.789664826</v>
      </c>
      <c r="K61" s="8">
        <f t="shared" si="9"/>
        <v>0</v>
      </c>
      <c r="L61" s="17">
        <v>0.8888853245887944</v>
      </c>
      <c r="N61" s="18">
        <f t="shared" si="10"/>
        <v>0.11111467541120557</v>
      </c>
      <c r="O61" s="18">
        <f>IF(Vand!CB61&lt;Vand!$BS$132,(Vand!CB61-Vand!$BS$132)/100,0)</f>
        <v>0</v>
      </c>
      <c r="P61" s="18">
        <f>Vand!CC61/100</f>
        <v>0</v>
      </c>
      <c r="Q61" s="18">
        <f t="shared" si="11"/>
        <v>0</v>
      </c>
      <c r="R61" s="18">
        <f t="shared" si="12"/>
        <v>0.02777866885280139</v>
      </c>
      <c r="S61" s="18">
        <f t="shared" si="13"/>
        <v>0.02777866885280139</v>
      </c>
      <c r="T61" s="8">
        <f t="shared" si="14"/>
        <v>1049803.8905290966</v>
      </c>
      <c r="U61" s="8">
        <f t="shared" si="15"/>
        <v>262450.97263227415</v>
      </c>
    </row>
    <row r="62" spans="1:21" ht="15">
      <c r="A62" s="7" t="s">
        <v>68</v>
      </c>
      <c r="B62" s="8">
        <f>Vand!H62</f>
        <v>1733803.142582</v>
      </c>
      <c r="C62" s="8">
        <f>Vand!J62</f>
        <v>2909591.7329877117</v>
      </c>
      <c r="D62" s="8">
        <f>Vand!K62</f>
        <v>2974245.43962964</v>
      </c>
      <c r="E62" s="8">
        <f>Vand!M62</f>
        <v>3429732.6757623116</v>
      </c>
      <c r="F62" s="8">
        <f>Vand!N62</f>
        <v>3494386.38240424</v>
      </c>
      <c r="G62" s="8"/>
      <c r="H62" s="18">
        <v>0.00032704891349066845</v>
      </c>
      <c r="I62" s="19"/>
      <c r="J62" s="8">
        <f t="shared" si="8"/>
        <v>567.0384339881496</v>
      </c>
      <c r="K62" s="8">
        <f t="shared" si="9"/>
        <v>0</v>
      </c>
      <c r="L62" s="17">
        <v>1</v>
      </c>
      <c r="N62" s="18">
        <f t="shared" si="10"/>
        <v>0</v>
      </c>
      <c r="O62" s="18">
        <f>IF(Vand!CB62&lt;Vand!$BS$132,(Vand!CB62-Vand!$BS$132)/100,0)</f>
        <v>0</v>
      </c>
      <c r="P62" s="18">
        <f>Vand!CC62/100</f>
        <v>0</v>
      </c>
      <c r="Q62" s="18">
        <f t="shared" si="11"/>
        <v>0</v>
      </c>
      <c r="R62" s="18">
        <f t="shared" si="12"/>
        <v>0</v>
      </c>
      <c r="S62" s="18">
        <f t="shared" si="13"/>
        <v>0</v>
      </c>
      <c r="T62" s="8">
        <f t="shared" si="14"/>
        <v>0</v>
      </c>
      <c r="U62" s="8">
        <f t="shared" si="15"/>
        <v>0</v>
      </c>
    </row>
    <row r="63" spans="1:21" ht="15">
      <c r="A63" s="7" t="s">
        <v>69</v>
      </c>
      <c r="B63" s="8">
        <f>Vand!H63</f>
        <v>1558923.9337182</v>
      </c>
      <c r="C63" s="8">
        <f>Vand!J63</f>
        <v>1846699.96166752</v>
      </c>
      <c r="D63" s="8">
        <f>Vand!K63</f>
        <v>2001591.0848405086</v>
      </c>
      <c r="E63" s="8">
        <f>Vand!M63</f>
        <v>2314377.14178298</v>
      </c>
      <c r="F63" s="8">
        <f>Vand!N63</f>
        <v>2469268.2649559686</v>
      </c>
      <c r="G63" s="8"/>
      <c r="H63" s="18">
        <v>0.27904793706490516</v>
      </c>
      <c r="I63" s="19"/>
      <c r="J63" s="8">
        <f t="shared" si="8"/>
        <v>435014.5077451707</v>
      </c>
      <c r="K63" s="8">
        <f t="shared" si="9"/>
        <v>0</v>
      </c>
      <c r="L63" s="17">
        <v>0.8966196313418449</v>
      </c>
      <c r="N63" s="18">
        <f t="shared" si="10"/>
        <v>0.10338036865815514</v>
      </c>
      <c r="O63" s="18">
        <f>IF(Vand!CB63&lt;Vand!$BS$132,(Vand!CB63-Vand!$BS$132)/100,0)</f>
        <v>0</v>
      </c>
      <c r="P63" s="18">
        <f>Vand!CC63/100</f>
        <v>0</v>
      </c>
      <c r="Q63" s="18">
        <f t="shared" si="11"/>
        <v>0</v>
      </c>
      <c r="R63" s="18">
        <f t="shared" si="12"/>
        <v>0.025845092164538785</v>
      </c>
      <c r="S63" s="18">
        <f t="shared" si="13"/>
        <v>0.025845092164538785</v>
      </c>
      <c r="T63" s="8">
        <f t="shared" si="14"/>
        <v>161162.13097780893</v>
      </c>
      <c r="U63" s="8">
        <f t="shared" si="15"/>
        <v>40290.53274445223</v>
      </c>
    </row>
    <row r="64" spans="1:21" ht="15">
      <c r="A64" s="7" t="s">
        <v>70</v>
      </c>
      <c r="B64" s="8">
        <f>Vand!H64</f>
        <v>1518462</v>
      </c>
      <c r="C64" s="8">
        <f>Vand!J64</f>
        <v>2650912.3730378672</v>
      </c>
      <c r="D64" s="8">
        <f>Vand!K64</f>
        <v>2854112.4045822998</v>
      </c>
      <c r="E64" s="8">
        <f>Vand!M64</f>
        <v>3106450.9730378673</v>
      </c>
      <c r="F64" s="8">
        <f>Vand!N64</f>
        <v>3309651.0045823</v>
      </c>
      <c r="G64" s="8"/>
      <c r="H64" s="18">
        <v>0</v>
      </c>
      <c r="I64" s="19"/>
      <c r="J64" s="8">
        <f t="shared" si="8"/>
        <v>0</v>
      </c>
      <c r="K64" s="8">
        <f t="shared" si="9"/>
        <v>0</v>
      </c>
      <c r="L64" s="17">
        <v>1</v>
      </c>
      <c r="N64" s="18">
        <f t="shared" si="10"/>
        <v>0</v>
      </c>
      <c r="O64" s="18">
        <f>IF(Vand!CB64&lt;Vand!$BS$132,(Vand!CB64-Vand!$BS$132)/100,0)</f>
        <v>0</v>
      </c>
      <c r="P64" s="18">
        <f>Vand!CC64/100</f>
        <v>0</v>
      </c>
      <c r="Q64" s="18">
        <f t="shared" si="11"/>
        <v>0</v>
      </c>
      <c r="R64" s="18">
        <f t="shared" si="12"/>
        <v>0</v>
      </c>
      <c r="S64" s="18">
        <f t="shared" si="13"/>
        <v>0</v>
      </c>
      <c r="T64" s="8">
        <f t="shared" si="14"/>
        <v>0</v>
      </c>
      <c r="U64" s="8">
        <f t="shared" si="15"/>
        <v>0</v>
      </c>
    </row>
    <row r="65" spans="1:21" ht="15">
      <c r="A65" s="7" t="s">
        <v>125</v>
      </c>
      <c r="B65" s="8">
        <f>Vand!H65</f>
        <v>1413070.0484320002</v>
      </c>
      <c r="C65" s="8">
        <f>Vand!J65</f>
        <v>1702394.2363599555</v>
      </c>
      <c r="D65" s="8">
        <f>Vand!K65</f>
        <v>1644858.4043391412</v>
      </c>
      <c r="E65" s="8">
        <f>Vand!M65</f>
        <v>2126315.2508895556</v>
      </c>
      <c r="F65" s="8">
        <f>Vand!N65</f>
        <v>2068779.4188687413</v>
      </c>
      <c r="G65" s="8"/>
      <c r="H65" s="18">
        <v>0.2860951945517364</v>
      </c>
      <c r="I65" s="19"/>
      <c r="J65" s="8">
        <f t="shared" si="8"/>
        <v>404272.5504213846</v>
      </c>
      <c r="K65" s="8">
        <f t="shared" si="9"/>
        <v>0</v>
      </c>
      <c r="L65" s="17">
        <v>0.8916775413897867</v>
      </c>
      <c r="M65" s="7" t="s">
        <v>237</v>
      </c>
      <c r="N65" s="18">
        <f t="shared" si="10"/>
        <v>0.10832245861021328</v>
      </c>
      <c r="O65" s="18">
        <f>IF(Vand!CB65&lt;Vand!$BS$132,(Vand!CB65-Vand!$BS$132)/100,0)</f>
        <v>0</v>
      </c>
      <c r="P65" s="18">
        <f>Vand!CC65/100</f>
        <v>0</v>
      </c>
      <c r="Q65" s="18">
        <f t="shared" si="11"/>
        <v>0</v>
      </c>
      <c r="R65" s="18">
        <f t="shared" si="12"/>
        <v>0.02708061465255332</v>
      </c>
      <c r="S65" s="18">
        <f t="shared" si="13"/>
        <v>0.02708061465255332</v>
      </c>
      <c r="T65" s="8">
        <f t="shared" si="14"/>
        <v>153067.22183460742</v>
      </c>
      <c r="U65" s="8">
        <f t="shared" si="15"/>
        <v>38266.805458651856</v>
      </c>
    </row>
    <row r="66" spans="1:21" ht="15">
      <c r="A66" s="7" t="s">
        <v>71</v>
      </c>
      <c r="B66" s="8">
        <f>Vand!H66</f>
        <v>913807.4000664</v>
      </c>
      <c r="C66" s="8">
        <f>Vand!J66</f>
        <v>1575424.5581094897</v>
      </c>
      <c r="D66" s="8">
        <f>Vand!K66</f>
        <v>1661525.9929232108</v>
      </c>
      <c r="E66" s="8">
        <f>Vand!M66</f>
        <v>1849566.7781294098</v>
      </c>
      <c r="F66" s="8">
        <f>Vand!N66</f>
        <v>1935668.2129431309</v>
      </c>
      <c r="G66" s="8"/>
      <c r="H66" s="18">
        <v>0</v>
      </c>
      <c r="I66" s="19"/>
      <c r="J66" s="8">
        <f t="shared" si="8"/>
        <v>0</v>
      </c>
      <c r="K66" s="8">
        <f t="shared" si="9"/>
        <v>0</v>
      </c>
      <c r="L66" s="17">
        <v>1</v>
      </c>
      <c r="N66" s="18">
        <f t="shared" si="10"/>
        <v>0</v>
      </c>
      <c r="O66" s="18">
        <f>IF(Vand!CB66&lt;Vand!$BS$132,(Vand!CB66-Vand!$BS$132)/100,0)</f>
        <v>0</v>
      </c>
      <c r="P66" s="18">
        <f>Vand!CC66/100</f>
        <v>0</v>
      </c>
      <c r="Q66" s="18">
        <f t="shared" si="11"/>
        <v>0</v>
      </c>
      <c r="R66" s="18">
        <f t="shared" si="12"/>
        <v>0</v>
      </c>
      <c r="S66" s="18">
        <f t="shared" si="13"/>
        <v>0</v>
      </c>
      <c r="T66" s="8">
        <f t="shared" si="14"/>
        <v>0</v>
      </c>
      <c r="U66" s="8">
        <f t="shared" si="15"/>
        <v>0</v>
      </c>
    </row>
    <row r="67" spans="1:21" ht="15">
      <c r="A67" s="7" t="s">
        <v>4</v>
      </c>
      <c r="B67" s="8">
        <f>Vand!H67</f>
        <v>864339.208628</v>
      </c>
      <c r="C67" s="8">
        <f>Vand!J67</f>
        <v>1638922.0541032772</v>
      </c>
      <c r="D67" s="8">
        <f>Vand!K67</f>
        <v>1768471.060878228</v>
      </c>
      <c r="E67" s="8">
        <f>Vand!M67</f>
        <v>1898223.816691677</v>
      </c>
      <c r="F67" s="8">
        <f>Vand!N67</f>
        <v>2027772.8234666279</v>
      </c>
      <c r="G67" s="8"/>
      <c r="H67" s="18">
        <v>0</v>
      </c>
      <c r="I67" s="19"/>
      <c r="J67" s="8">
        <f t="shared" si="8"/>
        <v>0</v>
      </c>
      <c r="K67" s="8">
        <f t="shared" si="9"/>
        <v>0</v>
      </c>
      <c r="L67" s="17">
        <v>1</v>
      </c>
      <c r="N67" s="18">
        <f t="shared" si="10"/>
        <v>0</v>
      </c>
      <c r="O67" s="18">
        <f>IF(Vand!CB67&lt;Vand!$BS$132,(Vand!CB67-Vand!$BS$132)/100,0)</f>
        <v>0</v>
      </c>
      <c r="P67" s="18">
        <f>Vand!CC67/100</f>
        <v>0</v>
      </c>
      <c r="Q67" s="18">
        <f t="shared" si="11"/>
        <v>0</v>
      </c>
      <c r="R67" s="18">
        <f t="shared" si="12"/>
        <v>0</v>
      </c>
      <c r="S67" s="18">
        <f t="shared" si="13"/>
        <v>0</v>
      </c>
      <c r="T67" s="8">
        <f t="shared" si="14"/>
        <v>0</v>
      </c>
      <c r="U67" s="8">
        <f t="shared" si="15"/>
        <v>0</v>
      </c>
    </row>
    <row r="68" spans="1:21" ht="15">
      <c r="A68" s="7" t="s">
        <v>72</v>
      </c>
      <c r="B68" s="8">
        <f>Vand!H68</f>
        <v>3158988</v>
      </c>
      <c r="C68" s="8">
        <f>Vand!J68</f>
        <v>4999746.95673473</v>
      </c>
      <c r="D68" s="8">
        <f>Vand!K68</f>
        <v>3526949.378308768</v>
      </c>
      <c r="E68" s="8">
        <f>Vand!M68</f>
        <v>5947443.35673473</v>
      </c>
      <c r="F68" s="8">
        <f>Vand!N68</f>
        <v>4474645.778308768</v>
      </c>
      <c r="G68" s="8"/>
      <c r="H68" s="18">
        <v>0.61257458</v>
      </c>
      <c r="I68" s="19">
        <v>0.06212717</v>
      </c>
      <c r="J68" s="8">
        <f t="shared" si="8"/>
        <v>1935115.74732504</v>
      </c>
      <c r="K68" s="8">
        <f t="shared" si="9"/>
        <v>196258.98450396</v>
      </c>
      <c r="L68" s="17">
        <v>1</v>
      </c>
      <c r="N68" s="18">
        <f t="shared" si="10"/>
        <v>0</v>
      </c>
      <c r="O68" s="18">
        <f>IF(Vand!CB68&lt;Vand!$BS$132,(Vand!CB68-Vand!$BS$132)/100,0)</f>
        <v>0</v>
      </c>
      <c r="P68" s="18">
        <f>Vand!CC68/100</f>
        <v>0</v>
      </c>
      <c r="Q68" s="18">
        <f t="shared" si="11"/>
        <v>0</v>
      </c>
      <c r="R68" s="18">
        <f t="shared" si="12"/>
        <v>0</v>
      </c>
      <c r="S68" s="18">
        <f t="shared" si="13"/>
        <v>0</v>
      </c>
      <c r="T68" s="8">
        <f t="shared" si="14"/>
        <v>0</v>
      </c>
      <c r="U68" s="8">
        <f t="shared" si="15"/>
        <v>0</v>
      </c>
    </row>
    <row r="69" spans="1:21" ht="15">
      <c r="A69" s="7" t="s">
        <v>73</v>
      </c>
      <c r="B69" s="8">
        <f>Vand!H69</f>
        <v>14442086.4997262</v>
      </c>
      <c r="C69" s="8">
        <f>Vand!J69</f>
        <v>8921315.73119133</v>
      </c>
      <c r="D69" s="8">
        <f>Vand!K69</f>
        <v>8500205.298823688</v>
      </c>
      <c r="E69" s="8">
        <f>Vand!M69</f>
        <v>13253941.68110919</v>
      </c>
      <c r="F69" s="8">
        <f>Vand!N69</f>
        <v>12832831.248741549</v>
      </c>
      <c r="G69" s="8"/>
      <c r="H69" s="18">
        <v>0.6339479044050179</v>
      </c>
      <c r="I69" s="19"/>
      <c r="J69" s="8">
        <f t="shared" si="8"/>
        <v>9155530.471737426</v>
      </c>
      <c r="K69" s="8">
        <f t="shared" si="9"/>
        <v>0</v>
      </c>
      <c r="L69" s="17">
        <v>0.5438248397427407</v>
      </c>
      <c r="N69" s="18">
        <f t="shared" si="10"/>
        <v>0.45617516025725935</v>
      </c>
      <c r="O69" s="18">
        <f>IF(Vand!CB69&lt;Vand!$BS$132,(Vand!CB69-Vand!$BS$132)/100,0)</f>
        <v>0</v>
      </c>
      <c r="P69" s="18">
        <f>Vand!CC69/100</f>
        <v>0</v>
      </c>
      <c r="Q69" s="18">
        <f t="shared" si="11"/>
        <v>0</v>
      </c>
      <c r="R69" s="18">
        <f t="shared" si="12"/>
        <v>0.11404379006431484</v>
      </c>
      <c r="S69" s="18">
        <f t="shared" si="13"/>
        <v>0.05</v>
      </c>
      <c r="T69" s="8">
        <f t="shared" si="14"/>
        <v>6588121.123461802</v>
      </c>
      <c r="U69" s="8">
        <f t="shared" si="15"/>
        <v>722104.3249863101</v>
      </c>
    </row>
    <row r="70" spans="1:21" ht="15">
      <c r="A70" s="7" t="s">
        <v>74</v>
      </c>
      <c r="B70" s="8">
        <f>Vand!H70</f>
        <v>4047698.3427089998</v>
      </c>
      <c r="C70" s="8">
        <f>Vand!J70</f>
        <v>6672566.591096405</v>
      </c>
      <c r="D70" s="8">
        <f>Vand!K70</f>
        <v>7169207.908271074</v>
      </c>
      <c r="E70" s="8">
        <f>Vand!M70</f>
        <v>7886876.093909105</v>
      </c>
      <c r="F70" s="8">
        <f>Vand!N70</f>
        <v>8383517.411083775</v>
      </c>
      <c r="G70" s="8"/>
      <c r="H70" s="18">
        <v>0.0010030358296740927</v>
      </c>
      <c r="I70" s="19"/>
      <c r="J70" s="8">
        <f t="shared" si="8"/>
        <v>4059.9864654495714</v>
      </c>
      <c r="K70" s="8">
        <f t="shared" si="9"/>
        <v>0</v>
      </c>
      <c r="L70" s="17">
        <v>1</v>
      </c>
      <c r="N70" s="18">
        <f t="shared" si="10"/>
        <v>0</v>
      </c>
      <c r="O70" s="18">
        <f>IF(Vand!CB70&lt;Vand!$BS$132,(Vand!CB70-Vand!$BS$132)/100,0)</f>
        <v>0</v>
      </c>
      <c r="P70" s="18">
        <f>Vand!CC70/100</f>
        <v>0</v>
      </c>
      <c r="Q70" s="18">
        <f t="shared" si="11"/>
        <v>0</v>
      </c>
      <c r="R70" s="18">
        <f t="shared" si="12"/>
        <v>0</v>
      </c>
      <c r="S70" s="18">
        <f t="shared" si="13"/>
        <v>0</v>
      </c>
      <c r="T70" s="8">
        <f t="shared" si="14"/>
        <v>0</v>
      </c>
      <c r="U70" s="8">
        <f t="shared" si="15"/>
        <v>0</v>
      </c>
    </row>
    <row r="71" spans="1:21" ht="15">
      <c r="A71" s="7" t="s">
        <v>75</v>
      </c>
      <c r="B71" s="8">
        <f>Vand!H71</f>
        <v>1145992.4782362</v>
      </c>
      <c r="C71" s="8">
        <f>Vand!J71</f>
        <v>2222896.0278142733</v>
      </c>
      <c r="D71" s="8">
        <f>Vand!K71</f>
        <v>2195180.4450055594</v>
      </c>
      <c r="E71" s="8">
        <f>Vand!M71</f>
        <v>2566693.7712851334</v>
      </c>
      <c r="F71" s="8">
        <f>Vand!N71</f>
        <v>2538978.1884764195</v>
      </c>
      <c r="G71" s="8"/>
      <c r="H71" s="18">
        <v>0</v>
      </c>
      <c r="I71" s="19"/>
      <c r="J71" s="8">
        <f t="shared" si="8"/>
        <v>0</v>
      </c>
      <c r="K71" s="8">
        <f t="shared" si="9"/>
        <v>0</v>
      </c>
      <c r="L71" s="17">
        <v>1</v>
      </c>
      <c r="N71" s="18">
        <f t="shared" si="10"/>
        <v>0</v>
      </c>
      <c r="O71" s="18">
        <f>IF(Vand!CB71&lt;Vand!$BS$132,(Vand!CB71-Vand!$BS$132)/100,0)</f>
        <v>0</v>
      </c>
      <c r="P71" s="18">
        <f>Vand!CC71/100</f>
        <v>0</v>
      </c>
      <c r="Q71" s="18">
        <f t="shared" si="11"/>
        <v>0</v>
      </c>
      <c r="R71" s="18">
        <f t="shared" si="12"/>
        <v>0</v>
      </c>
      <c r="S71" s="18">
        <f t="shared" si="13"/>
        <v>0</v>
      </c>
      <c r="T71" s="8">
        <f t="shared" si="14"/>
        <v>0</v>
      </c>
      <c r="U71" s="8">
        <f t="shared" si="15"/>
        <v>0</v>
      </c>
    </row>
    <row r="72" spans="1:21" ht="15">
      <c r="A72" s="7" t="s">
        <v>76</v>
      </c>
      <c r="B72" s="8">
        <f>Vand!H72</f>
        <v>1268383.5265458</v>
      </c>
      <c r="C72" s="8">
        <f>Vand!J72</f>
        <v>1337023.1573255996</v>
      </c>
      <c r="D72" s="8">
        <f>Vand!K72</f>
        <v>1444734.5268031673</v>
      </c>
      <c r="E72" s="8">
        <f>Vand!M72</f>
        <v>1717538.2152893397</v>
      </c>
      <c r="F72" s="8">
        <f>Vand!N72</f>
        <v>1825249.5847669074</v>
      </c>
      <c r="G72" s="8"/>
      <c r="H72" s="18">
        <v>0.3594206</v>
      </c>
      <c r="I72" s="19"/>
      <c r="J72" s="8">
        <f t="shared" si="8"/>
        <v>455883.16814120737</v>
      </c>
      <c r="K72" s="8">
        <f t="shared" si="9"/>
        <v>0</v>
      </c>
      <c r="L72" s="17">
        <v>0.816247</v>
      </c>
      <c r="N72" s="18">
        <f t="shared" si="10"/>
        <v>0.18375300000000006</v>
      </c>
      <c r="O72" s="18">
        <f>IF(Vand!CB72&lt;Vand!$BS$132,(Vand!CB72-Vand!$BS$132)/100,0)</f>
        <v>-0.03805940643030036</v>
      </c>
      <c r="P72" s="18">
        <f>Vand!CC72/100</f>
        <v>-0.017583445770798768</v>
      </c>
      <c r="Q72" s="18">
        <f t="shared" si="11"/>
        <v>0.1661695542292013</v>
      </c>
      <c r="R72" s="18">
        <f t="shared" si="12"/>
        <v>0.041542388557300323</v>
      </c>
      <c r="S72" s="18">
        <f t="shared" si="13"/>
        <v>0.041542388557300323</v>
      </c>
      <c r="T72" s="8">
        <f t="shared" si="14"/>
        <v>210766.7251977779</v>
      </c>
      <c r="U72" s="8">
        <f t="shared" si="15"/>
        <v>52691.68129944448</v>
      </c>
    </row>
    <row r="73" spans="1:21" ht="15">
      <c r="A73" s="7" t="s">
        <v>5</v>
      </c>
      <c r="B73" s="8">
        <f>Vand!H73</f>
        <v>7844857.152509999</v>
      </c>
      <c r="C73" s="8">
        <f>Vand!J73</f>
        <v>13549069.027146408</v>
      </c>
      <c r="D73" s="8">
        <f>Vand!K73</f>
        <v>13242532.730567588</v>
      </c>
      <c r="E73" s="8">
        <f>Vand!M73</f>
        <v>15902526.172899408</v>
      </c>
      <c r="F73" s="8">
        <f>Vand!N73</f>
        <v>15595989.876320587</v>
      </c>
      <c r="G73" s="8"/>
      <c r="H73" s="18">
        <v>0</v>
      </c>
      <c r="I73" s="19"/>
      <c r="J73" s="8">
        <f t="shared" si="8"/>
        <v>0</v>
      </c>
      <c r="K73" s="8">
        <f t="shared" si="9"/>
        <v>0</v>
      </c>
      <c r="L73" s="17">
        <v>1</v>
      </c>
      <c r="N73" s="18">
        <f t="shared" si="10"/>
        <v>0</v>
      </c>
      <c r="O73" s="18">
        <f>IF(Vand!CB73&lt;Vand!$BS$132,(Vand!CB73-Vand!$BS$132)/100,0)</f>
        <v>0</v>
      </c>
      <c r="P73" s="18">
        <f>Vand!CC73/100</f>
        <v>0</v>
      </c>
      <c r="Q73" s="18">
        <f t="shared" si="11"/>
        <v>0</v>
      </c>
      <c r="R73" s="18">
        <f t="shared" si="12"/>
        <v>0</v>
      </c>
      <c r="S73" s="18">
        <f t="shared" si="13"/>
        <v>0</v>
      </c>
      <c r="T73" s="8">
        <f t="shared" si="14"/>
        <v>0</v>
      </c>
      <c r="U73" s="8">
        <f t="shared" si="15"/>
        <v>0</v>
      </c>
    </row>
    <row r="74" spans="1:21" ht="15">
      <c r="A74" s="7" t="s">
        <v>77</v>
      </c>
      <c r="B74" s="8">
        <f>Vand!H74</f>
        <v>3080449.0461906</v>
      </c>
      <c r="C74" s="8">
        <f>Vand!J74</f>
        <v>4333801.077141853</v>
      </c>
      <c r="D74" s="8">
        <f>Vand!K74</f>
        <v>4088133.022511482</v>
      </c>
      <c r="E74" s="8">
        <f>Vand!M74</f>
        <v>5257935.790999033</v>
      </c>
      <c r="F74" s="8">
        <f>Vand!N74</f>
        <v>5012267.736368662</v>
      </c>
      <c r="G74" s="8"/>
      <c r="H74" s="18">
        <v>0.1663210343729019</v>
      </c>
      <c r="I74" s="19"/>
      <c r="J74" s="8">
        <f t="shared" si="8"/>
        <v>512343.47169543966</v>
      </c>
      <c r="K74" s="8">
        <f t="shared" si="9"/>
        <v>0</v>
      </c>
      <c r="L74" s="17">
        <v>1</v>
      </c>
      <c r="N74" s="18">
        <f t="shared" si="10"/>
        <v>0</v>
      </c>
      <c r="O74" s="18">
        <f>IF(Vand!CB74&lt;Vand!$BS$132,(Vand!CB74-Vand!$BS$132)/100,0)</f>
        <v>0</v>
      </c>
      <c r="P74" s="18">
        <f>Vand!CC74/100</f>
        <v>0</v>
      </c>
      <c r="Q74" s="18">
        <f t="shared" si="11"/>
        <v>0</v>
      </c>
      <c r="R74" s="18">
        <f t="shared" si="12"/>
        <v>0</v>
      </c>
      <c r="S74" s="18">
        <f t="shared" si="13"/>
        <v>0</v>
      </c>
      <c r="T74" s="8">
        <f t="shared" si="14"/>
        <v>0</v>
      </c>
      <c r="U74" s="8">
        <f t="shared" si="15"/>
        <v>0</v>
      </c>
    </row>
    <row r="75" spans="1:21" ht="15">
      <c r="A75" s="7" t="s">
        <v>78</v>
      </c>
      <c r="B75" s="8">
        <f>Vand!H75</f>
        <v>1555642.4752008</v>
      </c>
      <c r="C75" s="8">
        <f>Vand!J75</f>
        <v>1720525.1717640506</v>
      </c>
      <c r="D75" s="8">
        <f>Vand!K75</f>
        <v>1749851.4584185593</v>
      </c>
      <c r="E75" s="8">
        <f>Vand!M75</f>
        <v>2187217.9143242906</v>
      </c>
      <c r="F75" s="8">
        <f>Vand!N75</f>
        <v>2216544.2009787993</v>
      </c>
      <c r="G75" s="8"/>
      <c r="H75" s="18">
        <v>0.3417238809310075</v>
      </c>
      <c r="I75" s="19"/>
      <c r="J75" s="8">
        <f t="shared" si="8"/>
        <v>531600.183966736</v>
      </c>
      <c r="K75" s="8">
        <f t="shared" si="9"/>
        <v>0</v>
      </c>
      <c r="L75" s="17">
        <v>0.8363341585319111</v>
      </c>
      <c r="N75" s="18">
        <f t="shared" si="10"/>
        <v>0.16366584146808894</v>
      </c>
      <c r="O75" s="18">
        <f>IF(Vand!CB75&lt;Vand!$BS$132,(Vand!CB75-Vand!$BS$132)/100,0)</f>
        <v>0</v>
      </c>
      <c r="P75" s="18">
        <f>Vand!CC75/100</f>
        <v>0</v>
      </c>
      <c r="Q75" s="18">
        <f t="shared" si="11"/>
        <v>0</v>
      </c>
      <c r="R75" s="18">
        <f t="shared" si="12"/>
        <v>0.040916460367022234</v>
      </c>
      <c r="S75" s="18">
        <f t="shared" si="13"/>
        <v>0.040916460367022234</v>
      </c>
      <c r="T75" s="8">
        <f t="shared" si="14"/>
        <v>254605.5347272396</v>
      </c>
      <c r="U75" s="8">
        <f t="shared" si="15"/>
        <v>63651.3836818099</v>
      </c>
    </row>
    <row r="76" spans="1:21" ht="15">
      <c r="A76" s="7" t="s">
        <v>79</v>
      </c>
      <c r="B76" s="8">
        <f>Vand!H76</f>
        <v>1454245.2902768</v>
      </c>
      <c r="C76" s="8">
        <f>Vand!J76</f>
        <v>1975782.3335267159</v>
      </c>
      <c r="D76" s="8">
        <f>Vand!K76</f>
        <v>1913952.9873056056</v>
      </c>
      <c r="E76" s="8">
        <f>Vand!M76</f>
        <v>2412055.920609756</v>
      </c>
      <c r="F76" s="8">
        <f>Vand!N76</f>
        <v>2350226.5743886456</v>
      </c>
      <c r="G76" s="8"/>
      <c r="H76" s="18">
        <v>0.19490830462080677</v>
      </c>
      <c r="I76" s="19"/>
      <c r="J76" s="8">
        <f t="shared" si="8"/>
        <v>283444.4840306441</v>
      </c>
      <c r="K76" s="8">
        <f t="shared" si="9"/>
        <v>0</v>
      </c>
      <c r="L76" s="17">
        <v>0.9828646350607282</v>
      </c>
      <c r="N76" s="18">
        <f t="shared" si="10"/>
        <v>0.017135364939271813</v>
      </c>
      <c r="O76" s="18">
        <f>IF(Vand!CB76&lt;Vand!$BS$132,(Vand!CB76-Vand!$BS$132)/100,0)</f>
        <v>-0.03471868648537233</v>
      </c>
      <c r="P76" s="18">
        <f>Vand!CC76/100</f>
        <v>-0.016040033156242018</v>
      </c>
      <c r="Q76" s="18">
        <f t="shared" si="11"/>
        <v>0.0010953317830297953</v>
      </c>
      <c r="R76" s="18">
        <f t="shared" si="12"/>
        <v>0.0002738329457574488</v>
      </c>
      <c r="S76" s="18">
        <f t="shared" si="13"/>
        <v>0</v>
      </c>
      <c r="T76" s="8">
        <f t="shared" si="14"/>
        <v>1592.8810867615696</v>
      </c>
      <c r="U76" s="8">
        <f t="shared" si="15"/>
        <v>0</v>
      </c>
    </row>
    <row r="77" spans="1:21" ht="15">
      <c r="A77" s="7" t="s">
        <v>80</v>
      </c>
      <c r="B77" s="8">
        <f>Vand!H77</f>
        <v>731619.3289552</v>
      </c>
      <c r="C77" s="8">
        <f>Vand!J77</f>
        <v>1636836.1926534385</v>
      </c>
      <c r="D77" s="8">
        <f>Vand!K77</f>
        <v>1500185.7776692056</v>
      </c>
      <c r="E77" s="8">
        <f>Vand!M77</f>
        <v>1856321.9913399986</v>
      </c>
      <c r="F77" s="8">
        <f>Vand!N77</f>
        <v>1719671.5763557656</v>
      </c>
      <c r="G77" s="8"/>
      <c r="H77" s="18">
        <v>0</v>
      </c>
      <c r="I77" s="19"/>
      <c r="J77" s="8">
        <f t="shared" si="8"/>
        <v>0</v>
      </c>
      <c r="K77" s="8">
        <f t="shared" si="9"/>
        <v>0</v>
      </c>
      <c r="L77" s="17">
        <v>1</v>
      </c>
      <c r="N77" s="18">
        <f t="shared" si="10"/>
        <v>0</v>
      </c>
      <c r="O77" s="18">
        <f>IF(Vand!CB77&lt;Vand!$BS$132,(Vand!CB77-Vand!$BS$132)/100,0)</f>
        <v>0</v>
      </c>
      <c r="P77" s="18">
        <f>Vand!CC77/100</f>
        <v>0</v>
      </c>
      <c r="Q77" s="18">
        <f t="shared" si="11"/>
        <v>0</v>
      </c>
      <c r="R77" s="18">
        <f t="shared" si="12"/>
        <v>0</v>
      </c>
      <c r="S77" s="18">
        <f t="shared" si="13"/>
        <v>0</v>
      </c>
      <c r="T77" s="8">
        <f t="shared" si="14"/>
        <v>0</v>
      </c>
      <c r="U77" s="8">
        <f t="shared" si="15"/>
        <v>0</v>
      </c>
    </row>
    <row r="78" spans="1:21" ht="15">
      <c r="A78" s="7" t="s">
        <v>81</v>
      </c>
      <c r="B78" s="8">
        <f>Vand!H78</f>
        <v>4561879.117084334</v>
      </c>
      <c r="C78" s="8">
        <f>Vand!J78</f>
        <v>8340599.274944547</v>
      </c>
      <c r="D78" s="8">
        <f>Vand!K78</f>
        <v>8169533.1234143535</v>
      </c>
      <c r="E78" s="8">
        <f>Vand!M78</f>
        <v>9709163.010069847</v>
      </c>
      <c r="F78" s="8">
        <f>Vand!N78</f>
        <v>9538096.858539654</v>
      </c>
      <c r="G78" s="8"/>
      <c r="H78" s="18">
        <v>0</v>
      </c>
      <c r="I78" s="19"/>
      <c r="J78" s="8">
        <f t="shared" si="8"/>
        <v>0</v>
      </c>
      <c r="K78" s="8">
        <f t="shared" si="9"/>
        <v>0</v>
      </c>
      <c r="L78" s="17">
        <v>1</v>
      </c>
      <c r="N78" s="18">
        <f t="shared" si="10"/>
        <v>0</v>
      </c>
      <c r="O78" s="18">
        <f>IF(Vand!CB78&lt;Vand!$BS$132,(Vand!CB78-Vand!$BS$132)/100,0)</f>
        <v>0</v>
      </c>
      <c r="P78" s="18">
        <f>Vand!CC78/100</f>
        <v>0</v>
      </c>
      <c r="Q78" s="18">
        <f t="shared" si="11"/>
        <v>0</v>
      </c>
      <c r="R78" s="18">
        <f t="shared" si="12"/>
        <v>0</v>
      </c>
      <c r="S78" s="18">
        <f t="shared" si="13"/>
        <v>0</v>
      </c>
      <c r="T78" s="8">
        <f t="shared" si="14"/>
        <v>0</v>
      </c>
      <c r="U78" s="8">
        <f t="shared" si="15"/>
        <v>0</v>
      </c>
    </row>
    <row r="79" spans="1:21" ht="15">
      <c r="A79" s="7" t="s">
        <v>82</v>
      </c>
      <c r="B79" s="8">
        <f>Vand!H79</f>
        <v>809388</v>
      </c>
      <c r="C79" s="8">
        <f>Vand!J79</f>
        <v>1416117.4886170162</v>
      </c>
      <c r="D79" s="8">
        <f>Vand!K79</f>
        <v>1389999.3888745483</v>
      </c>
      <c r="E79" s="8">
        <f>Vand!M79</f>
        <v>1658933.8886170161</v>
      </c>
      <c r="F79" s="8">
        <f>Vand!N79</f>
        <v>1632815.7888745482</v>
      </c>
      <c r="G79" s="8"/>
      <c r="H79" s="18">
        <v>0</v>
      </c>
      <c r="I79" s="19"/>
      <c r="J79" s="8">
        <f t="shared" si="8"/>
        <v>0</v>
      </c>
      <c r="K79" s="8">
        <f t="shared" si="9"/>
        <v>0</v>
      </c>
      <c r="L79" s="17">
        <v>1</v>
      </c>
      <c r="N79" s="18">
        <f t="shared" si="10"/>
        <v>0</v>
      </c>
      <c r="O79" s="18">
        <f>IF(Vand!CB79&lt;Vand!$BS$132,(Vand!CB79-Vand!$BS$132)/100,0)</f>
        <v>-0.014157369382778687</v>
      </c>
      <c r="P79" s="18">
        <f>Vand!CC79/100</f>
        <v>-0.0065407046548437535</v>
      </c>
      <c r="Q79" s="18">
        <f t="shared" si="11"/>
        <v>-0.0065407046548437535</v>
      </c>
      <c r="R79" s="18">
        <f t="shared" si="12"/>
        <v>-0.0016351761637109384</v>
      </c>
      <c r="S79" s="18">
        <f t="shared" si="13"/>
        <v>0</v>
      </c>
      <c r="T79" s="8">
        <f t="shared" si="14"/>
        <v>-5293.967859174676</v>
      </c>
      <c r="U79" s="8">
        <f t="shared" si="15"/>
        <v>0</v>
      </c>
    </row>
    <row r="80" spans="1:21" ht="15">
      <c r="A80" s="7" t="s">
        <v>83</v>
      </c>
      <c r="B80" s="8">
        <f>Vand!H80</f>
        <v>799378.9375082</v>
      </c>
      <c r="C80" s="8">
        <f>Vand!J80</f>
        <v>1397688.1722522986</v>
      </c>
      <c r="D80" s="8">
        <f>Vand!K80</f>
        <v>1400540.5161863104</v>
      </c>
      <c r="E80" s="8">
        <f>Vand!M80</f>
        <v>1637501.8535047586</v>
      </c>
      <c r="F80" s="8">
        <f>Vand!N80</f>
        <v>1640354.1974387704</v>
      </c>
      <c r="G80" s="8"/>
      <c r="H80" s="18">
        <v>0</v>
      </c>
      <c r="I80" s="19"/>
      <c r="J80" s="8">
        <f t="shared" si="8"/>
        <v>0</v>
      </c>
      <c r="K80" s="8">
        <f t="shared" si="9"/>
        <v>0</v>
      </c>
      <c r="L80" s="17">
        <v>1</v>
      </c>
      <c r="N80" s="18">
        <f t="shared" si="10"/>
        <v>0</v>
      </c>
      <c r="O80" s="18">
        <f>IF(Vand!CB80&lt;Vand!$BS$132,(Vand!CB80-Vand!$BS$132)/100,0)</f>
        <v>0</v>
      </c>
      <c r="P80" s="18">
        <f>Vand!CC80/100</f>
        <v>0</v>
      </c>
      <c r="Q80" s="18">
        <f t="shared" si="11"/>
        <v>0</v>
      </c>
      <c r="R80" s="18">
        <f t="shared" si="12"/>
        <v>0</v>
      </c>
      <c r="S80" s="18">
        <f t="shared" si="13"/>
        <v>0</v>
      </c>
      <c r="T80" s="8">
        <f t="shared" si="14"/>
        <v>0</v>
      </c>
      <c r="U80" s="8">
        <f t="shared" si="15"/>
        <v>0</v>
      </c>
    </row>
    <row r="81" spans="1:21" ht="15">
      <c r="A81" s="7" t="s">
        <v>84</v>
      </c>
      <c r="B81" s="8">
        <f>Vand!H81</f>
        <v>670354.9303598</v>
      </c>
      <c r="C81" s="8">
        <f>Vand!J81</f>
        <v>1093376.84536211</v>
      </c>
      <c r="D81" s="8">
        <f>Vand!K81</f>
        <v>1168656.4086231845</v>
      </c>
      <c r="E81" s="8">
        <f>Vand!M81</f>
        <v>1294483.3244700502</v>
      </c>
      <c r="F81" s="8">
        <f>Vand!N81</f>
        <v>1369762.8877311246</v>
      </c>
      <c r="G81" s="8"/>
      <c r="H81" s="18">
        <v>0.01407422168661332</v>
      </c>
      <c r="I81" s="19"/>
      <c r="J81" s="8">
        <f t="shared" si="8"/>
        <v>9434.723898598058</v>
      </c>
      <c r="K81" s="8">
        <f t="shared" si="9"/>
        <v>0</v>
      </c>
      <c r="L81" s="17">
        <v>1</v>
      </c>
      <c r="N81" s="18">
        <f t="shared" si="10"/>
        <v>0</v>
      </c>
      <c r="O81" s="18">
        <f>IF(Vand!CB81&lt;Vand!$BS$132,(Vand!CB81-Vand!$BS$132)/100,0)</f>
        <v>0</v>
      </c>
      <c r="P81" s="18">
        <f>Vand!CC81/100</f>
        <v>0</v>
      </c>
      <c r="Q81" s="18">
        <f t="shared" si="11"/>
        <v>0</v>
      </c>
      <c r="R81" s="18">
        <f t="shared" si="12"/>
        <v>0</v>
      </c>
      <c r="S81" s="18">
        <f t="shared" si="13"/>
        <v>0</v>
      </c>
      <c r="T81" s="8">
        <f t="shared" si="14"/>
        <v>0</v>
      </c>
      <c r="U81" s="8">
        <f t="shared" si="15"/>
        <v>0</v>
      </c>
    </row>
    <row r="82" spans="1:21" ht="15">
      <c r="A82" s="7" t="s">
        <v>85</v>
      </c>
      <c r="B82" s="8">
        <f>Vand!H82</f>
        <v>2511045.65977685</v>
      </c>
      <c r="C82" s="8">
        <f>Vand!J82</f>
        <v>2387979.23317001</v>
      </c>
      <c r="D82" s="8">
        <f>Vand!K82</f>
        <v>2446990.90413417</v>
      </c>
      <c r="E82" s="8">
        <f>Vand!M82</f>
        <v>3141292.931103065</v>
      </c>
      <c r="F82" s="8">
        <f>Vand!N82</f>
        <v>3200304.602067225</v>
      </c>
      <c r="G82" s="8"/>
      <c r="H82" s="18">
        <v>0.43326653285509287</v>
      </c>
      <c r="I82" s="19"/>
      <c r="J82" s="8">
        <f t="shared" si="8"/>
        <v>1087952.0468523449</v>
      </c>
      <c r="K82" s="8">
        <f t="shared" si="9"/>
        <v>0</v>
      </c>
      <c r="L82" s="17">
        <v>0.7447914012684921</v>
      </c>
      <c r="N82" s="18">
        <f t="shared" si="10"/>
        <v>0.2552085987315079</v>
      </c>
      <c r="O82" s="18">
        <f>IF(Vand!CB82&lt;Vand!$BS$132,(Vand!CB82-Vand!$BS$132)/100,0)</f>
        <v>0</v>
      </c>
      <c r="P82" s="18">
        <f>Vand!CC82/100</f>
        <v>0</v>
      </c>
      <c r="Q82" s="18">
        <f t="shared" si="11"/>
        <v>0</v>
      </c>
      <c r="R82" s="18">
        <f t="shared" si="12"/>
        <v>0.06380214968287698</v>
      </c>
      <c r="S82" s="18">
        <f t="shared" si="13"/>
        <v>0.05</v>
      </c>
      <c r="T82" s="8">
        <f t="shared" si="14"/>
        <v>640840.4441824846</v>
      </c>
      <c r="U82" s="8">
        <f t="shared" si="15"/>
        <v>125552.28298884252</v>
      </c>
    </row>
    <row r="83" spans="1:21" ht="15">
      <c r="A83" s="7" t="s">
        <v>86</v>
      </c>
      <c r="B83" s="8">
        <f>Vand!H83</f>
        <v>2031624.3952802</v>
      </c>
      <c r="C83" s="8">
        <f>Vand!J83</f>
        <v>1360585.356888774</v>
      </c>
      <c r="D83" s="8">
        <f>Vand!K83</f>
        <v>1551726.020511828</v>
      </c>
      <c r="E83" s="8">
        <f>Vand!M83</f>
        <v>1970072.6754728341</v>
      </c>
      <c r="F83" s="8">
        <f>Vand!N83</f>
        <v>2161213.3390958877</v>
      </c>
      <c r="G83" s="8"/>
      <c r="H83" s="18">
        <v>0.5819991097904289</v>
      </c>
      <c r="I83" s="19"/>
      <c r="J83" s="8">
        <f t="shared" si="8"/>
        <v>1182403.589481595</v>
      </c>
      <c r="K83" s="8">
        <f t="shared" si="9"/>
        <v>0</v>
      </c>
      <c r="L83" s="17">
        <v>0.5936686290753261</v>
      </c>
      <c r="N83" s="18">
        <f t="shared" si="10"/>
        <v>0.40633137092467386</v>
      </c>
      <c r="O83" s="18">
        <f>IF(Vand!CB83&lt;Vand!$BS$132,(Vand!CB83-Vand!$BS$132)/100,0)</f>
        <v>0</v>
      </c>
      <c r="P83" s="18">
        <f>Vand!CC83/100</f>
        <v>0</v>
      </c>
      <c r="Q83" s="18">
        <f t="shared" si="11"/>
        <v>0</v>
      </c>
      <c r="R83" s="18">
        <f t="shared" si="12"/>
        <v>0.10158284273116847</v>
      </c>
      <c r="S83" s="18">
        <f t="shared" si="13"/>
        <v>0.05</v>
      </c>
      <c r="T83" s="8">
        <f t="shared" si="14"/>
        <v>825512.7257382151</v>
      </c>
      <c r="U83" s="8">
        <f t="shared" si="15"/>
        <v>101581.21976401</v>
      </c>
    </row>
    <row r="84" spans="1:21" ht="15">
      <c r="A84" s="7" t="s">
        <v>87</v>
      </c>
      <c r="B84" s="8">
        <f>Vand!H84</f>
        <v>2911905.1184986</v>
      </c>
      <c r="C84" s="8">
        <f>Vand!J84</f>
        <v>2966127.0085560954</v>
      </c>
      <c r="D84" s="8">
        <f>Vand!K84</f>
        <v>3091695.191642779</v>
      </c>
      <c r="E84" s="8">
        <f>Vand!M84</f>
        <v>3839698.5441056755</v>
      </c>
      <c r="F84" s="8">
        <f>Vand!N84</f>
        <v>3965266.727192359</v>
      </c>
      <c r="G84" s="8"/>
      <c r="H84" s="18">
        <v>0.3912087</v>
      </c>
      <c r="I84" s="19"/>
      <c r="J84" s="8">
        <f t="shared" si="8"/>
        <v>1139162.6159311833</v>
      </c>
      <c r="K84" s="8">
        <f t="shared" si="9"/>
        <v>0</v>
      </c>
      <c r="L84" s="17">
        <v>0.7868793</v>
      </c>
      <c r="N84" s="18">
        <f t="shared" si="10"/>
        <v>0.21312070000000005</v>
      </c>
      <c r="O84" s="18">
        <f>IF(Vand!CB84&lt;Vand!$BS$132,(Vand!CB84-Vand!$BS$132)/100,0)</f>
        <v>-0.017927766286724295</v>
      </c>
      <c r="P84" s="18">
        <f>Vand!CC84/100</f>
        <v>-0.008282628024466623</v>
      </c>
      <c r="Q84" s="18">
        <f t="shared" si="11"/>
        <v>0.20483807197553344</v>
      </c>
      <c r="R84" s="18">
        <f>IF(P84&lt;0,(N84+P84)/4,N84/4)*(4/5)</f>
        <v>0.04096761439510669</v>
      </c>
      <c r="S84" s="18">
        <f t="shared" si="13"/>
        <v>0.04096761439510669</v>
      </c>
      <c r="T84" s="8">
        <f t="shared" si="14"/>
        <v>596469.0302489405</v>
      </c>
      <c r="U84" s="8">
        <f t="shared" si="15"/>
        <v>119293.8060497881</v>
      </c>
    </row>
    <row r="85" spans="1:21" ht="15">
      <c r="A85" s="7" t="s">
        <v>88</v>
      </c>
      <c r="B85" s="8">
        <f>Vand!H85</f>
        <v>4841498.4505286</v>
      </c>
      <c r="C85" s="8">
        <f>Vand!J85</f>
        <v>5331540.305124323</v>
      </c>
      <c r="D85" s="8">
        <f>Vand!K85</f>
        <v>5460632.12492311</v>
      </c>
      <c r="E85" s="8">
        <f>Vand!M85</f>
        <v>6783989.840282903</v>
      </c>
      <c r="F85" s="8">
        <f>Vand!N85</f>
        <v>6913081.66008169</v>
      </c>
      <c r="G85" s="8"/>
      <c r="H85" s="18">
        <v>0.34379370156875677</v>
      </c>
      <c r="I85" s="19"/>
      <c r="J85" s="8">
        <f aca="true" t="shared" si="16" ref="J85:J121">H85*B85</f>
        <v>1664476.6734466278</v>
      </c>
      <c r="K85" s="8">
        <f aca="true" t="shared" si="17" ref="K85:K121">I85*B85</f>
        <v>0</v>
      </c>
      <c r="L85" s="17">
        <v>0.8342642588364707</v>
      </c>
      <c r="N85" s="18">
        <f aca="true" t="shared" si="18" ref="N85:N121">1-L85</f>
        <v>0.1657357411635293</v>
      </c>
      <c r="O85" s="18">
        <f>IF(Vand!CB85&lt;Vand!$BS$132,(Vand!CB85-Vand!$BS$132)/100,0)</f>
        <v>0</v>
      </c>
      <c r="P85" s="18">
        <f>Vand!CC85/100</f>
        <v>0</v>
      </c>
      <c r="Q85" s="18">
        <f aca="true" t="shared" si="19" ref="Q85:Q121">IF(P85&lt;0,N85+P85,0)</f>
        <v>0</v>
      </c>
      <c r="R85" s="18">
        <f aca="true" t="shared" si="20" ref="R85:R121">IF(P85&lt;0,(N85+P85)/4,N85/4)</f>
        <v>0.04143393529088232</v>
      </c>
      <c r="S85" s="18">
        <f aca="true" t="shared" si="21" ref="S85:S121">IF(R85&gt;=0.05,0.05,IF(R85&gt;=0.01,R85,0))</f>
        <v>0.04143393529088232</v>
      </c>
      <c r="T85" s="8">
        <f aca="true" t="shared" si="22" ref="T85:T121">IF(P85&lt;0,(N85+P85)*B85,N85*B85)</f>
        <v>802409.3340404362</v>
      </c>
      <c r="U85" s="8">
        <f aca="true" t="shared" si="23" ref="U85:U121">B85*S85</f>
        <v>200602.33351010905</v>
      </c>
    </row>
    <row r="86" spans="1:21" ht="15">
      <c r="A86" s="7" t="s">
        <v>89</v>
      </c>
      <c r="B86" s="8">
        <f>Vand!H86</f>
        <v>1959670.0609098668</v>
      </c>
      <c r="C86" s="8">
        <f>Vand!J86</f>
        <v>1899763.5091255498</v>
      </c>
      <c r="D86" s="8">
        <f>Vand!K86</f>
        <v>1858242.6903087595</v>
      </c>
      <c r="E86" s="8">
        <f>Vand!M86</f>
        <v>2487664.52739851</v>
      </c>
      <c r="F86" s="8">
        <f>Vand!N86</f>
        <v>2446143.7085817195</v>
      </c>
      <c r="G86" s="8"/>
      <c r="H86" s="18">
        <v>0.4255389190982636</v>
      </c>
      <c r="I86" s="19"/>
      <c r="J86" s="8">
        <f t="shared" si="16"/>
        <v>833915.879508813</v>
      </c>
      <c r="K86" s="8">
        <f t="shared" si="17"/>
        <v>0</v>
      </c>
      <c r="L86" s="17">
        <v>0.7522338168432595</v>
      </c>
      <c r="N86" s="18">
        <f t="shared" si="18"/>
        <v>0.24776618315674048</v>
      </c>
      <c r="O86" s="18">
        <f>IF(Vand!CB86&lt;Vand!$BS$132,(Vand!CB86-Vand!$BS$132)/100,0)</f>
        <v>0</v>
      </c>
      <c r="P86" s="18">
        <f>Vand!CC86/100</f>
        <v>0</v>
      </c>
      <c r="Q86" s="18">
        <f t="shared" si="19"/>
        <v>0</v>
      </c>
      <c r="R86" s="18">
        <f t="shared" si="20"/>
        <v>0.06194154578918512</v>
      </c>
      <c r="S86" s="18">
        <f t="shared" si="21"/>
        <v>0.05</v>
      </c>
      <c r="T86" s="8">
        <f t="shared" si="22"/>
        <v>485539.9712381748</v>
      </c>
      <c r="U86" s="8">
        <f t="shared" si="23"/>
        <v>97983.50304549334</v>
      </c>
    </row>
    <row r="87" spans="1:21" ht="15">
      <c r="A87" s="7" t="s">
        <v>90</v>
      </c>
      <c r="B87" s="8">
        <f>Vand!H87</f>
        <v>1424960.8120244</v>
      </c>
      <c r="C87" s="8">
        <f>Vand!J87</f>
        <v>2511295.488193127</v>
      </c>
      <c r="D87" s="8">
        <f>Vand!K87</f>
        <v>2730121.3865784635</v>
      </c>
      <c r="E87" s="8">
        <f>Vand!M87</f>
        <v>2938783.7318004468</v>
      </c>
      <c r="F87" s="8">
        <f>Vand!N87</f>
        <v>3157609.6301857834</v>
      </c>
      <c r="G87" s="8"/>
      <c r="H87" s="18">
        <v>0</v>
      </c>
      <c r="I87" s="19"/>
      <c r="J87" s="8">
        <f t="shared" si="16"/>
        <v>0</v>
      </c>
      <c r="K87" s="8">
        <f t="shared" si="17"/>
        <v>0</v>
      </c>
      <c r="L87" s="17">
        <v>1</v>
      </c>
      <c r="N87" s="18">
        <f t="shared" si="18"/>
        <v>0</v>
      </c>
      <c r="O87" s="18">
        <f>IF(Vand!CB87&lt;Vand!$BS$132,(Vand!CB87-Vand!$BS$132)/100,0)</f>
        <v>-0.00853624788647247</v>
      </c>
      <c r="P87" s="18">
        <f>Vand!CC87/100</f>
        <v>-0.003943746523550281</v>
      </c>
      <c r="Q87" s="18">
        <f t="shared" si="19"/>
        <v>-0.003943746523550281</v>
      </c>
      <c r="R87" s="18">
        <f t="shared" si="20"/>
        <v>-0.0009859366308875702</v>
      </c>
      <c r="S87" s="18">
        <f t="shared" si="21"/>
        <v>0</v>
      </c>
      <c r="T87" s="8">
        <f t="shared" si="22"/>
        <v>-5619.684248616613</v>
      </c>
      <c r="U87" s="8">
        <f t="shared" si="23"/>
        <v>0</v>
      </c>
    </row>
    <row r="88" spans="1:21" ht="15">
      <c r="A88" s="7" t="s">
        <v>91</v>
      </c>
      <c r="B88" s="8">
        <f>Vand!H88</f>
        <v>2376426</v>
      </c>
      <c r="C88" s="8">
        <f>Vand!J88</f>
        <v>3996584.149447928</v>
      </c>
      <c r="D88" s="8">
        <f>Vand!K88</f>
        <v>3569161.7621624395</v>
      </c>
      <c r="E88" s="8">
        <f>Vand!M88</f>
        <v>4709511.949447928</v>
      </c>
      <c r="F88" s="8">
        <f>Vand!N88</f>
        <v>4282089.562162439</v>
      </c>
      <c r="G88" s="8"/>
      <c r="H88" s="18">
        <v>0.0034282965257965703</v>
      </c>
      <c r="I88" s="19"/>
      <c r="J88" s="8">
        <f t="shared" si="16"/>
        <v>8147.092999612641</v>
      </c>
      <c r="K88" s="8">
        <f t="shared" si="17"/>
        <v>0</v>
      </c>
      <c r="L88" s="17">
        <v>1</v>
      </c>
      <c r="N88" s="18">
        <f t="shared" si="18"/>
        <v>0</v>
      </c>
      <c r="O88" s="18">
        <f>IF(Vand!CB88&lt;Vand!$BS$132,(Vand!CB88-Vand!$BS$132)/100,0)</f>
        <v>0</v>
      </c>
      <c r="P88" s="18">
        <f>Vand!CC88/100</f>
        <v>0</v>
      </c>
      <c r="Q88" s="18">
        <f t="shared" si="19"/>
        <v>0</v>
      </c>
      <c r="R88" s="18">
        <f t="shared" si="20"/>
        <v>0</v>
      </c>
      <c r="S88" s="18">
        <f t="shared" si="21"/>
        <v>0</v>
      </c>
      <c r="T88" s="8">
        <f t="shared" si="22"/>
        <v>0</v>
      </c>
      <c r="U88" s="8">
        <f t="shared" si="23"/>
        <v>0</v>
      </c>
    </row>
    <row r="89" spans="1:21" ht="15">
      <c r="A89" s="7" t="s">
        <v>6</v>
      </c>
      <c r="B89" s="8">
        <f>Vand!H89</f>
        <v>1801456.4699999997</v>
      </c>
      <c r="C89" s="8">
        <f>Vand!J89</f>
        <v>1917692.6467339336</v>
      </c>
      <c r="D89" s="8">
        <f>Vand!K89</f>
        <v>1941617.075250769</v>
      </c>
      <c r="E89" s="8">
        <f>Vand!M89</f>
        <v>2458129.5877339337</v>
      </c>
      <c r="F89" s="8">
        <f>Vand!N89</f>
        <v>2482054.0162507687</v>
      </c>
      <c r="G89" s="8"/>
      <c r="H89" s="18">
        <v>0.3668795725149333</v>
      </c>
      <c r="I89" s="19"/>
      <c r="J89" s="8">
        <f t="shared" si="16"/>
        <v>660917.5796178607</v>
      </c>
      <c r="K89" s="8">
        <f t="shared" si="17"/>
        <v>0</v>
      </c>
      <c r="L89" s="17">
        <v>0.8111783802294852</v>
      </c>
      <c r="N89" s="18">
        <f t="shared" si="18"/>
        <v>0.18882161977051481</v>
      </c>
      <c r="O89" s="18">
        <f>IF(Vand!CB89&lt;Vand!$BS$132,(Vand!CB89-Vand!$BS$132)/100,0)</f>
        <v>0</v>
      </c>
      <c r="P89" s="18">
        <f>Vand!CC89/100</f>
        <v>0</v>
      </c>
      <c r="Q89" s="18">
        <f t="shared" si="19"/>
        <v>0</v>
      </c>
      <c r="R89" s="18">
        <f t="shared" si="20"/>
        <v>0.047205404942628704</v>
      </c>
      <c r="S89" s="18">
        <f t="shared" si="21"/>
        <v>0.047205404942628704</v>
      </c>
      <c r="T89" s="8">
        <f t="shared" si="22"/>
        <v>340153.92861147376</v>
      </c>
      <c r="U89" s="8">
        <f t="shared" si="23"/>
        <v>85038.48215286844</v>
      </c>
    </row>
    <row r="90" spans="1:21" ht="15">
      <c r="A90" s="7" t="s">
        <v>7</v>
      </c>
      <c r="B90" s="8">
        <f>Vand!H90</f>
        <v>7338.0463324</v>
      </c>
      <c r="C90" s="8">
        <f>Vand!J90</f>
        <v>38211.50291817677</v>
      </c>
      <c r="D90" s="8">
        <f>Vand!K90</f>
        <v>31600.912913332184</v>
      </c>
      <c r="E90" s="8">
        <f>Vand!M90</f>
        <v>40412.91681789677</v>
      </c>
      <c r="F90" s="8">
        <f>Vand!N90</f>
        <v>33802.32681305218</v>
      </c>
      <c r="G90" s="8"/>
      <c r="H90" s="18">
        <v>0</v>
      </c>
      <c r="I90" s="19"/>
      <c r="J90" s="8">
        <f t="shared" si="16"/>
        <v>0</v>
      </c>
      <c r="K90" s="8">
        <f t="shared" si="17"/>
        <v>0</v>
      </c>
      <c r="L90" s="17">
        <v>1</v>
      </c>
      <c r="N90" s="18">
        <f t="shared" si="18"/>
        <v>0</v>
      </c>
      <c r="O90" s="18">
        <f>IF(Vand!CB90&lt;Vand!$BS$132,(Vand!CB90-Vand!$BS$132)/100,0)</f>
        <v>0</v>
      </c>
      <c r="P90" s="18">
        <f>Vand!CC90/100</f>
        <v>0</v>
      </c>
      <c r="Q90" s="18">
        <f t="shared" si="19"/>
        <v>0</v>
      </c>
      <c r="R90" s="18">
        <f t="shared" si="20"/>
        <v>0</v>
      </c>
      <c r="S90" s="18">
        <f t="shared" si="21"/>
        <v>0</v>
      </c>
      <c r="T90" s="8">
        <f t="shared" si="22"/>
        <v>0</v>
      </c>
      <c r="U90" s="8">
        <f t="shared" si="23"/>
        <v>0</v>
      </c>
    </row>
    <row r="91" spans="1:21" ht="15">
      <c r="A91" s="7" t="s">
        <v>92</v>
      </c>
      <c r="B91" s="8">
        <f>Vand!H91</f>
        <v>14045479.4540298</v>
      </c>
      <c r="C91" s="8">
        <f>Vand!J91</f>
        <v>23140850.15634876</v>
      </c>
      <c r="D91" s="8">
        <f>Vand!K91</f>
        <v>23849778.304319885</v>
      </c>
      <c r="E91" s="8">
        <f>Vand!M91</f>
        <v>27354493.9925577</v>
      </c>
      <c r="F91" s="8">
        <f>Vand!N91</f>
        <v>28063422.140528824</v>
      </c>
      <c r="G91" s="8"/>
      <c r="H91" s="18">
        <v>0.017195118870156678</v>
      </c>
      <c r="I91" s="19"/>
      <c r="J91" s="8">
        <f t="shared" si="16"/>
        <v>241513.68880038575</v>
      </c>
      <c r="K91" s="8">
        <f t="shared" si="17"/>
        <v>0</v>
      </c>
      <c r="L91" s="17">
        <v>1</v>
      </c>
      <c r="N91" s="18">
        <f t="shared" si="18"/>
        <v>0</v>
      </c>
      <c r="O91" s="18">
        <f>IF(Vand!CB91&lt;Vand!$BS$132,(Vand!CB91-Vand!$BS$132)/100,0)</f>
        <v>0</v>
      </c>
      <c r="P91" s="18">
        <f>Vand!CC91/100</f>
        <v>0</v>
      </c>
      <c r="Q91" s="18">
        <f t="shared" si="19"/>
        <v>0</v>
      </c>
      <c r="R91" s="18">
        <f t="shared" si="20"/>
        <v>0</v>
      </c>
      <c r="S91" s="18">
        <f t="shared" si="21"/>
        <v>0</v>
      </c>
      <c r="T91" s="8">
        <f t="shared" si="22"/>
        <v>0</v>
      </c>
      <c r="U91" s="8">
        <f t="shared" si="23"/>
        <v>0</v>
      </c>
    </row>
    <row r="92" spans="1:21" ht="15">
      <c r="A92" s="7" t="s">
        <v>93</v>
      </c>
      <c r="B92" s="8">
        <f>Vand!H92</f>
        <v>1672057.7902658</v>
      </c>
      <c r="C92" s="8">
        <f>Vand!J92</f>
        <v>1545540.6077432574</v>
      </c>
      <c r="D92" s="8">
        <f>Vand!K92</f>
        <v>1469976.8756556897</v>
      </c>
      <c r="E92" s="8">
        <f>Vand!M92</f>
        <v>2047157.9448229973</v>
      </c>
      <c r="F92" s="8">
        <f>Vand!N92</f>
        <v>1971594.2127354296</v>
      </c>
      <c r="G92" s="8"/>
      <c r="H92" s="18">
        <v>0.4522617196297465</v>
      </c>
      <c r="I92" s="19"/>
      <c r="J92" s="8">
        <f t="shared" si="16"/>
        <v>756207.7315459247</v>
      </c>
      <c r="K92" s="8">
        <f t="shared" si="17"/>
        <v>0</v>
      </c>
      <c r="L92" s="17">
        <v>0.725510874552152</v>
      </c>
      <c r="N92" s="18">
        <f t="shared" si="18"/>
        <v>0.274489125447848</v>
      </c>
      <c r="O92" s="18">
        <f>IF(Vand!CB92&lt;Vand!$BS$132,(Vand!CB92-Vand!$BS$132)/100,0)</f>
        <v>0</v>
      </c>
      <c r="P92" s="18">
        <f>Vand!CC92/100</f>
        <v>0</v>
      </c>
      <c r="Q92" s="18">
        <f t="shared" si="19"/>
        <v>0</v>
      </c>
      <c r="R92" s="18">
        <f t="shared" si="20"/>
        <v>0.068622281361962</v>
      </c>
      <c r="S92" s="18">
        <f t="shared" si="21"/>
        <v>0.05</v>
      </c>
      <c r="T92" s="8">
        <f t="shared" si="22"/>
        <v>458961.68054832064</v>
      </c>
      <c r="U92" s="8">
        <f t="shared" si="23"/>
        <v>83602.88951329</v>
      </c>
    </row>
    <row r="93" spans="1:21" ht="15">
      <c r="A93" s="7" t="s">
        <v>94</v>
      </c>
      <c r="B93" s="8">
        <f>Vand!H93</f>
        <v>556335.0449916001</v>
      </c>
      <c r="C93" s="8">
        <f>Vand!J93</f>
        <v>1453914.4645656284</v>
      </c>
      <c r="D93" s="8">
        <f>Vand!K93</f>
        <v>1381977.006000578</v>
      </c>
      <c r="E93" s="8">
        <f>Vand!M93</f>
        <v>1620814.9780631084</v>
      </c>
      <c r="F93" s="8">
        <f>Vand!N93</f>
        <v>1548877.519498058</v>
      </c>
      <c r="G93" s="20"/>
      <c r="H93" s="18">
        <v>0</v>
      </c>
      <c r="I93" s="19"/>
      <c r="J93" s="8">
        <f t="shared" si="16"/>
        <v>0</v>
      </c>
      <c r="K93" s="8">
        <f t="shared" si="17"/>
        <v>0</v>
      </c>
      <c r="L93" s="17">
        <v>1</v>
      </c>
      <c r="N93" s="18">
        <f t="shared" si="18"/>
        <v>0</v>
      </c>
      <c r="O93" s="18">
        <f>IF(Vand!CB93&lt;Vand!$BS$132,(Vand!CB93-Vand!$BS$132)/100,0)</f>
        <v>0</v>
      </c>
      <c r="P93" s="18">
        <f>Vand!CC93/100</f>
        <v>0</v>
      </c>
      <c r="Q93" s="18">
        <f t="shared" si="19"/>
        <v>0</v>
      </c>
      <c r="R93" s="18">
        <f t="shared" si="20"/>
        <v>0</v>
      </c>
      <c r="S93" s="18">
        <f t="shared" si="21"/>
        <v>0</v>
      </c>
      <c r="T93" s="8">
        <f t="shared" si="22"/>
        <v>0</v>
      </c>
      <c r="U93" s="8">
        <f t="shared" si="23"/>
        <v>0</v>
      </c>
    </row>
    <row r="94" spans="1:21" ht="15">
      <c r="A94" s="7" t="s">
        <v>95</v>
      </c>
      <c r="B94" s="8">
        <f>Vand!H94</f>
        <v>1847265.028245</v>
      </c>
      <c r="C94" s="8">
        <f>Vand!J94</f>
        <v>2672398.062829275</v>
      </c>
      <c r="D94" s="8">
        <f>Vand!K94</f>
        <v>2922904.8590664207</v>
      </c>
      <c r="E94" s="8">
        <f>Vand!M94</f>
        <v>3226577.5713027753</v>
      </c>
      <c r="F94" s="8">
        <f>Vand!N94</f>
        <v>3477084.367539921</v>
      </c>
      <c r="G94" s="8"/>
      <c r="H94" s="18">
        <v>0.11562457607464216</v>
      </c>
      <c r="I94" s="19"/>
      <c r="J94" s="8">
        <f t="shared" si="16"/>
        <v>213589.23578833998</v>
      </c>
      <c r="K94" s="8">
        <f t="shared" si="17"/>
        <v>0</v>
      </c>
      <c r="L94" s="17">
        <v>1</v>
      </c>
      <c r="N94" s="18">
        <f t="shared" si="18"/>
        <v>0</v>
      </c>
      <c r="O94" s="18">
        <f>IF(Vand!CB94&lt;Vand!$BS$132,(Vand!CB94-Vand!$BS$132)/100,0)</f>
        <v>0</v>
      </c>
      <c r="P94" s="18">
        <f>Vand!CC94/100</f>
        <v>0</v>
      </c>
      <c r="Q94" s="18">
        <f t="shared" si="19"/>
        <v>0</v>
      </c>
      <c r="R94" s="18">
        <f t="shared" si="20"/>
        <v>0</v>
      </c>
      <c r="S94" s="18">
        <f t="shared" si="21"/>
        <v>0</v>
      </c>
      <c r="T94" s="8">
        <f t="shared" si="22"/>
        <v>0</v>
      </c>
      <c r="U94" s="8">
        <f t="shared" si="23"/>
        <v>0</v>
      </c>
    </row>
    <row r="95" spans="1:21" ht="15">
      <c r="A95" s="7" t="s">
        <v>8</v>
      </c>
      <c r="B95" s="8">
        <f>Vand!H95</f>
        <v>5402425.9031358</v>
      </c>
      <c r="C95" s="8">
        <f>Vand!J95</f>
        <v>7283365.646192161</v>
      </c>
      <c r="D95" s="8">
        <f>Vand!K95</f>
        <v>7290827.3969037635</v>
      </c>
      <c r="E95" s="8">
        <f>Vand!M95</f>
        <v>8904093.417132901</v>
      </c>
      <c r="F95" s="8">
        <f>Vand!N95</f>
        <v>8911555.167844504</v>
      </c>
      <c r="G95" s="8"/>
      <c r="H95" s="18">
        <v>0.23811348676379518</v>
      </c>
      <c r="I95" s="19">
        <v>0.1996932</v>
      </c>
      <c r="J95" s="8">
        <f t="shared" si="16"/>
        <v>1286390.4687787106</v>
      </c>
      <c r="K95" s="8">
        <f t="shared" si="17"/>
        <v>1078827.7163600777</v>
      </c>
      <c r="L95" s="17">
        <v>0.9783646</v>
      </c>
      <c r="N95" s="18">
        <f t="shared" si="18"/>
        <v>0.02163539999999997</v>
      </c>
      <c r="O95" s="18">
        <f>IF(Vand!CB95&lt;Vand!$BS$132,(Vand!CB95-Vand!$BS$132)/100,0)</f>
        <v>0</v>
      </c>
      <c r="P95" s="18">
        <f>Vand!CC95/100</f>
        <v>0</v>
      </c>
      <c r="Q95" s="18">
        <f t="shared" si="19"/>
        <v>0</v>
      </c>
      <c r="R95" s="18">
        <f t="shared" si="20"/>
        <v>0.005408849999999993</v>
      </c>
      <c r="S95" s="18">
        <f t="shared" si="21"/>
        <v>0</v>
      </c>
      <c r="T95" s="8">
        <f t="shared" si="22"/>
        <v>116883.64538470413</v>
      </c>
      <c r="U95" s="8">
        <f t="shared" si="23"/>
        <v>0</v>
      </c>
    </row>
    <row r="96" spans="1:21" ht="15">
      <c r="A96" s="7" t="s">
        <v>96</v>
      </c>
      <c r="B96" s="8">
        <f>Vand!H96</f>
        <v>1225923.0175976001</v>
      </c>
      <c r="C96" s="8">
        <f>Vand!J96</f>
        <v>774220.2312861092</v>
      </c>
      <c r="D96" s="8">
        <f>Vand!K96</f>
        <v>751569.6077066141</v>
      </c>
      <c r="E96" s="8">
        <f>Vand!M96</f>
        <v>1141997.136565389</v>
      </c>
      <c r="F96" s="8">
        <f>Vand!N96</f>
        <v>1119346.512985894</v>
      </c>
      <c r="G96" s="8"/>
      <c r="H96" s="18">
        <v>0.6257644033090548</v>
      </c>
      <c r="I96" s="19"/>
      <c r="J96" s="8">
        <f t="shared" si="16"/>
        <v>767138.9856097981</v>
      </c>
      <c r="K96" s="8">
        <f t="shared" si="17"/>
        <v>0</v>
      </c>
      <c r="L96" s="17">
        <v>0.5520083809695813</v>
      </c>
      <c r="N96" s="18">
        <f t="shared" si="18"/>
        <v>0.44799161903041873</v>
      </c>
      <c r="O96" s="18">
        <f>IF(Vand!CB96&lt;Vand!$BS$132,(Vand!CB96-Vand!$BS$132)/100,0)</f>
        <v>0</v>
      </c>
      <c r="P96" s="18">
        <f>Vand!CC96/100</f>
        <v>0</v>
      </c>
      <c r="Q96" s="18">
        <f t="shared" si="19"/>
        <v>0</v>
      </c>
      <c r="R96" s="18">
        <f t="shared" si="20"/>
        <v>0.11199790475760468</v>
      </c>
      <c r="S96" s="18">
        <f t="shared" si="21"/>
        <v>0.05</v>
      </c>
      <c r="T96" s="8">
        <f t="shared" si="22"/>
        <v>549203.2374602054</v>
      </c>
      <c r="U96" s="8">
        <f t="shared" si="23"/>
        <v>61296.150879880006</v>
      </c>
    </row>
    <row r="97" spans="1:21" ht="15">
      <c r="A97" s="7" t="s">
        <v>97</v>
      </c>
      <c r="B97" s="8">
        <f>Vand!H97</f>
        <v>1202755</v>
      </c>
      <c r="C97" s="8">
        <f>Vand!J97</f>
        <v>2497013.520194249</v>
      </c>
      <c r="D97" s="8">
        <f>Vand!K97</f>
        <v>2306995.259713161</v>
      </c>
      <c r="E97" s="8">
        <f>Vand!M97</f>
        <v>2857840.020194249</v>
      </c>
      <c r="F97" s="8">
        <f>Vand!N97</f>
        <v>2667821.759713161</v>
      </c>
      <c r="G97" s="8"/>
      <c r="H97" s="18">
        <v>0</v>
      </c>
      <c r="I97" s="19"/>
      <c r="J97" s="8">
        <f t="shared" si="16"/>
        <v>0</v>
      </c>
      <c r="K97" s="8">
        <f t="shared" si="17"/>
        <v>0</v>
      </c>
      <c r="L97" s="17">
        <v>1</v>
      </c>
      <c r="N97" s="18">
        <f t="shared" si="18"/>
        <v>0</v>
      </c>
      <c r="O97" s="18">
        <f>IF(Vand!CB97&lt;Vand!$BS$132,(Vand!CB97-Vand!$BS$132)/100,0)</f>
        <v>0</v>
      </c>
      <c r="P97" s="18">
        <f>Vand!CC97/100</f>
        <v>0</v>
      </c>
      <c r="Q97" s="18">
        <f t="shared" si="19"/>
        <v>0</v>
      </c>
      <c r="R97" s="18">
        <f t="shared" si="20"/>
        <v>0</v>
      </c>
      <c r="S97" s="18">
        <f t="shared" si="21"/>
        <v>0</v>
      </c>
      <c r="T97" s="8">
        <f t="shared" si="22"/>
        <v>0</v>
      </c>
      <c r="U97" s="8">
        <f t="shared" si="23"/>
        <v>0</v>
      </c>
    </row>
    <row r="98" spans="1:21" ht="15">
      <c r="A98" s="7" t="s">
        <v>98</v>
      </c>
      <c r="B98" s="8">
        <f>Vand!H98</f>
        <v>1274116.4482032</v>
      </c>
      <c r="C98" s="8">
        <f>Vand!J98</f>
        <v>1817683.7450552972</v>
      </c>
      <c r="D98" s="8">
        <f>Vand!K98</f>
        <v>1875121.9272428004</v>
      </c>
      <c r="E98" s="8">
        <f>Vand!M98</f>
        <v>2199918.6795162573</v>
      </c>
      <c r="F98" s="8">
        <f>Vand!N98</f>
        <v>2257356.8617037605</v>
      </c>
      <c r="G98" s="8"/>
      <c r="H98" s="18">
        <v>0.14885697205947301</v>
      </c>
      <c r="I98" s="19"/>
      <c r="J98" s="8">
        <f t="shared" si="16"/>
        <v>189661.11653069875</v>
      </c>
      <c r="K98" s="8">
        <f t="shared" si="17"/>
        <v>0</v>
      </c>
      <c r="L98" s="17">
        <v>1</v>
      </c>
      <c r="N98" s="18">
        <f t="shared" si="18"/>
        <v>0</v>
      </c>
      <c r="O98" s="18">
        <f>IF(Vand!CB98&lt;Vand!$BS$132,(Vand!CB98-Vand!$BS$132)/100,0)</f>
        <v>0</v>
      </c>
      <c r="P98" s="18">
        <f>Vand!CC98/100</f>
        <v>0</v>
      </c>
      <c r="Q98" s="18">
        <f t="shared" si="19"/>
        <v>0</v>
      </c>
      <c r="R98" s="18">
        <f t="shared" si="20"/>
        <v>0</v>
      </c>
      <c r="S98" s="18">
        <f t="shared" si="21"/>
        <v>0</v>
      </c>
      <c r="T98" s="8">
        <f t="shared" si="22"/>
        <v>0</v>
      </c>
      <c r="U98" s="8">
        <f t="shared" si="23"/>
        <v>0</v>
      </c>
    </row>
    <row r="99" spans="1:21" ht="15">
      <c r="A99" s="7" t="s">
        <v>99</v>
      </c>
      <c r="B99" s="8">
        <f>Vand!H99</f>
        <v>3575959.7885886002</v>
      </c>
      <c r="C99" s="8">
        <f>Vand!J99</f>
        <v>4251882.549132643</v>
      </c>
      <c r="D99" s="8">
        <f>Vand!K99</f>
        <v>4680673.861223313</v>
      </c>
      <c r="E99" s="8">
        <f>Vand!M99</f>
        <v>5324670.485709223</v>
      </c>
      <c r="F99" s="8">
        <f>Vand!N99</f>
        <v>5753461.797799893</v>
      </c>
      <c r="G99" s="8"/>
      <c r="H99" s="18">
        <v>0.2708132560386629</v>
      </c>
      <c r="I99" s="19"/>
      <c r="J99" s="8">
        <f t="shared" si="16"/>
        <v>968417.3138110074</v>
      </c>
      <c r="K99" s="8">
        <f t="shared" si="17"/>
        <v>0</v>
      </c>
      <c r="L99" s="17">
        <v>0.9048543005784514</v>
      </c>
      <c r="N99" s="18">
        <f t="shared" si="18"/>
        <v>0.0951456994215486</v>
      </c>
      <c r="O99" s="18">
        <f>IF(Vand!CB99&lt;Vand!$BS$132,(Vand!CB99-Vand!$BS$132)/100,0)</f>
        <v>0</v>
      </c>
      <c r="P99" s="18">
        <f>Vand!CC99/100</f>
        <v>0</v>
      </c>
      <c r="Q99" s="18">
        <f t="shared" si="19"/>
        <v>0</v>
      </c>
      <c r="R99" s="18">
        <f>IF(P99&lt;0,(N99+P99)/4,N99/4)*0.25</f>
        <v>0.005946606213846788</v>
      </c>
      <c r="S99" s="18">
        <f t="shared" si="21"/>
        <v>0</v>
      </c>
      <c r="T99" s="8">
        <f t="shared" si="22"/>
        <v>340237.19518859545</v>
      </c>
      <c r="U99" s="8">
        <f t="shared" si="23"/>
        <v>0</v>
      </c>
    </row>
    <row r="100" spans="1:21" ht="15">
      <c r="A100" s="7" t="s">
        <v>100</v>
      </c>
      <c r="B100" s="8">
        <f>Vand!H100</f>
        <v>793865.48017</v>
      </c>
      <c r="C100" s="8">
        <f>Vand!J100</f>
        <v>997852.1678085545</v>
      </c>
      <c r="D100" s="8">
        <f>Vand!K100</f>
        <v>483958.3013871489</v>
      </c>
      <c r="E100" s="8">
        <f>Vand!M100</f>
        <v>1236011.8118595544</v>
      </c>
      <c r="F100" s="8">
        <f>Vand!N100</f>
        <v>722117.9454381489</v>
      </c>
      <c r="G100" s="8"/>
      <c r="H100" s="18">
        <v>0.2551593360553729</v>
      </c>
      <c r="I100" s="19"/>
      <c r="J100" s="8">
        <f t="shared" si="16"/>
        <v>202562.18883745698</v>
      </c>
      <c r="K100" s="8">
        <f t="shared" si="17"/>
        <v>0</v>
      </c>
      <c r="L100" s="17">
        <v>0.9226137731081645</v>
      </c>
      <c r="N100" s="18">
        <f t="shared" si="18"/>
        <v>0.0773862268918355</v>
      </c>
      <c r="O100" s="18">
        <f>IF(Vand!CB100&lt;Vand!$BS$132,(Vand!CB100-Vand!$BS$132)/100,0)</f>
        <v>0</v>
      </c>
      <c r="P100" s="18">
        <f>Vand!CC100/100</f>
        <v>0</v>
      </c>
      <c r="Q100" s="18">
        <f t="shared" si="19"/>
        <v>0</v>
      </c>
      <c r="R100" s="18">
        <f t="shared" si="20"/>
        <v>0.019346556722958874</v>
      </c>
      <c r="S100" s="18">
        <f t="shared" si="21"/>
        <v>0.019346556722958874</v>
      </c>
      <c r="T100" s="8">
        <f t="shared" si="22"/>
        <v>61434.254170031556</v>
      </c>
      <c r="U100" s="8">
        <f t="shared" si="23"/>
        <v>15358.563542507889</v>
      </c>
    </row>
    <row r="101" spans="1:21" ht="15">
      <c r="A101" s="7" t="s">
        <v>101</v>
      </c>
      <c r="B101" s="8">
        <f>Vand!H101</f>
        <v>1025875</v>
      </c>
      <c r="C101" s="8">
        <f>Vand!J101</f>
        <v>1694948.895591973</v>
      </c>
      <c r="D101" s="8">
        <f>Vand!K101</f>
        <v>1820732.6137072004</v>
      </c>
      <c r="E101" s="8">
        <f>Vand!M101</f>
        <v>2002711.395591973</v>
      </c>
      <c r="F101" s="8">
        <f>Vand!N101</f>
        <v>2128495.1137072006</v>
      </c>
      <c r="G101" s="8"/>
      <c r="H101" s="18">
        <v>0</v>
      </c>
      <c r="I101" s="19"/>
      <c r="J101" s="8">
        <f t="shared" si="16"/>
        <v>0</v>
      </c>
      <c r="K101" s="8">
        <f t="shared" si="17"/>
        <v>0</v>
      </c>
      <c r="L101" s="17">
        <v>1</v>
      </c>
      <c r="N101" s="18">
        <f t="shared" si="18"/>
        <v>0</v>
      </c>
      <c r="O101" s="18">
        <f>IF(Vand!CB101&lt;Vand!$BS$132,(Vand!CB101-Vand!$BS$132)/100,0)</f>
        <v>0</v>
      </c>
      <c r="P101" s="18">
        <f>Vand!CC101/100</f>
        <v>0</v>
      </c>
      <c r="Q101" s="18">
        <f t="shared" si="19"/>
        <v>0</v>
      </c>
      <c r="R101" s="18">
        <f t="shared" si="20"/>
        <v>0</v>
      </c>
      <c r="S101" s="18">
        <f t="shared" si="21"/>
        <v>0</v>
      </c>
      <c r="T101" s="8">
        <f t="shared" si="22"/>
        <v>0</v>
      </c>
      <c r="U101" s="8">
        <f t="shared" si="23"/>
        <v>0</v>
      </c>
    </row>
    <row r="102" spans="1:21" ht="15">
      <c r="A102" s="7" t="s">
        <v>102</v>
      </c>
      <c r="B102" s="8">
        <f>Vand!H102</f>
        <v>14484342.7200794</v>
      </c>
      <c r="C102" s="8">
        <f>Vand!J102</f>
        <v>15316888.37285931</v>
      </c>
      <c r="D102" s="8">
        <f>Vand!K102</f>
        <v>14631304.3046987</v>
      </c>
      <c r="E102" s="8">
        <f>Vand!M102</f>
        <v>19662191.18888313</v>
      </c>
      <c r="F102" s="8">
        <f>Vand!N102</f>
        <v>18976607.12072252</v>
      </c>
      <c r="G102" s="8"/>
      <c r="H102" s="18">
        <v>0.37336357245201834</v>
      </c>
      <c r="I102" s="19"/>
      <c r="J102" s="8">
        <f t="shared" si="16"/>
        <v>5407925.94258823</v>
      </c>
      <c r="K102" s="8">
        <f t="shared" si="17"/>
        <v>0</v>
      </c>
      <c r="L102" s="17">
        <v>0.8044091675806521</v>
      </c>
      <c r="N102" s="18">
        <f t="shared" si="18"/>
        <v>0.19559083241934794</v>
      </c>
      <c r="O102" s="18">
        <f>IF(Vand!CB102&lt;Vand!$BS$132,(Vand!CB102-Vand!$BS$132)/100,0)</f>
        <v>0</v>
      </c>
      <c r="P102" s="18">
        <f>Vand!CC102/100</f>
        <v>0</v>
      </c>
      <c r="Q102" s="18">
        <f t="shared" si="19"/>
        <v>0</v>
      </c>
      <c r="R102" s="18">
        <f t="shared" si="20"/>
        <v>0.048897708104836984</v>
      </c>
      <c r="S102" s="18">
        <f t="shared" si="21"/>
        <v>0.048897708104836984</v>
      </c>
      <c r="T102" s="8">
        <f t="shared" si="22"/>
        <v>2833004.649667452</v>
      </c>
      <c r="U102" s="8">
        <f t="shared" si="23"/>
        <v>708251.162416863</v>
      </c>
    </row>
    <row r="103" spans="1:21" ht="15">
      <c r="A103" s="7" t="s">
        <v>103</v>
      </c>
      <c r="B103" s="8">
        <f>Vand!H103</f>
        <v>1622275.5780728</v>
      </c>
      <c r="C103" s="8">
        <f>Vand!J103</f>
        <v>2477171.08076405</v>
      </c>
      <c r="D103" s="8">
        <f>Vand!K103</f>
        <v>2583975.7958853</v>
      </c>
      <c r="E103" s="8">
        <f>Vand!M103</f>
        <v>2963853.7541858903</v>
      </c>
      <c r="F103" s="8">
        <f>Vand!N103</f>
        <v>3070658.46930714</v>
      </c>
      <c r="G103" s="8"/>
      <c r="H103" s="18">
        <v>0.08726937137514912</v>
      </c>
      <c r="I103" s="19"/>
      <c r="J103" s="8">
        <f t="shared" si="16"/>
        <v>141574.9698956699</v>
      </c>
      <c r="K103" s="8">
        <f t="shared" si="17"/>
        <v>0</v>
      </c>
      <c r="L103" s="17">
        <v>1</v>
      </c>
      <c r="N103" s="18">
        <f t="shared" si="18"/>
        <v>0</v>
      </c>
      <c r="O103" s="18">
        <f>IF(Vand!CB103&lt;Vand!$BS$132,(Vand!CB103-Vand!$BS$132)/100,0)</f>
        <v>0</v>
      </c>
      <c r="P103" s="18">
        <f>Vand!CC103/100</f>
        <v>0</v>
      </c>
      <c r="Q103" s="18">
        <f t="shared" si="19"/>
        <v>0</v>
      </c>
      <c r="R103" s="18">
        <f t="shared" si="20"/>
        <v>0</v>
      </c>
      <c r="S103" s="18">
        <f t="shared" si="21"/>
        <v>0</v>
      </c>
      <c r="T103" s="8">
        <f t="shared" si="22"/>
        <v>0</v>
      </c>
      <c r="U103" s="8">
        <f t="shared" si="23"/>
        <v>0</v>
      </c>
    </row>
    <row r="104" spans="1:21" ht="15">
      <c r="A104" s="7" t="s">
        <v>104</v>
      </c>
      <c r="B104" s="8">
        <f>Vand!H104</f>
        <v>17201152.230353</v>
      </c>
      <c r="C104" s="8">
        <f>Vand!J104</f>
        <v>23111201.21178666</v>
      </c>
      <c r="D104" s="8">
        <f>Vand!K104</f>
        <v>23758473.36215562</v>
      </c>
      <c r="E104" s="8">
        <f>Vand!M104</f>
        <v>28271546.88089256</v>
      </c>
      <c r="F104" s="8">
        <f>Vand!N104</f>
        <v>28918819.03126152</v>
      </c>
      <c r="G104" s="8"/>
      <c r="H104" s="18">
        <v>0.2791014912685398</v>
      </c>
      <c r="I104" s="19">
        <v>0.1988709</v>
      </c>
      <c r="J104" s="8">
        <f t="shared" si="16"/>
        <v>4800867.239028692</v>
      </c>
      <c r="K104" s="8">
        <f t="shared" si="17"/>
        <v>3420808.6250873087</v>
      </c>
      <c r="L104" s="17">
        <v>0.979187</v>
      </c>
      <c r="N104" s="18">
        <f t="shared" si="18"/>
        <v>0.02081299999999997</v>
      </c>
      <c r="O104" s="18">
        <f>IF(Vand!CB104&lt;Vand!$BS$132,(Vand!CB104-Vand!$BS$132)/100,0)</f>
        <v>0</v>
      </c>
      <c r="P104" s="18">
        <f>Vand!CC104/100</f>
        <v>0</v>
      </c>
      <c r="Q104" s="18">
        <f t="shared" si="19"/>
        <v>0</v>
      </c>
      <c r="R104" s="18">
        <f t="shared" si="20"/>
        <v>0.005203249999999993</v>
      </c>
      <c r="S104" s="18">
        <f t="shared" si="21"/>
        <v>0</v>
      </c>
      <c r="T104" s="8">
        <f t="shared" si="22"/>
        <v>358007.5813703365</v>
      </c>
      <c r="U104" s="8">
        <f t="shared" si="23"/>
        <v>0</v>
      </c>
    </row>
    <row r="105" spans="1:21" ht="15">
      <c r="A105" s="7" t="s">
        <v>105</v>
      </c>
      <c r="B105" s="8">
        <f>Vand!H105</f>
        <v>1248207.9849036</v>
      </c>
      <c r="C105" s="8">
        <f>Vand!J105</f>
        <v>1975609.3457674808</v>
      </c>
      <c r="D105" s="8">
        <f>Vand!K105</f>
        <v>1779230.5354554518</v>
      </c>
      <c r="E105" s="8">
        <f>Vand!M105</f>
        <v>2350071.741238561</v>
      </c>
      <c r="F105" s="8">
        <f>Vand!N105</f>
        <v>2153692.930926532</v>
      </c>
      <c r="G105" s="8"/>
      <c r="H105" s="18">
        <v>0.062096976677240456</v>
      </c>
      <c r="I105" s="19"/>
      <c r="J105" s="8">
        <f t="shared" si="16"/>
        <v>77509.94212690416</v>
      </c>
      <c r="K105" s="8">
        <f t="shared" si="17"/>
        <v>0</v>
      </c>
      <c r="L105" s="17">
        <v>1</v>
      </c>
      <c r="N105" s="18">
        <f t="shared" si="18"/>
        <v>0</v>
      </c>
      <c r="O105" s="18">
        <f>IF(Vand!CB105&lt;Vand!$BS$132,(Vand!CB105-Vand!$BS$132)/100,0)</f>
        <v>0</v>
      </c>
      <c r="P105" s="18">
        <f>Vand!CC105/100</f>
        <v>0</v>
      </c>
      <c r="Q105" s="18">
        <f t="shared" si="19"/>
        <v>0</v>
      </c>
      <c r="R105" s="18">
        <f t="shared" si="20"/>
        <v>0</v>
      </c>
      <c r="S105" s="18">
        <f t="shared" si="21"/>
        <v>0</v>
      </c>
      <c r="T105" s="8">
        <f t="shared" si="22"/>
        <v>0</v>
      </c>
      <c r="U105" s="8">
        <f t="shared" si="23"/>
        <v>0</v>
      </c>
    </row>
    <row r="106" spans="1:21" ht="15">
      <c r="A106" s="7" t="s">
        <v>106</v>
      </c>
      <c r="B106" s="8">
        <f>Vand!H106</f>
        <v>470017.8604688</v>
      </c>
      <c r="C106" s="8">
        <f>Vand!J106</f>
        <v>508679.9425093633</v>
      </c>
      <c r="D106" s="8">
        <f>Vand!K106</f>
        <v>469943.3545086536</v>
      </c>
      <c r="E106" s="8">
        <f>Vand!M106</f>
        <v>649685.3006500032</v>
      </c>
      <c r="F106" s="8">
        <f>Vand!N106</f>
        <v>610948.7126492936</v>
      </c>
      <c r="G106" s="8"/>
      <c r="H106" s="18">
        <v>0.358681048252521</v>
      </c>
      <c r="I106" s="19"/>
      <c r="J106" s="8">
        <f t="shared" si="16"/>
        <v>168586.49889035634</v>
      </c>
      <c r="K106" s="8">
        <f t="shared" si="17"/>
        <v>0</v>
      </c>
      <c r="L106" s="17">
        <v>0.8190911833884976</v>
      </c>
      <c r="N106" s="18">
        <f t="shared" si="18"/>
        <v>0.18090881661150238</v>
      </c>
      <c r="O106" s="18">
        <f>IF(Vand!CB106&lt;Vand!$BS$132,(Vand!CB106-Vand!$BS$132)/100,0)</f>
        <v>0</v>
      </c>
      <c r="P106" s="18">
        <f>Vand!CC106/100</f>
        <v>0</v>
      </c>
      <c r="Q106" s="18">
        <f t="shared" si="19"/>
        <v>0</v>
      </c>
      <c r="R106" s="18">
        <f t="shared" si="20"/>
        <v>0.045227204152875594</v>
      </c>
      <c r="S106" s="18">
        <f t="shared" si="21"/>
        <v>0.045227204152875594</v>
      </c>
      <c r="T106" s="8">
        <f t="shared" si="22"/>
        <v>85030.37492368085</v>
      </c>
      <c r="U106" s="8">
        <f t="shared" si="23"/>
        <v>21257.593730920213</v>
      </c>
    </row>
    <row r="107" spans="1:21" ht="15">
      <c r="A107" s="7" t="s">
        <v>107</v>
      </c>
      <c r="B107" s="8">
        <f>Vand!H107</f>
        <v>1278651.6550122</v>
      </c>
      <c r="C107" s="8">
        <f>Vand!J107</f>
        <v>2159485.7869095244</v>
      </c>
      <c r="D107" s="8">
        <f>Vand!K107</f>
        <v>2239631.3432624694</v>
      </c>
      <c r="E107" s="8">
        <f>Vand!M107</f>
        <v>2543081.2834131843</v>
      </c>
      <c r="F107" s="8">
        <f>Vand!N107</f>
        <v>2623226.8397661294</v>
      </c>
      <c r="G107" s="8"/>
      <c r="H107" s="18">
        <v>0</v>
      </c>
      <c r="I107" s="19"/>
      <c r="J107" s="8">
        <f t="shared" si="16"/>
        <v>0</v>
      </c>
      <c r="K107" s="8">
        <f t="shared" si="17"/>
        <v>0</v>
      </c>
      <c r="L107" s="17">
        <v>1</v>
      </c>
      <c r="N107" s="18">
        <f t="shared" si="18"/>
        <v>0</v>
      </c>
      <c r="O107" s="18">
        <f>IF(Vand!CB107&lt;Vand!$BS$132,(Vand!CB107-Vand!$BS$132)/100,0)</f>
        <v>0</v>
      </c>
      <c r="P107" s="18">
        <f>Vand!CC107/100</f>
        <v>0</v>
      </c>
      <c r="Q107" s="18">
        <f t="shared" si="19"/>
        <v>0</v>
      </c>
      <c r="R107" s="18">
        <f t="shared" si="20"/>
        <v>0</v>
      </c>
      <c r="S107" s="18">
        <f t="shared" si="21"/>
        <v>0</v>
      </c>
      <c r="T107" s="8">
        <f t="shared" si="22"/>
        <v>0</v>
      </c>
      <c r="U107" s="8">
        <f t="shared" si="23"/>
        <v>0</v>
      </c>
    </row>
    <row r="108" spans="1:21" ht="15">
      <c r="A108" s="7" t="s">
        <v>108</v>
      </c>
      <c r="B108" s="8">
        <f>Vand!H108</f>
        <v>836431.0518242001</v>
      </c>
      <c r="C108" s="8">
        <f>Vand!J108</f>
        <v>1396179.8572344743</v>
      </c>
      <c r="D108" s="8">
        <f>Vand!K108</f>
        <v>1429481.8807343952</v>
      </c>
      <c r="E108" s="8">
        <f>Vand!M108</f>
        <v>1647109.1727817343</v>
      </c>
      <c r="F108" s="8">
        <f>Vand!N108</f>
        <v>1680411.1962816552</v>
      </c>
      <c r="G108" s="8"/>
      <c r="H108" s="18">
        <v>0.005389386010894226</v>
      </c>
      <c r="I108" s="19"/>
      <c r="J108" s="8">
        <f t="shared" si="16"/>
        <v>4507.849809778887</v>
      </c>
      <c r="K108" s="8">
        <f t="shared" si="17"/>
        <v>0</v>
      </c>
      <c r="L108" s="17">
        <v>1</v>
      </c>
      <c r="N108" s="18">
        <f t="shared" si="18"/>
        <v>0</v>
      </c>
      <c r="O108" s="18">
        <f>IF(Vand!CB108&lt;Vand!$BS$132,(Vand!CB108-Vand!$BS$132)/100,0)</f>
        <v>-0.01594471540338043</v>
      </c>
      <c r="P108" s="18">
        <f>Vand!CC108/100</f>
        <v>-0.00736645851636176</v>
      </c>
      <c r="Q108" s="18">
        <f t="shared" si="19"/>
        <v>-0.00736645851636176</v>
      </c>
      <c r="R108" s="18">
        <f t="shared" si="20"/>
        <v>-0.00184161462909044</v>
      </c>
      <c r="S108" s="18">
        <f t="shared" si="21"/>
        <v>0</v>
      </c>
      <c r="T108" s="8">
        <f t="shared" si="22"/>
        <v>-6161.534645059804</v>
      </c>
      <c r="U108" s="8">
        <f t="shared" si="23"/>
        <v>0</v>
      </c>
    </row>
    <row r="109" spans="1:21" ht="15">
      <c r="A109" s="7" t="s">
        <v>109</v>
      </c>
      <c r="B109" s="8">
        <f>Vand!H109</f>
        <v>4360556.4033626</v>
      </c>
      <c r="C109" s="8">
        <f>Vand!J109</f>
        <v>3302033.8830654137</v>
      </c>
      <c r="D109" s="8">
        <f>Vand!K109</f>
        <v>3612851.7276359117</v>
      </c>
      <c r="E109" s="8">
        <f>Vand!M109</f>
        <v>4610200.804074193</v>
      </c>
      <c r="F109" s="8">
        <f>Vand!N109</f>
        <v>4921018.648644691</v>
      </c>
      <c r="G109" s="8"/>
      <c r="H109" s="18">
        <v>0.537000375627577</v>
      </c>
      <c r="I109" s="19"/>
      <c r="J109" s="8">
        <f t="shared" si="16"/>
        <v>2341620.4265509523</v>
      </c>
      <c r="K109" s="8">
        <f t="shared" si="17"/>
        <v>0</v>
      </c>
      <c r="L109" s="17">
        <v>0.6386672947597024</v>
      </c>
      <c r="N109" s="18">
        <f t="shared" si="18"/>
        <v>0.3613327052402976</v>
      </c>
      <c r="O109" s="18">
        <f>IF(Vand!CB109&lt;Vand!$BS$132,(Vand!CB109-Vand!$BS$132)/100,0)</f>
        <v>-0.07266444898077219</v>
      </c>
      <c r="P109" s="18">
        <f>Vand!CC109/100</f>
        <v>-0.03357097542911676</v>
      </c>
      <c r="Q109" s="18">
        <f t="shared" si="19"/>
        <v>0.32776172981118085</v>
      </c>
      <c r="R109" s="18">
        <f t="shared" si="20"/>
        <v>0.08194043245279521</v>
      </c>
      <c r="S109" s="18">
        <f t="shared" si="21"/>
        <v>0.05</v>
      </c>
      <c r="T109" s="8">
        <f t="shared" si="22"/>
        <v>1429223.509705347</v>
      </c>
      <c r="U109" s="8">
        <f t="shared" si="23"/>
        <v>218027.82016813</v>
      </c>
    </row>
    <row r="110" spans="1:21" ht="15">
      <c r="A110" s="7" t="s">
        <v>126</v>
      </c>
      <c r="B110" s="8">
        <f>Vand!H110</f>
        <v>963868.612112</v>
      </c>
      <c r="C110" s="8">
        <f>Vand!J110</f>
        <v>1930070.6370733243</v>
      </c>
      <c r="D110" s="8">
        <f>Vand!K110</f>
        <v>1826553.512555374</v>
      </c>
      <c r="E110" s="8">
        <f>Vand!M110</f>
        <v>2219231.2207069243</v>
      </c>
      <c r="F110" s="8">
        <f>Vand!N110</f>
        <v>2115714.096188974</v>
      </c>
      <c r="G110" s="8"/>
      <c r="H110" s="18">
        <v>0</v>
      </c>
      <c r="I110" s="19"/>
      <c r="J110" s="8">
        <f t="shared" si="16"/>
        <v>0</v>
      </c>
      <c r="K110" s="8">
        <f t="shared" si="17"/>
        <v>0</v>
      </c>
      <c r="L110" s="17">
        <v>1</v>
      </c>
      <c r="N110" s="18">
        <f t="shared" si="18"/>
        <v>0</v>
      </c>
      <c r="O110" s="18">
        <f>IF(Vand!CB110&lt;Vand!$BS$132,(Vand!CB110-Vand!$BS$132)/100,0)</f>
        <v>0</v>
      </c>
      <c r="P110" s="18">
        <f>Vand!CC110/100</f>
        <v>0</v>
      </c>
      <c r="Q110" s="18">
        <f t="shared" si="19"/>
        <v>0</v>
      </c>
      <c r="R110" s="18">
        <f t="shared" si="20"/>
        <v>0</v>
      </c>
      <c r="S110" s="18">
        <f t="shared" si="21"/>
        <v>0</v>
      </c>
      <c r="T110" s="8">
        <f t="shared" si="22"/>
        <v>0</v>
      </c>
      <c r="U110" s="8">
        <f t="shared" si="23"/>
        <v>0</v>
      </c>
    </row>
    <row r="111" spans="1:21" ht="15">
      <c r="A111" s="7" t="s">
        <v>110</v>
      </c>
      <c r="B111" s="8">
        <f>Vand!H111</f>
        <v>1927250.4336862</v>
      </c>
      <c r="C111" s="8">
        <f>Vand!J111</f>
        <v>2971797.535537748</v>
      </c>
      <c r="D111" s="8">
        <f>Vand!K111</f>
        <v>3151368.338204457</v>
      </c>
      <c r="E111" s="8">
        <f>Vand!M111</f>
        <v>3549972.665643608</v>
      </c>
      <c r="F111" s="8">
        <f>Vand!N111</f>
        <v>3729543.468310317</v>
      </c>
      <c r="G111" s="8"/>
      <c r="H111" s="18">
        <v>0.07147419894879947</v>
      </c>
      <c r="I111" s="19"/>
      <c r="J111" s="8">
        <f t="shared" si="16"/>
        <v>137748.68092144752</v>
      </c>
      <c r="K111" s="8">
        <f t="shared" si="17"/>
        <v>0</v>
      </c>
      <c r="L111" s="17">
        <v>1</v>
      </c>
      <c r="N111" s="18">
        <f t="shared" si="18"/>
        <v>0</v>
      </c>
      <c r="O111" s="18">
        <f>IF(Vand!CB111&lt;Vand!$BS$132,(Vand!CB111-Vand!$BS$132)/100,0)</f>
        <v>0</v>
      </c>
      <c r="P111" s="18">
        <f>Vand!CC111/100</f>
        <v>0</v>
      </c>
      <c r="Q111" s="18">
        <f t="shared" si="19"/>
        <v>0</v>
      </c>
      <c r="R111" s="18">
        <f t="shared" si="20"/>
        <v>0</v>
      </c>
      <c r="S111" s="18">
        <f t="shared" si="21"/>
        <v>0</v>
      </c>
      <c r="T111" s="8">
        <f t="shared" si="22"/>
        <v>0</v>
      </c>
      <c r="U111" s="8">
        <f t="shared" si="23"/>
        <v>0</v>
      </c>
    </row>
    <row r="112" spans="1:21" ht="15">
      <c r="A112" s="7" t="s">
        <v>111</v>
      </c>
      <c r="B112" s="8">
        <f>Vand!H112</f>
        <v>2914532.853512</v>
      </c>
      <c r="C112" s="8">
        <f>Vand!J112</f>
        <v>2104246.4713183097</v>
      </c>
      <c r="D112" s="8">
        <f>Vand!K112</f>
        <v>2243063.26101082</v>
      </c>
      <c r="E112" s="8">
        <f>Vand!M112</f>
        <v>2978606.3273719097</v>
      </c>
      <c r="F112" s="8">
        <f>Vand!N112</f>
        <v>3117423.11706442</v>
      </c>
      <c r="G112" s="8"/>
      <c r="H112" s="18">
        <v>0.5641493</v>
      </c>
      <c r="I112" s="19"/>
      <c r="J112" s="8">
        <f t="shared" si="16"/>
        <v>1644231.669135797</v>
      </c>
      <c r="K112" s="8">
        <f t="shared" si="17"/>
        <v>0</v>
      </c>
      <c r="L112" s="17">
        <v>0.6115184</v>
      </c>
      <c r="N112" s="18">
        <f t="shared" si="18"/>
        <v>0.3884816</v>
      </c>
      <c r="O112" s="18">
        <f>IF(Vand!CB112&lt;Vand!$BS$132,(Vand!CB112-Vand!$BS$132)/100,0)</f>
        <v>0</v>
      </c>
      <c r="P112" s="18">
        <f>Vand!CC112/100</f>
        <v>0</v>
      </c>
      <c r="Q112" s="18">
        <f t="shared" si="19"/>
        <v>0</v>
      </c>
      <c r="R112" s="18">
        <f t="shared" si="20"/>
        <v>0.0971204</v>
      </c>
      <c r="S112" s="18">
        <f t="shared" si="21"/>
        <v>0.05</v>
      </c>
      <c r="T112" s="8">
        <f t="shared" si="22"/>
        <v>1132242.3861849073</v>
      </c>
      <c r="U112" s="8">
        <f t="shared" si="23"/>
        <v>145726.6426756</v>
      </c>
    </row>
    <row r="113" spans="1:21" ht="15">
      <c r="A113" s="7" t="s">
        <v>9</v>
      </c>
      <c r="B113" s="8">
        <f>Vand!H113</f>
        <v>51182591.83391061</v>
      </c>
      <c r="C113" s="8">
        <f>Vand!J113</f>
        <v>58806038.87657142</v>
      </c>
      <c r="D113" s="8">
        <f>Vand!K113</f>
        <v>56450742.46657711</v>
      </c>
      <c r="E113" s="8">
        <f>Vand!M113</f>
        <v>74160816.4267446</v>
      </c>
      <c r="F113" s="8">
        <f>Vand!N113</f>
        <v>71805520.01675029</v>
      </c>
      <c r="G113" s="8"/>
      <c r="H113" s="18">
        <v>0.3191623665774286</v>
      </c>
      <c r="I113" s="19"/>
      <c r="J113" s="8">
        <f t="shared" si="16"/>
        <v>16335557.13727748</v>
      </c>
      <c r="K113" s="8">
        <f t="shared" si="17"/>
        <v>0</v>
      </c>
      <c r="L113" s="17">
        <v>0.8586103624174853</v>
      </c>
      <c r="N113" s="18">
        <f>1-L113</f>
        <v>0.14138963758251466</v>
      </c>
      <c r="O113" s="18">
        <f>IF(Vand!CB113&lt;Vand!$BS$132,(Vand!CB113-Vand!$BS$132)/100,0)</f>
        <v>0</v>
      </c>
      <c r="P113" s="18">
        <f>Vand!CC113/100</f>
        <v>0</v>
      </c>
      <c r="Q113" s="18">
        <f t="shared" si="19"/>
        <v>0</v>
      </c>
      <c r="R113" s="18">
        <f t="shared" si="20"/>
        <v>0.035347409395628665</v>
      </c>
      <c r="S113" s="18">
        <f t="shared" si="21"/>
        <v>0.035347409395628665</v>
      </c>
      <c r="T113" s="8">
        <f t="shared" si="22"/>
        <v>7236688.109930395</v>
      </c>
      <c r="U113" s="8">
        <f>B113*S113*1/3</f>
        <v>603057.3424941996</v>
      </c>
    </row>
    <row r="114" spans="1:21" ht="15">
      <c r="A114" s="7" t="s">
        <v>112</v>
      </c>
      <c r="B114" s="8">
        <f>Vand!H114</f>
        <v>565845.5546114</v>
      </c>
      <c r="C114" s="8">
        <f>Vand!J114</f>
        <v>838768.4426447519</v>
      </c>
      <c r="D114" s="8">
        <f>Vand!K114</f>
        <v>759203.3458540987</v>
      </c>
      <c r="E114" s="8">
        <f>Vand!M114</f>
        <v>1008522.1090281719</v>
      </c>
      <c r="F114" s="8">
        <f>Vand!N114</f>
        <v>928957.0122375187</v>
      </c>
      <c r="G114" s="8"/>
      <c r="H114" s="18">
        <v>0.12160975377164163</v>
      </c>
      <c r="I114" s="19"/>
      <c r="J114" s="8">
        <f t="shared" si="16"/>
        <v>68812.33856907034</v>
      </c>
      <c r="K114" s="8">
        <f t="shared" si="17"/>
        <v>0</v>
      </c>
      <c r="L114" s="17">
        <v>1</v>
      </c>
      <c r="N114" s="18">
        <f t="shared" si="18"/>
        <v>0</v>
      </c>
      <c r="O114" s="18">
        <f>IF(Vand!CB114&lt;Vand!$BS$132,(Vand!CB114-Vand!$BS$132)/100,0)</f>
        <v>0</v>
      </c>
      <c r="P114" s="18">
        <f>Vand!CC114/100</f>
        <v>0</v>
      </c>
      <c r="Q114" s="18">
        <f t="shared" si="19"/>
        <v>0</v>
      </c>
      <c r="R114" s="18">
        <f t="shared" si="20"/>
        <v>0</v>
      </c>
      <c r="S114" s="18">
        <f t="shared" si="21"/>
        <v>0</v>
      </c>
      <c r="T114" s="8">
        <f t="shared" si="22"/>
        <v>0</v>
      </c>
      <c r="U114" s="8">
        <f t="shared" si="23"/>
        <v>0</v>
      </c>
    </row>
    <row r="115" spans="1:21" ht="15">
      <c r="A115" s="7" t="s">
        <v>113</v>
      </c>
      <c r="B115" s="8">
        <f>Vand!H115</f>
        <v>1344790.963166</v>
      </c>
      <c r="C115" s="8">
        <f>Vand!J115</f>
        <v>1599927.7918683917</v>
      </c>
      <c r="D115" s="8">
        <f>Vand!K115</f>
        <v>1322650.4387189099</v>
      </c>
      <c r="E115" s="8">
        <f>Vand!M115</f>
        <v>2003365.0808181916</v>
      </c>
      <c r="F115" s="8">
        <f>Vand!N115</f>
        <v>1726087.7276687098</v>
      </c>
      <c r="G115" s="8"/>
      <c r="H115" s="18">
        <v>0.29499930256957096</v>
      </c>
      <c r="I115" s="19"/>
      <c r="J115" s="8">
        <f t="shared" si="16"/>
        <v>396712.3962358316</v>
      </c>
      <c r="K115" s="8">
        <f t="shared" si="17"/>
        <v>0</v>
      </c>
      <c r="L115" s="17">
        <v>0.8827733011783728</v>
      </c>
      <c r="N115" s="18">
        <f t="shared" si="18"/>
        <v>0.11722669882162717</v>
      </c>
      <c r="O115" s="18">
        <f>IF(Vand!CB115&lt;Vand!$BS$132,(Vand!CB115-Vand!$BS$132)/100,0)</f>
        <v>0</v>
      </c>
      <c r="P115" s="18">
        <f>Vand!CC115/100</f>
        <v>0</v>
      </c>
      <c r="Q115" s="18">
        <f t="shared" si="19"/>
        <v>0</v>
      </c>
      <c r="R115" s="18">
        <f t="shared" si="20"/>
        <v>0.029306674705406793</v>
      </c>
      <c r="S115" s="18">
        <f t="shared" si="21"/>
        <v>0.029306674705406793</v>
      </c>
      <c r="T115" s="8">
        <f t="shared" si="22"/>
        <v>157645.4052171066</v>
      </c>
      <c r="U115" s="8">
        <f t="shared" si="23"/>
        <v>39411.35130427665</v>
      </c>
    </row>
    <row r="116" spans="1:21" ht="15">
      <c r="A116" s="7" t="s">
        <v>114</v>
      </c>
      <c r="B116" s="8">
        <f>Vand!H116</f>
        <v>4503882</v>
      </c>
      <c r="C116" s="8">
        <f>Vand!J116</f>
        <v>621875.6200000001</v>
      </c>
      <c r="D116" s="8">
        <f>Vand!K116</f>
        <v>301609.6757</v>
      </c>
      <c r="E116" s="8">
        <f>Vand!M116</f>
        <v>1973040.22</v>
      </c>
      <c r="F116" s="8">
        <f>Vand!N116</f>
        <v>1652774.2756999999</v>
      </c>
      <c r="G116" s="8"/>
      <c r="H116" s="18">
        <v>0.9181798</v>
      </c>
      <c r="I116" s="19"/>
      <c r="J116" s="8">
        <f t="shared" si="16"/>
        <v>4135373.4739836</v>
      </c>
      <c r="K116" s="8">
        <f t="shared" si="17"/>
        <v>0</v>
      </c>
      <c r="L116" s="17">
        <v>0.2595929</v>
      </c>
      <c r="N116" s="18">
        <f t="shared" si="18"/>
        <v>0.7404071</v>
      </c>
      <c r="O116" s="18">
        <f>IF(Vand!CB116&lt;Vand!$BS$132,(Vand!CB116-Vand!$BS$132)/100,0)</f>
        <v>0</v>
      </c>
      <c r="P116" s="18">
        <f>Vand!CC116/100</f>
        <v>0</v>
      </c>
      <c r="Q116" s="18">
        <f t="shared" si="19"/>
        <v>0</v>
      </c>
      <c r="R116" s="18">
        <f t="shared" si="20"/>
        <v>0.185101775</v>
      </c>
      <c r="S116" s="18">
        <f t="shared" si="21"/>
        <v>0.05</v>
      </c>
      <c r="T116" s="8">
        <f t="shared" si="22"/>
        <v>3334706.2103622</v>
      </c>
      <c r="U116" s="8">
        <f t="shared" si="23"/>
        <v>225194.1</v>
      </c>
    </row>
    <row r="117" spans="1:21" ht="15">
      <c r="A117" s="7" t="s">
        <v>115</v>
      </c>
      <c r="B117" s="8">
        <f>Vand!H117</f>
        <v>2398402</v>
      </c>
      <c r="C117" s="8">
        <f>Vand!J117</f>
        <v>1709532.7296998457</v>
      </c>
      <c r="D117" s="8">
        <f>Vand!K117</f>
        <v>1730471.066400723</v>
      </c>
      <c r="E117" s="8">
        <f>Vand!M117</f>
        <v>2429053.3296998455</v>
      </c>
      <c r="F117" s="8">
        <f>Vand!N117</f>
        <v>2449991.666400723</v>
      </c>
      <c r="G117" s="8"/>
      <c r="H117" s="18">
        <v>0.5760934041587039</v>
      </c>
      <c r="I117" s="19"/>
      <c r="J117" s="8">
        <f t="shared" si="16"/>
        <v>1381703.5727210438</v>
      </c>
      <c r="K117" s="8">
        <f t="shared" si="17"/>
        <v>0</v>
      </c>
      <c r="L117" s="17">
        <v>0.6019643749467984</v>
      </c>
      <c r="N117" s="18">
        <f t="shared" si="18"/>
        <v>0.39803562505320156</v>
      </c>
      <c r="O117" s="18">
        <f>IF(Vand!CB117&lt;Vand!$BS$132,(Vand!CB117-Vand!$BS$132)/100,0)</f>
        <v>0</v>
      </c>
      <c r="P117" s="18">
        <f>Vand!CC117/100</f>
        <v>0</v>
      </c>
      <c r="Q117" s="18">
        <f t="shared" si="19"/>
        <v>0</v>
      </c>
      <c r="R117" s="18">
        <f t="shared" si="20"/>
        <v>0.09950890626330039</v>
      </c>
      <c r="S117" s="18">
        <f t="shared" si="21"/>
        <v>0.05</v>
      </c>
      <c r="T117" s="8">
        <f t="shared" si="22"/>
        <v>954649.4391988487</v>
      </c>
      <c r="U117" s="8">
        <f t="shared" si="23"/>
        <v>119920.1</v>
      </c>
    </row>
    <row r="118" spans="1:21" ht="15">
      <c r="A118" s="7" t="s">
        <v>116</v>
      </c>
      <c r="B118" s="8">
        <f>Vand!H118</f>
        <v>7578261.7033984</v>
      </c>
      <c r="C118" s="8">
        <f>Vand!J118</f>
        <v>10679768.510258384</v>
      </c>
      <c r="D118" s="8">
        <f>Vand!K118</f>
        <v>9546731.174390439</v>
      </c>
      <c r="E118" s="8">
        <f>Vand!M118</f>
        <v>12953247.021277905</v>
      </c>
      <c r="F118" s="8">
        <f>Vand!N118</f>
        <v>11820209.68540996</v>
      </c>
      <c r="G118" s="8"/>
      <c r="H118" s="18">
        <v>0.16490449729614143</v>
      </c>
      <c r="I118" s="19"/>
      <c r="J118" s="8">
        <f t="shared" si="16"/>
        <v>1249689.4365775136</v>
      </c>
      <c r="K118" s="8">
        <f t="shared" si="17"/>
        <v>0</v>
      </c>
      <c r="L118" s="17">
        <v>1</v>
      </c>
      <c r="N118" s="18">
        <f t="shared" si="18"/>
        <v>0</v>
      </c>
      <c r="O118" s="18">
        <f>IF(Vand!CB118&lt;Vand!$BS$132,(Vand!CB118-Vand!$BS$132)/100,0)</f>
        <v>0</v>
      </c>
      <c r="P118" s="18">
        <f>Vand!CC118/100</f>
        <v>0</v>
      </c>
      <c r="Q118" s="18">
        <f t="shared" si="19"/>
        <v>0</v>
      </c>
      <c r="R118" s="18">
        <f t="shared" si="20"/>
        <v>0</v>
      </c>
      <c r="S118" s="18">
        <f t="shared" si="21"/>
        <v>0</v>
      </c>
      <c r="T118" s="8">
        <f t="shared" si="22"/>
        <v>0</v>
      </c>
      <c r="U118" s="8">
        <f t="shared" si="23"/>
        <v>0</v>
      </c>
    </row>
    <row r="119" spans="1:21" ht="15">
      <c r="A119" s="7" t="s">
        <v>117</v>
      </c>
      <c r="B119" s="8">
        <f>Vand!H119</f>
        <v>459511.5898688</v>
      </c>
      <c r="C119" s="8">
        <f>Vand!J119</f>
        <v>1142838.0148262219</v>
      </c>
      <c r="D119" s="8">
        <f>Vand!K119</f>
        <v>1160572.4278056182</v>
      </c>
      <c r="E119" s="8">
        <f>Vand!M119</f>
        <v>1280691.4917868618</v>
      </c>
      <c r="F119" s="8">
        <f>Vand!N119</f>
        <v>1298425.904766258</v>
      </c>
      <c r="G119" s="8"/>
      <c r="H119" s="18">
        <v>0</v>
      </c>
      <c r="I119" s="19"/>
      <c r="J119" s="8">
        <f t="shared" si="16"/>
        <v>0</v>
      </c>
      <c r="K119" s="8">
        <f t="shared" si="17"/>
        <v>0</v>
      </c>
      <c r="L119" s="17">
        <v>1</v>
      </c>
      <c r="N119" s="18">
        <f t="shared" si="18"/>
        <v>0</v>
      </c>
      <c r="O119" s="18">
        <f>IF(Vand!CB119&lt;Vand!$BS$132,(Vand!CB119-Vand!$BS$132)/100,0)</f>
        <v>0</v>
      </c>
      <c r="P119" s="18">
        <f>Vand!CC119/100</f>
        <v>0</v>
      </c>
      <c r="Q119" s="18">
        <f t="shared" si="19"/>
        <v>0</v>
      </c>
      <c r="R119" s="18">
        <f t="shared" si="20"/>
        <v>0</v>
      </c>
      <c r="S119" s="18">
        <f t="shared" si="21"/>
        <v>0</v>
      </c>
      <c r="T119" s="8">
        <f t="shared" si="22"/>
        <v>0</v>
      </c>
      <c r="U119" s="8">
        <f t="shared" si="23"/>
        <v>0</v>
      </c>
    </row>
    <row r="120" spans="1:21" ht="15">
      <c r="A120" s="7" t="s">
        <v>118</v>
      </c>
      <c r="B120" s="8">
        <f>Vand!H120</f>
        <v>10042672.0708678</v>
      </c>
      <c r="C120" s="8">
        <f>Vand!J120</f>
        <v>15312939.808508523</v>
      </c>
      <c r="D120" s="8">
        <f>Vand!K120</f>
        <v>14888374.350790985</v>
      </c>
      <c r="E120" s="8">
        <f>Vand!M120</f>
        <v>18325741.429768864</v>
      </c>
      <c r="F120" s="8">
        <f>Vand!N120</f>
        <v>17901175.972051326</v>
      </c>
      <c r="G120" s="8"/>
      <c r="H120" s="18">
        <v>0.09644789118925468</v>
      </c>
      <c r="I120" s="19"/>
      <c r="J120" s="8">
        <f t="shared" si="16"/>
        <v>968594.5431404244</v>
      </c>
      <c r="K120" s="8">
        <f t="shared" si="17"/>
        <v>0</v>
      </c>
      <c r="L120" s="17">
        <v>1</v>
      </c>
      <c r="N120" s="18">
        <f t="shared" si="18"/>
        <v>0</v>
      </c>
      <c r="O120" s="18">
        <f>IF(Vand!CB120&lt;Vand!$BS$132,(Vand!CB120-Vand!$BS$132)/100,0)</f>
        <v>0</v>
      </c>
      <c r="P120" s="18">
        <f>Vand!CC120/100</f>
        <v>0</v>
      </c>
      <c r="Q120" s="18">
        <f t="shared" si="19"/>
        <v>0</v>
      </c>
      <c r="R120" s="18">
        <f t="shared" si="20"/>
        <v>0</v>
      </c>
      <c r="S120" s="18">
        <f t="shared" si="21"/>
        <v>0</v>
      </c>
      <c r="T120" s="8">
        <f t="shared" si="22"/>
        <v>0</v>
      </c>
      <c r="U120" s="8">
        <f t="shared" si="23"/>
        <v>0</v>
      </c>
    </row>
    <row r="121" spans="1:21" ht="15">
      <c r="A121" s="7" t="s">
        <v>131</v>
      </c>
      <c r="B121" s="8">
        <f>Vand!H121</f>
        <v>14040446.9504124</v>
      </c>
      <c r="C121" s="8">
        <f>Vand!J121</f>
        <v>25283998.102670703</v>
      </c>
      <c r="D121" s="8">
        <f>Vand!K121</f>
        <v>25038015.741665874</v>
      </c>
      <c r="E121" s="8">
        <f>Vand!M121</f>
        <v>29496132.187794425</v>
      </c>
      <c r="F121" s="8">
        <f>Vand!N121</f>
        <v>29250149.826789595</v>
      </c>
      <c r="G121" s="8"/>
      <c r="H121" s="18">
        <v>0</v>
      </c>
      <c r="I121" s="19"/>
      <c r="J121" s="8">
        <f t="shared" si="16"/>
        <v>0</v>
      </c>
      <c r="K121" s="8">
        <f t="shared" si="17"/>
        <v>0</v>
      </c>
      <c r="L121" s="17">
        <v>1</v>
      </c>
      <c r="N121" s="18">
        <f t="shared" si="18"/>
        <v>0</v>
      </c>
      <c r="O121" s="18">
        <f>IF(Vand!CB121&lt;Vand!$BS$132,(Vand!CB121-Vand!$BS$132)/100,0)</f>
        <v>0</v>
      </c>
      <c r="P121" s="18">
        <f>Vand!CC121/100</f>
        <v>0</v>
      </c>
      <c r="Q121" s="18">
        <f t="shared" si="19"/>
        <v>0</v>
      </c>
      <c r="R121" s="18">
        <f t="shared" si="20"/>
        <v>0</v>
      </c>
      <c r="S121" s="18">
        <f t="shared" si="21"/>
        <v>0</v>
      </c>
      <c r="T121" s="8">
        <f t="shared" si="22"/>
        <v>0</v>
      </c>
      <c r="U121" s="8">
        <f t="shared" si="23"/>
        <v>0</v>
      </c>
    </row>
    <row r="122" spans="1:21" ht="15">
      <c r="A122" s="7" t="s">
        <v>119</v>
      </c>
      <c r="B122" s="8">
        <f>Vand!H122</f>
        <v>2153602.1969462</v>
      </c>
      <c r="C122" s="8">
        <f>Vand!J122</f>
        <v>2814461.9441507985</v>
      </c>
      <c r="D122" s="8">
        <f>Vand!K122</f>
        <v>2490137.0000970317</v>
      </c>
      <c r="E122" s="8">
        <f>Vand!M122</f>
        <v>3460542.6032346585</v>
      </c>
      <c r="F122" s="8">
        <f>Vand!N122</f>
        <v>3136217.6591808917</v>
      </c>
      <c r="G122" s="8"/>
      <c r="H122" s="18">
        <v>0.2255848419787705</v>
      </c>
      <c r="I122" s="19"/>
      <c r="J122" s="8">
        <f>H122*B122</f>
        <v>485820.0112832415</v>
      </c>
      <c r="K122" s="8">
        <f>I122*B122</f>
        <v>0</v>
      </c>
      <c r="L122" s="17">
        <v>0.9521880040250186</v>
      </c>
      <c r="N122" s="18">
        <f>1-L122</f>
        <v>0.047811995974981425</v>
      </c>
      <c r="O122" s="18">
        <f>IF(Vand!CB122&lt;Vand!$BS$132,(Vand!CB122-Vand!$BS$132)/100,0)</f>
        <v>0</v>
      </c>
      <c r="P122" s="18">
        <f>Vand!CC122/100</f>
        <v>0</v>
      </c>
      <c r="Q122" s="18">
        <f>IF(P122&lt;0,N122+P122,0)</f>
        <v>0</v>
      </c>
      <c r="R122" s="18">
        <f>IF(P122&lt;0,(N122+P122)/4,N122/4)</f>
        <v>0.011952998993745356</v>
      </c>
      <c r="S122" s="18">
        <f>IF(R122&gt;=0.05,0.05,IF(R122&gt;=0.01,R122,0))</f>
        <v>0.011952998993745356</v>
      </c>
      <c r="T122" s="8">
        <f>IF(P122&lt;0,(N122+P122)*B122,N122*B122)</f>
        <v>102968.01957210287</v>
      </c>
      <c r="U122" s="8">
        <f>B122*S122</f>
        <v>25742.004893025718</v>
      </c>
    </row>
    <row r="123" spans="1:21" ht="15">
      <c r="A123" s="7" t="s">
        <v>120</v>
      </c>
      <c r="B123" s="8">
        <f>Vand!H123</f>
        <v>1303984</v>
      </c>
      <c r="C123" s="8">
        <f>Vand!J123</f>
        <v>1397688.5665673711</v>
      </c>
      <c r="D123" s="8">
        <f>Vand!K123</f>
        <v>1466795.5950023583</v>
      </c>
      <c r="E123" s="8">
        <f>Vand!M123</f>
        <v>1788883.766567371</v>
      </c>
      <c r="F123" s="8">
        <f>Vand!N123</f>
        <v>1857990.7950023583</v>
      </c>
      <c r="G123" s="8"/>
      <c r="H123" s="18">
        <v>0.35780115173448523</v>
      </c>
      <c r="I123" s="19"/>
      <c r="J123" s="8">
        <f>H123*B123</f>
        <v>466566.977043341</v>
      </c>
      <c r="K123" s="8">
        <f>I123*B123</f>
        <v>0</v>
      </c>
      <c r="L123" s="17">
        <v>0.8194130126763264</v>
      </c>
      <c r="N123" s="18">
        <f>1-L123</f>
        <v>0.18058698732367362</v>
      </c>
      <c r="O123" s="18">
        <f>IF(Vand!CB123&lt;Vand!$BS$132,(Vand!CB123-Vand!$BS$132)/100,0)</f>
        <v>0</v>
      </c>
      <c r="P123" s="18">
        <f>Vand!CC123/100</f>
        <v>0</v>
      </c>
      <c r="Q123" s="18">
        <f>IF(P123&lt;0,N123+P123,0)</f>
        <v>0</v>
      </c>
      <c r="R123" s="18">
        <f>IF(P123&lt;0,(N123+P123)/4,N123/4)</f>
        <v>0.045146746830918405</v>
      </c>
      <c r="S123" s="18">
        <f>IF(R123&gt;=0.05,0.05,IF(R123&gt;=0.01,R123,0))</f>
        <v>0.045146746830918405</v>
      </c>
      <c r="T123" s="8">
        <f>IF(P123&lt;0,(N123+P123)*B123,N123*B123)</f>
        <v>235482.54207827323</v>
      </c>
      <c r="U123" s="8">
        <f>B123*S123</f>
        <v>58870.635519568306</v>
      </c>
    </row>
    <row r="124" spans="1:21" ht="15">
      <c r="A124" s="7" t="s">
        <v>121</v>
      </c>
      <c r="B124" s="8">
        <f>Vand!H124</f>
        <v>1345390.9879536</v>
      </c>
      <c r="C124" s="8">
        <f>Vand!J124</f>
        <v>1326550.4450994148</v>
      </c>
      <c r="D124" s="8">
        <f>Vand!K124</f>
        <v>1651989.5804435455</v>
      </c>
      <c r="E124" s="8">
        <f>Vand!M124</f>
        <v>1730167.7414854947</v>
      </c>
      <c r="F124" s="8">
        <f>Vand!N124</f>
        <v>2055606.8768296256</v>
      </c>
      <c r="G124" s="8"/>
      <c r="H124" s="18">
        <v>0.356178774321274</v>
      </c>
      <c r="I124" s="19"/>
      <c r="J124" s="8">
        <f>H124*B124</f>
        <v>479199.7130722011</v>
      </c>
      <c r="K124" s="8">
        <f>I124*B124</f>
        <v>0</v>
      </c>
      <c r="L124" s="17">
        <v>0.8194889696482146</v>
      </c>
      <c r="N124" s="18">
        <f>1-L124</f>
        <v>0.1805110303517854</v>
      </c>
      <c r="O124" s="18">
        <f>IF(Vand!CB124&lt;Vand!$BS$132,(Vand!CB124-Vand!$BS$132)/100,0)</f>
        <v>0</v>
      </c>
      <c r="P124" s="18">
        <f>Vand!CC124/100</f>
        <v>0</v>
      </c>
      <c r="Q124" s="18">
        <f>IF(P124&lt;0,N124+P124,0)</f>
        <v>0</v>
      </c>
      <c r="R124" s="18">
        <f>IF(P124&lt;0,(N124+P124)/4,N124/4)</f>
        <v>0.04512775758794635</v>
      </c>
      <c r="S124" s="18">
        <f>IF(R124&gt;=0.05,0.05,IF(R124&gt;=0.01,R124,0))</f>
        <v>0.04512775758794635</v>
      </c>
      <c r="T124" s="8">
        <f>IF(P124&lt;0,(N124+P124)*B124,N124*B124)</f>
        <v>242857.91346151082</v>
      </c>
      <c r="U124" s="8">
        <f>B124*S124</f>
        <v>60714.478365377705</v>
      </c>
    </row>
    <row r="125" spans="1:21" ht="15">
      <c r="A125" s="7" t="s">
        <v>122</v>
      </c>
      <c r="B125" s="8">
        <f>Vand!H125</f>
        <v>186828.3406262</v>
      </c>
      <c r="C125" s="8">
        <f>Vand!J125</f>
        <v>474001.9738281875</v>
      </c>
      <c r="D125" s="8">
        <f>Vand!K125</f>
        <v>284495.98469167814</v>
      </c>
      <c r="E125" s="8">
        <f>Vand!M125</f>
        <v>530050.4760160475</v>
      </c>
      <c r="F125" s="8">
        <f>Vand!N125</f>
        <v>340544.48687953816</v>
      </c>
      <c r="G125" s="8"/>
      <c r="H125" s="18">
        <v>0</v>
      </c>
      <c r="I125" s="19"/>
      <c r="J125" s="8">
        <f>H125*B125</f>
        <v>0</v>
      </c>
      <c r="K125" s="8">
        <f>I125*B125</f>
        <v>0</v>
      </c>
      <c r="L125" s="17">
        <v>1</v>
      </c>
      <c r="N125" s="18">
        <f>1-L125</f>
        <v>0</v>
      </c>
      <c r="O125" s="18">
        <f>IF(Vand!CB125&lt;Vand!$BS$132,(Vand!CB125-Vand!$BS$132)/100,0)</f>
        <v>0</v>
      </c>
      <c r="P125" s="18">
        <f>Vand!CC125/100</f>
        <v>0</v>
      </c>
      <c r="Q125" s="18">
        <f>IF(P125&lt;0,N125+P125,0)</f>
        <v>0</v>
      </c>
      <c r="R125" s="18">
        <f>IF(P125&lt;0,(N125+P125)/4,N125/4)</f>
        <v>0</v>
      </c>
      <c r="S125" s="18">
        <f>IF(R125&gt;=0.05,0.05,IF(R125&gt;=0.01,R125,0))</f>
        <v>0</v>
      </c>
      <c r="T125" s="8">
        <f>IF(P125&lt;0,(N125+P125)*B125,N125*B125)</f>
        <v>0</v>
      </c>
      <c r="U125" s="8">
        <f>B125*S125</f>
        <v>0</v>
      </c>
    </row>
  </sheetData>
  <sheetProtection/>
  <conditionalFormatting sqref="O5:Q125">
    <cfRule type="cellIs" priority="2" dxfId="1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2014-04-08T12:48:55Z</dcterms:modified>
  <cp:category/>
  <cp:version/>
  <cp:contentType/>
  <cp:contentStatus/>
</cp:coreProperties>
</file>